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1.xml.rels" ContentType="application/vnd.openxmlformats-package.relationships+xml"/>
  <Override PartName="/xl/worksheets/sheet29.xml" ContentType="application/vnd.openxmlformats-officedocument.spreadsheetml.worksheet+xml"/>
  <Override PartName="/xl/worksheets/sheet28.xml" ContentType="application/vnd.openxmlformats-officedocument.spreadsheetml.worksheet+xml"/>
  <Override PartName="/xl/worksheets/sheet4.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30.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31.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xml" ContentType="application/vnd.openxmlformats-officedocument.spreadsheetml.worksheet+xml"/>
  <Override PartName="/xl/worksheets/sheet18.xml" ContentType="application/vnd.openxmlformats-officedocument.spreadsheetml.worksheet+xml"/>
  <Override PartName="/xl/worksheets/sheet20.xml" ContentType="application/vnd.openxmlformats-officedocument.spreadsheetml.worksheet+xml"/>
  <Override PartName="/xl/worksheets/sheet2.xml" ContentType="application/vnd.openxmlformats-officedocument.spreadsheetml.worksheet+xml"/>
  <Override PartName="/xl/worksheets/sheet19.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Guide" sheetId="2" state="visible" r:id="rId4"/>
    <sheet name="Checks" sheetId="3" state="visible" r:id="rId5"/>
    <sheet name="CFO_Report" sheetId="4" state="visible" r:id="rId6"/>
    <sheet name="KPIs" sheetId="5" state="visible" r:id="rId7"/>
    <sheet name="PL" sheetId="6" state="visible" r:id="rId8"/>
    <sheet name="BS" sheetId="7" state="visible" r:id="rId9"/>
    <sheet name="CF" sheetId="8" state="visible" r:id="rId10"/>
    <sheet name="BvA" sheetId="9" state="visible" r:id="rId11"/>
    <sheet name="Scenarios" sheetId="10" state="visible" r:id="rId12"/>
    <sheet name="Cash_13W" sheetId="11" state="visible" r:id="rId13"/>
    <sheet name="Project_Profitability" sheetId="12" state="visible" r:id="rId14"/>
    <sheet name="WIP" sheetId="13" state="visible" r:id="rId15"/>
    <sheet name="Residential" sheetId="14" state="visible" r:id="rId16"/>
    <sheet name="Pipeline" sheetId="15" state="visible" r:id="rId17"/>
    <sheet name="Variations" sheetId="16" state="visible" r:id="rId18"/>
    <sheet name="Commitments" sheetId="17" state="visible" r:id="rId19"/>
    <sheet name="Retentions" sheetId="18" state="visible" r:id="rId20"/>
    <sheet name="Receivables" sheetId="19" state="visible" r:id="rId21"/>
    <sheet name="AR_Aging" sheetId="20" state="visible" r:id="rId22"/>
    <sheet name="AP_Aging" sheetId="21" state="visible" r:id="rId23"/>
    <sheet name="Payables" sheetId="22" state="visible" r:id="rId24"/>
    <sheet name="VAT_RCT" sheetId="23" state="visible" r:id="rId25"/>
    <sheet name="Resources" sheetId="24" state="visible" r:id="rId26"/>
    <sheet name="Overheads" sheetId="25" state="visible" r:id="rId27"/>
    <sheet name="Fixed_Assets" sheetId="26" state="visible" r:id="rId28"/>
    <sheet name="Debt" sheetId="27" state="visible" r:id="rId29"/>
    <sheet name="Project_Register" sheetId="28" state="visible" r:id="rId30"/>
    <sheet name="Assumptions" sheetId="29" state="visible" r:id="rId31"/>
    <sheet name="Inputs_Actuals" sheetId="30" state="visible" r:id="rId32"/>
    <sheet name="Budget_FY26" sheetId="31" state="visible" r:id="rId3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<sst xmlns="http://schemas.openxmlformats.org/spreadsheetml/2006/main" count="3906" uniqueCount="1728">
  <si>
    <t xml:space="preserve">FINANCIAL MODEL AND MONTHLY REPORTING PACK</t>
  </si>
  <si>
    <t xml:space="preserve">Construction and renovation demonstration: deep retrofit (SEAI One Stop Shop), renovation, commercial fit-out and council retrofit</t>
  </si>
  <si>
    <t xml:space="preserve">FICTIONAL DEMONSTRATION. Tarnlea Build &amp; Retrofit Ltd does not exist. Every name, client, subcontractor, contract, invoice and balance in this workbook was generated for demonstration purposes and does not describe any real company, client or person. Tax rates and filing rules reflect published Irish rules as at September 2026. Prepared by BriQs Group to show the structure, depth and controls of a monthly finance pack.</t>
  </si>
  <si>
    <t xml:space="preserve">Reporting month (last actual)</t>
  </si>
  <si>
    <t xml:space="preserve">Forecast horizon</t>
  </si>
  <si>
    <t xml:space="preserve">Currency</t>
  </si>
  <si>
    <t xml:space="preserve">EUR</t>
  </si>
  <si>
    <t xml:space="preserve">Model status (all integrity checks)</t>
  </si>
  <si>
    <t xml:space="preserve">FY2026 revenue, outlook</t>
  </si>
  <si>
    <t xml:space="preserve">FY2026 EBITDA, outlook</t>
  </si>
  <si>
    <t xml:space="preserve">Secured work in hand at the last actual month</t>
  </si>
  <si>
    <t xml:space="preserve">Cash at the last actual month</t>
  </si>
  <si>
    <t xml:space="preserve">13-week cash low point</t>
  </si>
  <si>
    <t xml:space="preserve">Prepared by</t>
  </si>
  <si>
    <t xml:space="preserve">BriQs Group, outsourced finance department and fractional CFO (ACCA-qualified accountant, ex Big Four accounting firms, Xero and QuickBooks Partner)</t>
  </si>
  <si>
    <t xml:space="preserve">CONTENTS</t>
  </si>
  <si>
    <t xml:space="preserve">What the sheet holds</t>
  </si>
  <si>
    <t xml:space="preserve">Type</t>
  </si>
  <si>
    <t xml:space="preserve">Cover</t>
  </si>
  <si>
    <t xml:space="preserve">This page</t>
  </si>
  <si>
    <t xml:space="preserve">Report</t>
  </si>
  <si>
    <t xml:space="preserve">Guide</t>
  </si>
  <si>
    <t xml:space="preserve">Model map, contract accounting method, conventions, month-end procedure, scenario refresh, information still needed</t>
  </si>
  <si>
    <t xml:space="preserve">Checks</t>
  </si>
  <si>
    <t xml:space="preserve">Every integrity check with live status; overall status and business warnings</t>
  </si>
  <si>
    <t xml:space="preserve">Control</t>
  </si>
  <si>
    <t xml:space="preserve">CFO_Report</t>
  </si>
  <si>
    <t xml:space="preserve">Quantified findings, scored risks, actions with owners and dates</t>
  </si>
  <si>
    <t xml:space="preserve">KPIs</t>
  </si>
  <si>
    <t xml:space="preserve">Margin, order book, utilisation, working capital, cash and bond KPIs by month</t>
  </si>
  <si>
    <t xml:space="preserve">PL</t>
  </si>
  <si>
    <t xml:space="preserve">Monthly P&amp;L by segment, actual and forecast</t>
  </si>
  <si>
    <t xml:space="preserve">Statement</t>
  </si>
  <si>
    <t xml:space="preserve">BS</t>
  </si>
  <si>
    <t xml:space="preserve">Monthly balance sheet with zero check</t>
  </si>
  <si>
    <t xml:space="preserve">CF</t>
  </si>
  <si>
    <t xml:space="preserve">Cash flow, indirect and direct, reconciled monthly</t>
  </si>
  <si>
    <t xml:space="preserve">BvA</t>
  </si>
  <si>
    <t xml:space="preserve">Budget vs actual YTD and full-year outlook, gross profit bridge by segment</t>
  </si>
  <si>
    <t xml:space="preserve">Analysis</t>
  </si>
  <si>
    <t xml:space="preserve">Scenarios</t>
  </si>
  <si>
    <t xml:space="preserve">Base, downside and upside with live selected column</t>
  </si>
  <si>
    <t xml:space="preserve">Cash_13W</t>
  </si>
  <si>
    <t xml:space="preserve">13-week direct cash forecast: tax weeks, payment runs, buffer control, reconciliation</t>
  </si>
  <si>
    <t xml:space="preserve">Project_Profitability</t>
  </si>
  <si>
    <t xml:space="preserve">Contract and programme margins with full allocation of labour variance, fleet and overheads; margin movement vs tender</t>
  </si>
  <si>
    <t xml:space="preserve">WIP</t>
  </si>
  <si>
    <t xml:space="preserve">Percentage of completion engine per contract: cost to complete, revenue, provisions, valuations, retentions, cash</t>
  </si>
  <si>
    <t xml:space="preserve">Schedule</t>
  </si>
  <si>
    <t xml:space="preserve">Residential</t>
  </si>
  <si>
    <t xml:space="preserve">Retrofit and renovation programmes: starts, revenue, billing stages, SEAI grant claims</t>
  </si>
  <si>
    <t xml:space="preserve">Pipeline</t>
  </si>
  <si>
    <t xml:space="preserve">Secured work in hand, weighted pipeline, cover, order intake and book-to-bill</t>
  </si>
  <si>
    <t xml:space="preserve">Variations</t>
  </si>
  <si>
    <t xml:space="preserve">Variations register with policy constraint and scenario outcome</t>
  </si>
  <si>
    <t xml:space="preserve">Commitments</t>
  </si>
  <si>
    <t xml:space="preserve">Orders placed vs cost to complete; uncommitted exposure by contract</t>
  </si>
  <si>
    <t xml:space="preserve">Retentions</t>
  </si>
  <si>
    <t xml:space="preserve">Retentions held by clients and from subcontractors; legacy and disputed balances</t>
  </si>
  <si>
    <t xml:space="preserve">Receivables</t>
  </si>
  <si>
    <t xml:space="preserve">Receivables by customer group and days</t>
  </si>
  <si>
    <t xml:space="preserve">AR_Aging</t>
  </si>
  <si>
    <t xml:space="preserve">Aged receivables at the last actual month, tied to the ledger</t>
  </si>
  <si>
    <t xml:space="preserve">AP_Aging</t>
  </si>
  <si>
    <t xml:space="preserve">Aged payables with RCT rates, tied to the Payables schedule</t>
  </si>
  <si>
    <t xml:space="preserve">Payables</t>
  </si>
  <si>
    <t xml:space="preserve">Subcontractors (reverse charge, RCT), materials, plant, overheads</t>
  </si>
  <si>
    <t xml:space="preserve">VAT_RCT</t>
  </si>
  <si>
    <t xml:space="preserve">Bi-monthly VAT and monthly RCT rolls</t>
  </si>
  <si>
    <t xml:space="preserve">Resources</t>
  </si>
  <si>
    <t xml:space="preserve">Site headcount, utilisation, labour recovery, agency and fleet</t>
  </si>
  <si>
    <t xml:space="preserve">Overheads</t>
  </si>
  <si>
    <t xml:space="preserve">Office staff, overhead lines, payroll taxes</t>
  </si>
  <si>
    <t xml:space="preserve">Fixed_Assets</t>
  </si>
  <si>
    <t xml:space="preserve">Vans, plant and tools, IT</t>
  </si>
  <si>
    <t xml:space="preserve">Debt</t>
  </si>
  <si>
    <t xml:space="preserve">Hire purchase, overdraft facility, performance bonds</t>
  </si>
  <si>
    <t xml:space="preserve">Project_Register</t>
  </si>
  <si>
    <t xml:space="preserve">Contract master data, effective dates, forecast cost at completion</t>
  </si>
  <si>
    <t xml:space="preserve">Inputs</t>
  </si>
  <si>
    <t xml:space="preserve">Assumptions</t>
  </si>
  <si>
    <t xml:space="preserve">Scalars, timeline and scenario drivers with the selector</t>
  </si>
  <si>
    <t xml:space="preserve">Inputs_Actuals</t>
  </si>
  <si>
    <t xml:space="preserve">Actual months and opening balances; the only place actual data is typed</t>
  </si>
  <si>
    <t xml:space="preserve">Budget_FY26</t>
  </si>
  <si>
    <t xml:space="preserve">The original FY2026 budget, never overwritten</t>
  </si>
  <si>
    <t xml:space="preserve">COLOUR LEGEND</t>
  </si>
  <si>
    <t xml:space="preserve">Input (typed value)</t>
  </si>
  <si>
    <t xml:space="preserve">Formula (calculated)</t>
  </si>
  <si>
    <t xml:space="preserve">Link from another sheet</t>
  </si>
  <si>
    <t xml:space="preserve">Actual month (column header)</t>
  </si>
  <si>
    <t xml:space="preserve">Forecast month (row 5 flag F)</t>
  </si>
  <si>
    <t xml:space="preserve">MODEL GUIDE</t>
  </si>
  <si>
    <t xml:space="preserve">PURPOSE</t>
  </si>
  <si>
    <t xml:space="preserve">An integrated monthly finance pack for a founder-led Irish contractor with four lines of business: deep home retrofit as an SEAI One Stop Shop, private renovation and extensions, commercial fit-out, and council retrofit under a framework. It closes the month into a three-statement pack, values every contract on the cost-to-cost method, controls cost to complete against commitments, tracks variations and retentions, forecasts under three scenarios, projects cash week by week for 13 weeks and reports to the owners with quantified findings.</t>
  </si>
  <si>
    <t xml:space="preserve">Every number traces back: statement line to schedule, schedule to register or input, input to the document that evidences it in a real close (cost ledger, cost report, payment certificate, bank statement, RCT deduction summary, SEAI claim).</t>
  </si>
  <si>
    <t xml:space="preserve">HOW THE MODEL FLOWS</t>
  </si>
  <si>
    <t xml:space="preserve">1. Inputs_Actuals holds the actual months and the opening balance sheet. Project_Register holds the contract terms and FY2025 closing positions of each named contract; Variations and Commitments hold the registers. Assumptions holds the timeline, rates and scenario drivers (selector in C11).</t>
  </si>
  <si>
    <t xml:space="preserve">2. WIP values each named contract every month: cost incurred (actuals, then the remaining cost to complete spread on an S-curve to the effective completion date), estimated cost at completion, % complete, contract revenue including variations, revenue recognised, onerous contract provisions, gross value certified, retention, invoicing, VAT, cash and contract assets or liabilities.</t>
  </si>
  <si>
    <t xml:space="preserve">3. Residential runs the two programmes: jobs started x average value, earned over the job duration; homeowner stage invoices; SEAI grant claims lodged after completion and the post-works BER; snag retentions.</t>
  </si>
  <si>
    <t xml:space="preserve">4. Resources compares own labour charged to jobs at the standard rate with site payroll and agency cost (recovery variance) and carries the fleet. Overheads holds office payroll, overhead lines and payroll taxes.</t>
  </si>
  <si>
    <t xml:space="preserve">5. Retentions, Receivables, Payables and VAT_RCT roll every working capital balance; Fixed_Assets and Debt hold capex, hire purchase, the overdraft facility and performance bonds.</t>
  </si>
  <si>
    <t xml:space="preserve">6. PL, BS and CF link only to schedules; CF is built indirectly and reconciled every month to a direct build of the schedule cash lines.</t>
  </si>
  <si>
    <t xml:space="preserve">7. BvA, Pipeline, Project_Profitability, KPIs, Scenarios, Cash_13W, the agings and CFO_Report are reporting layers; Checks proves the structure holds.</t>
  </si>
  <si>
    <t xml:space="preserve">CONTRACT ACCOUNTING METHOD</t>
  </si>
  <si>
    <t xml:space="preserve">Revenue over time on the input method: % complete = cost to date / estimated cost at completion (IFRS 15.B18; the same stage-of-completion principle as FRS 102 Section 23). Revenue to date = % complete x contract revenue.</t>
  </si>
  <si>
    <t xml:space="preserve">Contract revenue = original contract + approved variations + undecided variations at the policy constraint (50%, the amount judged highly probable not to reverse, IFRS 15.56) + pending variations at the scenario agreed share once their expected decision date passes.</t>
  </si>
  <si>
    <t xml:space="preserve">Where estimated cost at completion exceeds contract revenue, the expected loss not yet recognised is provided in full (onerous contract provision, IAS 37). Provisions reverse as the contract completes.</t>
  </si>
  <si>
    <t xml:space="preserve">Contract position per contract = revenue to date less gross value certified: a contract asset when positive, a contract liability when negative. Retention is a receivable, not part of the contract position.</t>
  </si>
  <si>
    <t xml:space="preserve">Actual months: revenue is the ledger figure and the Checks sheet proves it equals % complete x contract revenue using the cost report of that month.</t>
  </si>
  <si>
    <t xml:space="preserve">IRISH TAX MECHANICS MODELLED</t>
  </si>
  <si>
    <t xml:space="preserve">VAT: 13.5% on construction services to homeowners and commercial clients; council contracts reverse charged (the council is a principal contractor and accounts for the VAT); subcontractor services to the company reverse charged (output and input VAT net to zero); materials, plant hire, agency labour and most overheads at 23%. Bi-monthly returns paid by the 23rd of the following month (ROS).</t>
  </si>
  <si>
    <t xml:space="preserve">RCT: deducted from subcontractor payments at the rate Revenue authorises (0%, 20% or 35%, blended on the current mix) and paid over by the 23rd of the following month. Council payments to the company carry RCT at 0%.</t>
  </si>
  <si>
    <t xml:space="preserve">Payroll: employer PRSI at 11.25% to 30-Sep-26 and 11.40% from 1-Oct-26; PAYE, USC, PRSI and pension remitted by the 23rd of the following month.</t>
  </si>
  <si>
    <t xml:space="preserve">Corporation tax: 12.5% on trading profits; small company preliminary tax on 23 November at 100% of the prior year; balance on 23 September after year end.</t>
  </si>
  <si>
    <t xml:space="preserve">SEAI One Stop Shop: the grant is deducted from the homeowner price and paid to the company after completion and the post-works BER; the model treats the grant as part of the VAT-inclusive consideration (confirm with the VAT adviser).</t>
  </si>
  <si>
    <t xml:space="preserve">CONVENTIONS</t>
  </si>
  <si>
    <t xml:space="preserve">Revenue and receipts positive; costs, payments and deductions negative on the P&amp;L and cash flow. Schedules show movements with their natural sign and a closing line.</t>
  </si>
  <si>
    <t xml:space="preserve">Blue on yellow = input; black = formula; green = link from another sheet. Columns C and D on monthly sheets are FY2026 and FY2027 totals (sum, average or closing balance as labelled).</t>
  </si>
  <si>
    <t xml:space="preserve">Row 5 of every monthly sheet flags A (actual) or F (forecast); formulas switch on it, so nothing is overwritten when a month becomes actual.</t>
  </si>
  <si>
    <t xml:space="preserve">Pipeline contracts are weighted by the win probability of the selected scenario; every flow of a pipeline contract (revenue, cost, cash, bonds) is scaled by it.</t>
  </si>
  <si>
    <t xml:space="preserve">MONTH-END PROCEDURE (adding September as an actual month)</t>
  </si>
  <si>
    <t xml:space="preserve">1. Enter the September cost ledger by contract and cost type, the cost report cost to complete, revenue recognised, payment certificates and receipts for each named contract; the residential job data; payroll, agency, fleet, overheads, capex and supplier payments.</t>
  </si>
  <si>
    <t xml:space="preserve">2. Change the last actual month on Assumptions to Sep-26. Flags, run-rates, cost-to-complete positions, agings and the 13-week opening follow from that cell.</t>
  </si>
  <si>
    <t xml:space="preserve">3. Update the Variations register (new, approved, rejected, expected decision dates) and the Commitments register (new orders, invoiced to date).</t>
  </si>
  <si>
    <t xml:space="preserve">4. Refresh the AR and AP agings from the ledger listings; the tie-out rows must return zero. Roll the 13-week window forward one month.</t>
  </si>
  <si>
    <t xml:space="preserve">5. Refresh the scenario snapshots, reread Checks until the overall status is OK, then rewrite the CFO report findings against the new numbers.</t>
  </si>
  <si>
    <t xml:space="preserve">SCENARIO REFRESH</t>
  </si>
  <si>
    <t xml:space="preserve">Set Assumptions!C11 to 1 (Base), 2 (Downside) and 3 (Upside) in turn. After each recalculation copy Scenarios column F and paste values into C, D or E. The check column confirms the snapshot for the selected scenario matches the live model.</t>
  </si>
  <si>
    <t xml:space="preserve">KNOWN SIMPLIFICATIONS</t>
  </si>
  <si>
    <t xml:space="preserve">Forecast receipts and payments are sized by payment days on the invoiced amounts; actual months use bank figures.</t>
  </si>
  <si>
    <t xml:space="preserve">Residential contract assets and liabilities are netted at programme level; job-level netting would move a small amount between the two.</t>
  </si>
  <si>
    <t xml:space="preserve">Named contract cost types in forecast months follow the mix on Project_Register; the commitments register shows what is already bought.</t>
  </si>
  <si>
    <t xml:space="preserve">Own labour is charged to jobs as a share of direct cost; utilisation above 100% is bought from an agency. The standard rate is set to recover payroll at 85% utilisation.</t>
  </si>
  <si>
    <t xml:space="preserve">Corporation tax accrues on cumulative profit of each year with no loss carry-forward; capital allowances are assumed equal to depreciation.</t>
  </si>
  <si>
    <t xml:space="preserve">Performance bonds run from award to practical completion at the contract bond percentage; release to a reduced bond during the defects period is not modelled.</t>
  </si>
  <si>
    <t xml:space="preserve">INFORMATION NEEDED TO CONVERT THIS INTO A CLIENT BUILD</t>
  </si>
  <si>
    <t xml:space="preserve">Monthly cost reports per contract with cost to complete by cost code, signed off by the project manager and quantity surveyor.</t>
  </si>
  <si>
    <t xml:space="preserve">Payment certificates, payment notices and pay less notices per contract, to replace the one-month certification lag assumption.</t>
  </si>
  <si>
    <t xml:space="preserve">The variations register with client correspondence and the quantity surveyor view of recoverability, to support the policy constraint.</t>
  </si>
  <si>
    <t xml:space="preserve">RCT deduction summaries (ROS) and each subcontractor deduction authorisation, to replace the blended rate.</t>
  </si>
  <si>
    <t xml:space="preserve">SEAI claim listing with BER publication dates and inspection outcomes, to replace the grant payment days assumption.</t>
  </si>
  <si>
    <t xml:space="preserve">Timesheets by job and operative, to replace the labour-share allocation with hours actually booked.</t>
  </si>
  <si>
    <t xml:space="preserve">The FY2026 corporation tax computation (capital allowances, disallowables) and confirmation of any later PRSI changes.</t>
  </si>
  <si>
    <t xml:space="preserve">MODEL INTEGRITY CHECKS</t>
  </si>
  <si>
    <t xml:space="preserve">Every check is a live formula. A value of zero (or at least zero where a minimum is tested) returns OK. The overall status shows on the Cover.</t>
  </si>
  <si>
    <t xml:space="preserve">Check</t>
  </si>
  <si>
    <t xml:space="preserve">What it proves</t>
  </si>
  <si>
    <t xml:space="preserve">Value</t>
  </si>
  <si>
    <t xml:space="preserve">Tolerance</t>
  </si>
  <si>
    <t xml:space="preserve">Status</t>
  </si>
  <si>
    <t xml:space="preserve">STATEMENT INTEGRITY</t>
  </si>
  <si>
    <t xml:space="preserve">Balance sheet balances in every month</t>
  </si>
  <si>
    <t xml:space="preserve">Total assets less liabilities and equity, all 24 months</t>
  </si>
  <si>
    <t xml:space="preserve">Cash flow: indirect method equals direct method every month</t>
  </si>
  <si>
    <t xml:space="preserve">P&amp;L and balance sheet movements equal the sum of the schedule cash lines</t>
  </si>
  <si>
    <t xml:space="preserve">Closing cash on the cash flow equals balance sheet cash</t>
  </si>
  <si>
    <t xml:space="preserve">Link integrity</t>
  </si>
  <si>
    <t xml:space="preserve">Retained earnings roll: closing = opening + profit - dividends</t>
  </si>
  <si>
    <t xml:space="preserve">Equity roll-forward to Dec-27</t>
  </si>
  <si>
    <t xml:space="preserve">EBITDA on the cash flow equals EBITDA on the P&amp;L</t>
  </si>
  <si>
    <t xml:space="preserve">Add-backs complete</t>
  </si>
  <si>
    <t xml:space="preserve">Opening balance sheet at 31-Dec-25 balances</t>
  </si>
  <si>
    <t xml:space="preserve">FY2025 closing balances on Inputs_Actuals and Project_Register</t>
  </si>
  <si>
    <t xml:space="preserve">CONTRACT ACCOUNTING</t>
  </si>
  <si>
    <t xml:space="preserve">Revenue recognised in actual months equals % complete x contract revenue</t>
  </si>
  <si>
    <t xml:space="preserve">Ledger revenue agrees with the cost-to-cost method, every contract, every actual month</t>
  </si>
  <si>
    <t xml:space="preserve">Forecast cost spread equals cost to complete, contracts finishing within the horizon</t>
  </si>
  <si>
    <t xml:space="preserve">S-curve phasing neither loses nor adds cost</t>
  </si>
  <si>
    <t xml:space="preserve">Variations in contract value at the last actual month agree with the register</t>
  </si>
  <si>
    <t xml:space="preserve">WIP engine and Variations register apply the same policy</t>
  </si>
  <si>
    <t xml:space="preserve">Percentage complete stays between 0% and 100%</t>
  </si>
  <si>
    <t xml:space="preserve">No over-recognition</t>
  </si>
  <si>
    <t xml:space="preserve">Retrofit revenue shares sum to 100%</t>
  </si>
  <si>
    <t xml:space="preserve">Every job is fully earned</t>
  </si>
  <si>
    <t xml:space="preserve">Renovation revenue shares sum to 100%</t>
  </si>
  <si>
    <t xml:space="preserve">Retrofit homeowner stage invoices sum to 100%</t>
  </si>
  <si>
    <t xml:space="preserve">Homeowner portion fully invoiced</t>
  </si>
  <si>
    <t xml:space="preserve">Renovation billing (deposit + progress + snag) sums to 100%</t>
  </si>
  <si>
    <t xml:space="preserve">Contract value fully invoiced</t>
  </si>
  <si>
    <t xml:space="preserve">Programme cost mixes sum to 100%</t>
  </si>
  <si>
    <t xml:space="preserve">Named contract cost mixes: preliminaries share not negative (minimum)</t>
  </si>
  <si>
    <t xml:space="preserve">Mix shares on Project_Register are complete</t>
  </si>
  <si>
    <t xml:space="preserve">Cost to complete covers every remaining commitment (minimum uncommitted balance)</t>
  </si>
  <si>
    <t xml:space="preserve">No contract has more on order than its cost to complete</t>
  </si>
  <si>
    <t xml:space="preserve">Project profitability: allocated net contributions equal EBITDA</t>
  </si>
  <si>
    <t xml:space="preserve">Labour variance, fleet and overheads are fully allocated</t>
  </si>
  <si>
    <t xml:space="preserve">WORKING CAPITAL TIE-OUTS</t>
  </si>
  <si>
    <t xml:space="preserve">AR aging: commercial ties to the ledger</t>
  </si>
  <si>
    <t xml:space="preserve">Item listing agrees with the balance at the last actual month</t>
  </si>
  <si>
    <t xml:space="preserve">AR aging: council ties to the ledger</t>
  </si>
  <si>
    <t xml:space="preserve">AR aging: homeowners ties to the ledger</t>
  </si>
  <si>
    <t xml:space="preserve">AR aging: seai grants ties to the ledger</t>
  </si>
  <si>
    <t xml:space="preserve">AR aging: other ties to the ledger</t>
  </si>
  <si>
    <t xml:space="preserve">AP aging: subcontractors ties to the Payables schedule</t>
  </si>
  <si>
    <t xml:space="preserve">AP aging: materials ties to the Payables schedule</t>
  </si>
  <si>
    <t xml:space="preserve">AP aging: plant and site services ties to the Payables schedule</t>
  </si>
  <si>
    <t xml:space="preserve">AP aging: overheads ties to the Payables schedule</t>
  </si>
  <si>
    <t xml:space="preserve">FORECAST CONTROLS</t>
  </si>
  <si>
    <t xml:space="preserve">13-week cash forecast reconciles to the monthly balance sheet at 31-Dec-26</t>
  </si>
  <si>
    <t xml:space="preserve">Weekly phasing distributes exactly the monthly cash lines</t>
  </si>
  <si>
    <t xml:space="preserve">Scenario snapshots are current for the selected scenario</t>
  </si>
  <si>
    <t xml:space="preserve">Live column equals the stored snapshot</t>
  </si>
  <si>
    <t xml:space="preserve">Budget vs actual gross profit bridge reconciles to the P&amp;L variance</t>
  </si>
  <si>
    <t xml:space="preserve">Volume plus margin effects equal the gross profit variance</t>
  </si>
  <si>
    <t xml:space="preserve">SIGN AND RANGE CHECKS (minimum values, must not be negative)</t>
  </si>
  <si>
    <t xml:space="preserve">Trade receivables never negative</t>
  </si>
  <si>
    <t xml:space="preserve">SEAI grant receivable never negative</t>
  </si>
  <si>
    <t xml:space="preserve">Retentions receivable never negative</t>
  </si>
  <si>
    <t xml:space="preserve">Trade payables never negative</t>
  </si>
  <si>
    <t xml:space="preserve">Fixed asset net book value never negative</t>
  </si>
  <si>
    <t xml:space="preserve">Hire purchase balance never negative</t>
  </si>
  <si>
    <t xml:space="preserve">Timeline: months flagged actual equal the last actual month number</t>
  </si>
  <si>
    <t xml:space="preserve">OVERALL MODEL STATUS</t>
  </si>
  <si>
    <t xml:space="preserve">BUSINESS WARNINGS (not model errors: flags for the CFO report)</t>
  </si>
  <si>
    <t xml:space="preserve">Lowest month-end cash in the forecast (selected scenario)</t>
  </si>
  <si>
    <t xml:space="preserve">Below the buffer means a facility draw or action</t>
  </si>
  <si>
    <t xml:space="preserve">Lowest 13-week closing cash</t>
  </si>
  <si>
    <t xml:space="preserve">Peak bond facility utilisation</t>
  </si>
  <si>
    <t xml:space="preserve">Above 100% means new contracts cannot be bonded</t>
  </si>
  <si>
    <t xml:space="preserve">Lowest forecast site utilisation</t>
  </si>
  <si>
    <t xml:space="preserve">Below 75% signals idle labour</t>
  </si>
  <si>
    <t xml:space="preserve">Largest onerous contract provision in the forecast</t>
  </si>
  <si>
    <t xml:space="preserve">A loss-making contract</t>
  </si>
  <si>
    <t xml:space="preserve">Variations raised and undecided at the last actual month (claimed)</t>
  </si>
  <si>
    <t xml:space="preserve">Revenue at risk if not agreed</t>
  </si>
  <si>
    <t xml:space="preserve">CFO MANAGEMENT REPORT</t>
  </si>
  <si>
    <t xml:space="preserve">FICTIONAL DEMONSTRATION: Tarnlea Build &amp; Retrofit Ltd and every figure in this report were generated for demonstration purposes.</t>
  </si>
  <si>
    <t xml:space="preserve">1. HEADLINE</t>
  </si>
  <si>
    <t xml:space="preserve">2. WHAT HAPPENED YEAR TO DATE (BvA, Residential, Resources)</t>
  </si>
  <si>
    <t xml:space="preserve">3. CONTRACTS: MARGINS, VARIATIONS AND COST TO COMPLETE (WIP, Variations, Commitments, Project_Profitability)</t>
  </si>
  <si>
    <t xml:space="preserve">4. CASH, WORKING CAPITAL AND THE 13 WEEKS (BS, Receivables, Retentions, Cash_13W)</t>
  </si>
  <si>
    <t xml:space="preserve">5. ORDER BOOK, CAPACITY AND BONDS (Pipeline, Resources, Debt)</t>
  </si>
  <si>
    <t xml:space="preserve">6. SCENARIOS (Scenarios sheet; snapshot values from three full model runs)</t>
  </si>
  <si>
    <t xml:space="preserve">7. RISK REGISTER (scored 1 to 5; score = likelihood x impact)</t>
  </si>
  <si>
    <t xml:space="preserve">Risk</t>
  </si>
  <si>
    <t xml:space="preserve">Likelihood</t>
  </si>
  <si>
    <t xml:space="preserve">Impact</t>
  </si>
  <si>
    <t xml:space="preserve">Score</t>
  </si>
  <si>
    <t xml:space="preserve">Mitigation and owner</t>
  </si>
  <si>
    <t xml:space="preserve">Confirm the EUR 250k overdraft is committed and draw it for the tax weeks if needed; weekly 13-week review; Finance Manager</t>
  </si>
  <si>
    <t xml:space="preserve">Weekly commercial review; submit fully substantiated variation claims; buy the uncommitted packages before October; Commercial Manager</t>
  </si>
  <si>
    <t xml:space="preserve">Bid pipeline review every two weeks with win-probability discipline; target two commercial awards by Q1-27; Managing Director</t>
  </si>
  <si>
    <t xml:space="preserve">Tie each site hire to a secured contract start; use agency for peaks; Contracts Manager</t>
  </si>
  <si>
    <t xml:space="preserve">Open talks with the surety for a EUR 1m facility before the CF-P01 award; seek bond reduction at practical completion; Finance Manager</t>
  </si>
  <si>
    <t xml:space="preserve">Claim the week the post-works BER publishes; pre-inspection checklist on airtightness and ventilation; Retrofit Coordinator</t>
  </si>
  <si>
    <t xml:space="preserve">Subcontractor tax compliance: one decorator is at the 35% RCT rate; paying without a deduction authorisation carries penalties and exposure to 35% tax</t>
  </si>
  <si>
    <t xml:space="preserve">No payment released without a deduction authorisation; quarterly review of subcontractor rates; Finance Manager</t>
  </si>
  <si>
    <t xml:space="preserve">Mediation with the client; release against a defects inspection; write off the provided share if not settled by year end; Managing Director</t>
  </si>
  <si>
    <t xml:space="preserve">Council concentration: one council framework is the only public sector client and the largest single customer</t>
  </si>
  <si>
    <t xml:space="preserve">Qualify for a second local authority framework and an approved housing body panel in FY2027; Managing Director</t>
  </si>
  <si>
    <t xml:space="preserve">Supplier credit: materials suppliers carried at about 46 days; a tightening of credit limits would absorb cash quickly</t>
  </si>
  <si>
    <t xml:space="preserve">Agree account limits with the two main merchants; keep materials terms at 30 days end of month; Finance Manager</t>
  </si>
  <si>
    <t xml:space="preserve">8. ACTIONS (owner, due date, status)</t>
  </si>
  <si>
    <t xml:space="preserve">Action</t>
  </si>
  <si>
    <t xml:space="preserve">Owner</t>
  </si>
  <si>
    <t xml:space="preserve">Due</t>
  </si>
  <si>
    <t xml:space="preserve">Measure of done</t>
  </si>
  <si>
    <t xml:space="preserve">Submit substantiated claims for V-CF2601-02, -03 and -04 and agree them at the October valuation meeting; buy the uncommitted CF-2601 packages</t>
  </si>
  <si>
    <t xml:space="preserve">Commercial Manager</t>
  </si>
  <si>
    <t xml:space="preserve">Open</t>
  </si>
  <si>
    <t xml:space="preserve">Variations agreed in writing; CF-2601 cost to complete fully committed</t>
  </si>
  <si>
    <t xml:space="preserve">Confirm the EUR 250k overdraft is committed through Q1-27 and pre-agree drawings for the weeks of 23-Sep and 23-Nov</t>
  </si>
  <si>
    <t xml:space="preserve">Finance Manager</t>
  </si>
  <si>
    <t xml:space="preserve">Facility letter on file; 13-week headroom never below the buffer</t>
  </si>
  <si>
    <t xml:space="preserve">Re-phase the site hiring plan: retrofit installers to start with the second coordinator and the Q1-27 craft and general operative hires to follow CF-P01 and CF-P02 awards</t>
  </si>
  <si>
    <t xml:space="preserve">Managing Director</t>
  </si>
  <si>
    <t xml:space="preserve">Q1-27 utilisation forecast above 80%</t>
  </si>
  <si>
    <t xml:space="preserve">Bid plan for FY2027: two commercial awards by Q1-27, framework call-off for PS-P01 confirmed, win-probability review every two weeks</t>
  </si>
  <si>
    <t xml:space="preserve">Secured work in hand of at least six months of revenue at every month end</t>
  </si>
  <si>
    <t xml:space="preserve">Increase the surety facility to EUR 1m and request bond reduction to 5% at practical completion on CF-2601 and PS-2601</t>
  </si>
  <si>
    <t xml:space="preserve">Bond utilisation below 70% with the pipeline awarded</t>
  </si>
  <si>
    <t xml:space="preserve">SEAI claims lodged within five working days of BER publication; resolve the queried July claim</t>
  </si>
  <si>
    <t xml:space="preserve">Retrofit Coordinator</t>
  </si>
  <si>
    <t xml:space="preserve">In progress</t>
  </si>
  <si>
    <t xml:space="preserve">SEAI days below 60</t>
  </si>
  <si>
    <t xml:space="preserve">Collect the CF-2601 July short payment and the Rathgar snag retention; settle CF-2311 through mediation</t>
  </si>
  <si>
    <t xml:space="preserve">Items off the aging; CF-2311 settled</t>
  </si>
  <si>
    <t xml:space="preserve">Monthly cost-to-complete review signed by the project manager and quantity surveyor for every live contract, with margin movement explained</t>
  </si>
  <si>
    <t xml:space="preserve">Signed cost reports on file before each close</t>
  </si>
  <si>
    <t xml:space="preserve">Downside contingency plan with triggers (retrofit starts, margin fade, SEAI days, cash headroom) and the levers on Cash_13W in order</t>
  </si>
  <si>
    <t xml:space="preserve">BriQs CFO</t>
  </si>
  <si>
    <t xml:space="preserve">Plan approved by the Managing Director and attached to the October pack</t>
  </si>
  <si>
    <t xml:space="preserve">9. INFORMATION NEEDED BEFORE THE SEPTEMBER CLOSE</t>
  </si>
  <si>
    <t xml:space="preserve">Signed September cost reports for CF-2601, CF-2602, CF-2603 and PS-2601, with cost to complete by package.</t>
  </si>
  <si>
    <t xml:space="preserve">The client quantity surveyor position on V-CF2601-02 to -04 and on the July short payment, in writing.</t>
  </si>
  <si>
    <t xml:space="preserve">The ROS deduction summary for September and the current deduction authorisation for every subcontractor paid in the month.</t>
  </si>
  <si>
    <t xml:space="preserve">SEAI claim listing with BER publication and inspection dates, including the outcome of the queried July claim.</t>
  </si>
  <si>
    <t xml:space="preserve">The overdraft facility letter and the surety facility terms, to confirm limits and renewal dates.</t>
  </si>
  <si>
    <t xml:space="preserve">The FY2026 corporation tax computation from the tax adviser, to confirm the preliminary tax payment due on 23 November.</t>
  </si>
  <si>
    <t xml:space="preserve">KPI DASHBOARD</t>
  </si>
  <si>
    <t xml:space="preserve">Live links into the statements and schedules. C = FY2026 (actual + forecast), D = FY2027. Monthly columns follow the Timeline.</t>
  </si>
  <si>
    <t xml:space="preserve">Line</t>
  </si>
  <si>
    <t xml:space="preserve">Basis</t>
  </si>
  <si>
    <t xml:space="preserve">FY2026</t>
  </si>
  <si>
    <t xml:space="preserve">FY2027</t>
  </si>
  <si>
    <t xml:space="preserve">Actual (A) or Forecast (F)</t>
  </si>
  <si>
    <t xml:space="preserve">A + F</t>
  </si>
  <si>
    <t xml:space="preserve">F</t>
  </si>
  <si>
    <t xml:space="preserve">Month number</t>
  </si>
  <si>
    <t xml:space="preserve">GROWTH AND MARGIN</t>
  </si>
  <si>
    <t xml:space="preserve">Revenue</t>
  </si>
  <si>
    <t xml:space="preserve">Growth vs same month prior year</t>
  </si>
  <si>
    <t xml:space="preserve">Gross margin %</t>
  </si>
  <si>
    <t xml:space="preserve">Contribution % after site resources</t>
  </si>
  <si>
    <t xml:space="preserve">Overheads % of revenue</t>
  </si>
  <si>
    <t xml:space="preserve">EBITDA %</t>
  </si>
  <si>
    <t xml:space="preserve">EBITDA</t>
  </si>
  <si>
    <t xml:space="preserve">ORDER BOOK</t>
  </si>
  <si>
    <t xml:space="preserve">Secured work in hand</t>
  </si>
  <si>
    <t xml:space="preserve">Months of cover</t>
  </si>
  <si>
    <t xml:space="preserve">Weighted pipeline</t>
  </si>
  <si>
    <t xml:space="preserve">Book-to-bill, trailing three months</t>
  </si>
  <si>
    <t xml:space="preserve">SITE TEAM</t>
  </si>
  <si>
    <t xml:space="preserve">Site headcount</t>
  </si>
  <si>
    <t xml:space="preserve">Utilisation of productive hours</t>
  </si>
  <si>
    <t xml:space="preserve">Labour recovery %</t>
  </si>
  <si>
    <t xml:space="preserve">Agency labour cost</t>
  </si>
  <si>
    <t xml:space="preserve">WORKING CAPITAL, CASH AND BONDS</t>
  </si>
  <si>
    <t xml:space="preserve">Trade receivable days</t>
  </si>
  <si>
    <t xml:space="preserve">SEAI grant days outstanding</t>
  </si>
  <si>
    <t xml:space="preserve">Contract assets</t>
  </si>
  <si>
    <t xml:space="preserve">Retentions receivable</t>
  </si>
  <si>
    <t xml:space="preserve">Variations raised and undecided (claimed value)</t>
  </si>
  <si>
    <t xml:space="preserve">Working capital tied up in contracts</t>
  </si>
  <si>
    <t xml:space="preserve">Cash at bank</t>
  </si>
  <si>
    <t xml:space="preserve">Cash headroom over the minimum buffer</t>
  </si>
  <si>
    <t xml:space="preserve">Net cash / (debt)</t>
  </si>
  <si>
    <t xml:space="preserve">Bond facility utilisation</t>
  </si>
  <si>
    <t xml:space="preserve">Operating cash flow, trailing three months</t>
  </si>
  <si>
    <t xml:space="preserve">PROFIT AND LOSS</t>
  </si>
  <si>
    <t xml:space="preserve">Monthly, actual Jan-26 to Aug-26 and forecast to Dec-27 for the selected scenario. Revenue positive, costs negative. Every line links to a schedule.</t>
  </si>
  <si>
    <t xml:space="preserve">REVENUE</t>
  </si>
  <si>
    <t xml:space="preserve">Residential deep retrofit (SEAI One Stop Shop)</t>
  </si>
  <si>
    <t xml:space="preserve">Residential / WIP</t>
  </si>
  <si>
    <t xml:space="preserve">Residential renovation and extensions</t>
  </si>
  <si>
    <t xml:space="preserve">Commercial fit-out</t>
  </si>
  <si>
    <t xml:space="preserve">Public sector retrofit (council)</t>
  </si>
  <si>
    <t xml:space="preserve">NET REVENUE</t>
  </si>
  <si>
    <t xml:space="preserve">Growth vs prior month (memo)</t>
  </si>
  <si>
    <t xml:space="preserve">DIRECT COSTS (incl. own labour at standard rate and onerous contract provisions)</t>
  </si>
  <si>
    <t xml:space="preserve">TOTAL DIRECT COSTS</t>
  </si>
  <si>
    <t xml:space="preserve">GROSS PROFIT BY SEGMENT</t>
  </si>
  <si>
    <t xml:space="preserve">revenue + direct costs</t>
  </si>
  <si>
    <t xml:space="preserve">Gross margin %: residential deep retrofit (seai one stop shop)</t>
  </si>
  <si>
    <t xml:space="preserve">Gross margin %: residential renovation and extensions</t>
  </si>
  <si>
    <t xml:space="preserve">Gross margin %: commercial fit-out</t>
  </si>
  <si>
    <t xml:space="preserve">Gross margin %: public sector retrofit (council)</t>
  </si>
  <si>
    <t xml:space="preserve">GROSS PROFIT</t>
  </si>
  <si>
    <t xml:space="preserve">SITE RESOURCE COSTS NOT CHARGED TO JOBS</t>
  </si>
  <si>
    <t xml:space="preserve">Labour recovery variance (+ over / - under-recovery)</t>
  </si>
  <si>
    <t xml:space="preserve">Fleet running costs and small tools</t>
  </si>
  <si>
    <t xml:space="preserve">Total site resource costs</t>
  </si>
  <si>
    <t xml:space="preserve">CONTRIBUTION AFTER SITE RESOURCES</t>
  </si>
  <si>
    <t xml:space="preserve">Contribution %</t>
  </si>
  <si>
    <t xml:space="preserve">OVERHEADS</t>
  </si>
  <si>
    <t xml:space="preserve">Office payroll (incl. employer PRSI and pension)</t>
  </si>
  <si>
    <t xml:space="preserve">Rent: office and yard</t>
  </si>
  <si>
    <t xml:space="preserve">Insurance (public, employer and contractors all risks)</t>
  </si>
  <si>
    <t xml:space="preserve">IT, software and estimating tools</t>
  </si>
  <si>
    <t xml:space="preserve">Marketing and lead generation (residential)</t>
  </si>
  <si>
    <t xml:space="preserve">Professional fees (audit, legal, tax)</t>
  </si>
  <si>
    <t xml:space="preserve">Training, health and safety, PPE</t>
  </si>
  <si>
    <t xml:space="preserve">Office and administration</t>
  </si>
  <si>
    <t xml:space="preserve">Motor (non-site vehicles)</t>
  </si>
  <si>
    <t xml:space="preserve">Subscriptions and memberships</t>
  </si>
  <si>
    <t xml:space="preserve">Bond commission</t>
  </si>
  <si>
    <t xml:space="preserve">Bad debts and specific provisions</t>
  </si>
  <si>
    <t xml:space="preserve">TOTAL OVERHEADS</t>
  </si>
  <si>
    <t xml:space="preserve">BELOW EBITDA</t>
  </si>
  <si>
    <t xml:space="preserve">Depreciation</t>
  </si>
  <si>
    <t xml:space="preserve">EBIT</t>
  </si>
  <si>
    <t xml:space="preserve">Hire purchase interest</t>
  </si>
  <si>
    <t xml:space="preserve">PROFIT BEFORE TAX</t>
  </si>
  <si>
    <t xml:space="preserve">Profit before tax, financial year to date (memo)</t>
  </si>
  <si>
    <t xml:space="preserve">Corporation tax on the year to date (12.5%, no tax on losses)</t>
  </si>
  <si>
    <t xml:space="preserve">Corporation tax</t>
  </si>
  <si>
    <t xml:space="preserve">cumulative method</t>
  </si>
  <si>
    <t xml:space="preserve">NET PROFIT</t>
  </si>
  <si>
    <t xml:space="preserve">Net margin %</t>
  </si>
  <si>
    <t xml:space="preserve">Own site labour sits in direct costs at the standard rate; the difference to actual payroll and agency cost is the recovery variance. Corporation tax accrues on the cumulative profit of each year; losses are not carried forward in the model.</t>
  </si>
  <si>
    <t xml:space="preserve">BALANCE SHEET</t>
  </si>
  <si>
    <t xml:space="preserve">Every balance comes from a schedule. The check row must be zero in every month. Retentions are shown in current assets as they fall within the operating cycle (IAS 1.68).</t>
  </si>
  <si>
    <t xml:space="preserve">ASSETS</t>
  </si>
  <si>
    <t xml:space="preserve">Trade receivables (homeowners, commercial clients, council)</t>
  </si>
  <si>
    <t xml:space="preserve">SEAI grant claims receivable</t>
  </si>
  <si>
    <t xml:space="preserve">Retentions receivable, net of provision</t>
  </si>
  <si>
    <t xml:space="preserve">Contract assets (work done, not yet invoiced)</t>
  </si>
  <si>
    <t xml:space="preserve">WIP + Residential</t>
  </si>
  <si>
    <t xml:space="preserve">Prepayments and other receivables</t>
  </si>
  <si>
    <t xml:space="preserve">opening balance, no movement modelled</t>
  </si>
  <si>
    <t xml:space="preserve">Fixed assets, net book value</t>
  </si>
  <si>
    <t xml:space="preserve">TOTAL ASSETS</t>
  </si>
  <si>
    <t xml:space="preserve">LIABILITIES</t>
  </si>
  <si>
    <t xml:space="preserve">Trade payables: subcontractors</t>
  </si>
  <si>
    <t xml:space="preserve">Retentions held from subcontractors</t>
  </si>
  <si>
    <t xml:space="preserve">Trade payables: materials suppliers</t>
  </si>
  <si>
    <t xml:space="preserve">Trade payables: plant hire and site services</t>
  </si>
  <si>
    <t xml:space="preserve">Trade payables: overhead, fleet and agency suppliers</t>
  </si>
  <si>
    <t xml:space="preserve">RCT payable to Revenue</t>
  </si>
  <si>
    <t xml:space="preserve">PAYE, USC, PRSI and pension payable</t>
  </si>
  <si>
    <t xml:space="preserve">VAT payable / (repayable)</t>
  </si>
  <si>
    <t xml:space="preserve">Contract liabilities (invoiced ahead of work, deposits)</t>
  </si>
  <si>
    <t xml:space="preserve">Onerous contract provisions</t>
  </si>
  <si>
    <t xml:space="preserve">Corporation tax: opening (memo)</t>
  </si>
  <si>
    <t xml:space="preserve">Corporation tax: charge (memo)</t>
  </si>
  <si>
    <t xml:space="preserve">Corporation tax: paid (balance 23-Sep, preliminary 23-Nov)</t>
  </si>
  <si>
    <t xml:space="preserve">small company rules on Assumptions</t>
  </si>
  <si>
    <t xml:space="preserve">Corporation tax payable / (recoverable)</t>
  </si>
  <si>
    <t xml:space="preserve">opening + charge + paid</t>
  </si>
  <si>
    <t xml:space="preserve">Hire purchase: current portion</t>
  </si>
  <si>
    <t xml:space="preserve">Hire purchase: non-current portion</t>
  </si>
  <si>
    <t xml:space="preserve">TOTAL LIABILITIES</t>
  </si>
  <si>
    <t xml:space="preserve">EQUITY</t>
  </si>
  <si>
    <t xml:space="preserve">Share capital</t>
  </si>
  <si>
    <t xml:space="preserve">opening balance</t>
  </si>
  <si>
    <t xml:space="preserve">Retained earnings: opening (memo)</t>
  </si>
  <si>
    <t xml:space="preserve">Net profit (memo)</t>
  </si>
  <si>
    <t xml:space="preserve">Dividends paid</t>
  </si>
  <si>
    <t xml:space="preserve">input (none planned)</t>
  </si>
  <si>
    <t xml:space="preserve">Retained earnings</t>
  </si>
  <si>
    <t xml:space="preserve">TOTAL EQUITY</t>
  </si>
  <si>
    <t xml:space="preserve">TOTAL LIABILITIES AND EQUITY</t>
  </si>
  <si>
    <t xml:space="preserve">CHECK: assets less liabilities and equity (must be zero)</t>
  </si>
  <si>
    <t xml:space="preserve">MEMO</t>
  </si>
  <si>
    <t xml:space="preserve">Working capital tied up in contracts (receivables + SEAI + retentions + contract assets - payables - contract liabilities)</t>
  </si>
  <si>
    <t xml:space="preserve">Net cash / (debt): cash less hire purchase</t>
  </si>
  <si>
    <t xml:space="preserve">CASH FLOW STATEMENT</t>
  </si>
  <si>
    <t xml:space="preserve">Indirect method from the P&amp;L and balance sheet movements, reconciled every month to a direct build of the cash lines in each schedule.</t>
  </si>
  <si>
    <t xml:space="preserve">OPERATING ACTIVITIES (indirect)</t>
  </si>
  <si>
    <t xml:space="preserve">Net profit</t>
  </si>
  <si>
    <t xml:space="preserve">Add back: depreciation</t>
  </si>
  <si>
    <t xml:space="preserve">Add back: interest</t>
  </si>
  <si>
    <t xml:space="preserve">Add back: corporation tax charge</t>
  </si>
  <si>
    <t xml:space="preserve">EBITDA (check equals PL)</t>
  </si>
  <si>
    <t xml:space="preserve">(Increase) / decrease in trade receivables</t>
  </si>
  <si>
    <t xml:space="preserve">BS movement</t>
  </si>
  <si>
    <t xml:space="preserve">(Increase) / decrease in SEAI grant receivable</t>
  </si>
  <si>
    <t xml:space="preserve">(Increase) / decrease in retentions receivable</t>
  </si>
  <si>
    <t xml:space="preserve">(Increase) / decrease in contract assets</t>
  </si>
  <si>
    <t xml:space="preserve">(Increase) / decrease in other receivables</t>
  </si>
  <si>
    <t xml:space="preserve">Increase / (decrease) in subcontractor payables</t>
  </si>
  <si>
    <t xml:space="preserve">Increase / (decrease) in subcontractor retentions</t>
  </si>
  <si>
    <t xml:space="preserve">Increase / (decrease) in materials payables</t>
  </si>
  <si>
    <t xml:space="preserve">Increase / (decrease) in plant and site services payables</t>
  </si>
  <si>
    <t xml:space="preserve">Increase / (decrease) in overhead payables</t>
  </si>
  <si>
    <t xml:space="preserve">Increase / (decrease) in RCT payable</t>
  </si>
  <si>
    <t xml:space="preserve">Increase / (decrease) in payroll taxes payable</t>
  </si>
  <si>
    <t xml:space="preserve">Increase / (decrease) in VAT payable</t>
  </si>
  <si>
    <t xml:space="preserve">Increase / (decrease) in contract liabilities</t>
  </si>
  <si>
    <t xml:space="preserve">Increase / (decrease) in onerous contract provisions</t>
  </si>
  <si>
    <t xml:space="preserve">Cash generated from operations</t>
  </si>
  <si>
    <t xml:space="preserve">Interest paid</t>
  </si>
  <si>
    <t xml:space="preserve">Corporation tax paid</t>
  </si>
  <si>
    <t xml:space="preserve">NET CASH FROM OPERATING ACTIVITIES</t>
  </si>
  <si>
    <t xml:space="preserve">INVESTING ACTIVITIES</t>
  </si>
  <si>
    <t xml:space="preserve">Capital expenditure</t>
  </si>
  <si>
    <t xml:space="preserve">FINANCING ACTIVITIES</t>
  </si>
  <si>
    <t xml:space="preserve">Hire purchase drawn</t>
  </si>
  <si>
    <t xml:space="preserve">Hire purchase principal repaid</t>
  </si>
  <si>
    <t xml:space="preserve">NET CASH FROM FINANCING ACTIVITIES</t>
  </si>
  <si>
    <t xml:space="preserve">CASH</t>
  </si>
  <si>
    <t xml:space="preserve">NET CASH FLOW FOR THE MONTH</t>
  </si>
  <si>
    <t xml:space="preserve">Opening cash</t>
  </si>
  <si>
    <t xml:space="preserve">CLOSING CASH (to balance sheet)</t>
  </si>
  <si>
    <t xml:space="preserve">Free cash flow (operating less capex)</t>
  </si>
  <si>
    <t xml:space="preserve">memo</t>
  </si>
  <si>
    <t xml:space="preserve">DIRECT METHOD (built from the cash lines of each schedule)</t>
  </si>
  <si>
    <t xml:space="preserve">Receipts: retrofit homeowners</t>
  </si>
  <si>
    <t xml:space="preserve">schedule cash line</t>
  </si>
  <si>
    <t xml:space="preserve">Receipts: SEAI grants</t>
  </si>
  <si>
    <t xml:space="preserve">Receipts: renovation homeowners</t>
  </si>
  <si>
    <t xml:space="preserve">Receipts: commercial clients</t>
  </si>
  <si>
    <t xml:space="preserve">Receipts: Kildrum County Council</t>
  </si>
  <si>
    <t xml:space="preserve">Receipts: legacy retentions</t>
  </si>
  <si>
    <t xml:space="preserve">Paid to subcontractors (net of RCT)</t>
  </si>
  <si>
    <t xml:space="preserve">RCT paid to Revenue</t>
  </si>
  <si>
    <t xml:space="preserve">Paid to materials suppliers</t>
  </si>
  <si>
    <t xml:space="preserve">Paid for plant hire and site services</t>
  </si>
  <si>
    <t xml:space="preserve">Paid to overhead, fleet and agency suppliers</t>
  </si>
  <si>
    <t xml:space="preserve">Net wages: site workforce</t>
  </si>
  <si>
    <t xml:space="preserve">Net salaries: office</t>
  </si>
  <si>
    <t xml:space="preserve">PAYE, USC, PRSI and pension remitted</t>
  </si>
  <si>
    <t xml:space="preserve">VAT paid / (repaid)</t>
  </si>
  <si>
    <t xml:space="preserve">Capex paid, incl. VAT</t>
  </si>
  <si>
    <t xml:space="preserve">Hire purchase interest paid</t>
  </si>
  <si>
    <t xml:space="preserve">Hire purchase principal net of new agreements</t>
  </si>
  <si>
    <t xml:space="preserve">NET CASH FLOW, DIRECT METHOD</t>
  </si>
  <si>
    <t xml:space="preserve">CHECK: indirect less direct (must be zero)</t>
  </si>
  <si>
    <t xml:space="preserve">BUDGET VS ACTUAL: YEAR TO DATE AND FULL-YEAR OUTLOOK (EUR)</t>
  </si>
  <si>
    <t xml:space="preserve">YTD = actual months per the Timeline. Outlook = actual months plus the selected scenario forecast for the rest of FY2026. Variance = actual or outlook less budget; favourable is positive for revenue and profit lines.</t>
  </si>
  <si>
    <t xml:space="preserve">YTD actual</t>
  </si>
  <si>
    <t xml:space="preserve">YTD budget</t>
  </si>
  <si>
    <t xml:space="preserve">Variance</t>
  </si>
  <si>
    <t xml:space="preserve">Variance %</t>
  </si>
  <si>
    <t xml:space="preserve">FY26 outlook</t>
  </si>
  <si>
    <t xml:space="preserve">FY26 budget</t>
  </si>
  <si>
    <t xml:space="preserve">Commentary</t>
  </si>
  <si>
    <t xml:space="preserve">VOLUMES</t>
  </si>
  <si>
    <t xml:space="preserve">Retrofit homes started</t>
  </si>
  <si>
    <t xml:space="preserve">Renovation jobs started</t>
  </si>
  <si>
    <t xml:space="preserve">Revenue: residential deep retrofit (seai one stop shop)</t>
  </si>
  <si>
    <t xml:space="preserve">Revenue: residential renovation and extensions</t>
  </si>
  <si>
    <t xml:space="preserve">Revenue: commercial fit-out</t>
  </si>
  <si>
    <t xml:space="preserve">Revenue: public sector retrofit (council)</t>
  </si>
  <si>
    <t xml:space="preserve">Gross profit: residential deep retrofit (seai one stop shop)</t>
  </si>
  <si>
    <t xml:space="preserve">Gross profit: residential renovation and extensions</t>
  </si>
  <si>
    <t xml:space="preserve">Gross profit: commercial fit-out</t>
  </si>
  <si>
    <t xml:space="preserve">Gross profit: public sector retrofit (council)</t>
  </si>
  <si>
    <t xml:space="preserve">Labour recovery variance</t>
  </si>
  <si>
    <t xml:space="preserve">Office payroll</t>
  </si>
  <si>
    <t xml:space="preserve">BALANCES AT THE LAST ACTUAL MONTH (YTD columns) AND AT DEC-26 (FY columns)</t>
  </si>
  <si>
    <t xml:space="preserve">Trade receivables and SEAI grants</t>
  </si>
  <si>
    <t xml:space="preserve">Contract assets less contract liabilities</t>
  </si>
  <si>
    <t xml:space="preserve">YTD GROSS PROFIT BRIDGE BY SEGMENT: VOLUME AND MARGIN EFFECTS</t>
  </si>
  <si>
    <t xml:space="preserve">Segment</t>
  </si>
  <si>
    <t xml:space="preserve">Actual revenue YTD</t>
  </si>
  <si>
    <t xml:space="preserve">Budget revenue YTD</t>
  </si>
  <si>
    <t xml:space="preserve">Actual margin</t>
  </si>
  <si>
    <t xml:space="preserve">Budget margin</t>
  </si>
  <si>
    <t xml:space="preserve">Volume effect</t>
  </si>
  <si>
    <t xml:space="preserve">Margin effect</t>
  </si>
  <si>
    <t xml:space="preserve">Total variance</t>
  </si>
  <si>
    <t xml:space="preserve">Check vs P&amp;L variance</t>
  </si>
  <si>
    <t xml:space="preserve">TOTAL</t>
  </si>
  <si>
    <t xml:space="preserve">Volume effect = revenue variance x budget margin. Margin effect = actual revenue x (actual - budget margin). Together they equal the gross profit variance by segment.</t>
  </si>
  <si>
    <t xml:space="preserve">SCENARIO COMPARISON: BASE, DOWNSIDE (WORST) AND UPSIDE (BEST)</t>
  </si>
  <si>
    <t xml:space="preserve">Columns C to E hold snapshot values written by running the full model under each scenario (run date in B5). Column F is live for the scenario selected on Assumptions and must equal its snapshot (check in G). Drivers below are live links to Assumptions.</t>
  </si>
  <si>
    <t xml:space="preserve">Snapshot run date</t>
  </si>
  <si>
    <t xml:space="preserve">13-Sep-2026</t>
  </si>
  <si>
    <t xml:space="preserve">Selected scenario (live)</t>
  </si>
  <si>
    <t xml:space="preserve">Metric</t>
  </si>
  <si>
    <t xml:space="preserve">Unit</t>
  </si>
  <si>
    <t xml:space="preserve">Base</t>
  </si>
  <si>
    <t xml:space="preserve">Downside</t>
  </si>
  <si>
    <t xml:space="preserve">Upside</t>
  </si>
  <si>
    <t xml:space="preserve">Live (selected)</t>
  </si>
  <si>
    <t xml:space="preserve">Check: live less snapshot</t>
  </si>
  <si>
    <t xml:space="preserve">FY2026 revenue (outlook)</t>
  </si>
  <si>
    <t xml:space="preserve">FY2027 revenue</t>
  </si>
  <si>
    <t xml:space="preserve">FY2026 gross margin %</t>
  </si>
  <si>
    <t xml:space="preserve">%</t>
  </si>
  <si>
    <t xml:space="preserve">FY2026 commercial fit-out gross margin %</t>
  </si>
  <si>
    <t xml:space="preserve">FY2026 EBITDA</t>
  </si>
  <si>
    <t xml:space="preserve">FY2026 EBITDA %</t>
  </si>
  <si>
    <t xml:space="preserve">FY2026 net profit</t>
  </si>
  <si>
    <t xml:space="preserve">FY2027 gross margin %</t>
  </si>
  <si>
    <t xml:space="preserve">FY2027 EBITDA</t>
  </si>
  <si>
    <t xml:space="preserve">FY2027 EBITDA %</t>
  </si>
  <si>
    <t xml:space="preserve">FY2027 net profit</t>
  </si>
  <si>
    <t xml:space="preserve">Cash at 31-Dec-26</t>
  </si>
  <si>
    <t xml:space="preserve">Cash at 31-Dec-27</t>
  </si>
  <si>
    <t xml:space="preserve">Lowest month-end cash, Sep-26 to Dec-27</t>
  </si>
  <si>
    <t xml:space="preserve">Month of the lowest cash</t>
  </si>
  <si>
    <t xml:space="preserve">month</t>
  </si>
  <si>
    <t xml:space="preserve">Headroom at the lowest point vs the cash buffer (negative = shortfall)</t>
  </si>
  <si>
    <t xml:space="preserve">Secured work in hand at 31-Dec-26</t>
  </si>
  <si>
    <t xml:space="preserve">Weighted pipeline at 31-Dec-26</t>
  </si>
  <si>
    <t xml:space="preserve">Working capital tied up in contracts at 31-Dec-26</t>
  </si>
  <si>
    <t xml:space="preserve">FY2027 site utilisation</t>
  </si>
  <si>
    <t xml:space="preserve">FY2027 labour recovery variance</t>
  </si>
  <si>
    <t xml:space="preserve">Pending variations: expected final value</t>
  </si>
  <si>
    <t xml:space="preserve">Total of check column (must be zero)</t>
  </si>
  <si>
    <t xml:space="preserve">KEY DRIVERS BY SCENARIO (live links to Assumptions)</t>
  </si>
  <si>
    <t xml:space="preserve">Win probabilities by pipeline contract and scenario are on Project_Register. To refresh the snapshots: set Assumptions!C11 to 1, 2 and 3 in turn, recalculate, and paste column F as values into C, D and E.</t>
  </si>
  <si>
    <t xml:space="preserve">13-WEEK CASH FORECAST, DIRECT METHOD (EUR)</t>
  </si>
  <si>
    <t xml:space="preserve">Weeks ending Friday 18-Sep-26 to Friday 11-Dec-26. Opening cash = Aug-26 ledger cash plus actual movements 1 to 11 Sep (column C, per bank). Each line phases its monthly model amount (columns D to G) into weeks with the timing rule in column B; closing cash at 11-Dec plus the remaining December flows reconciles to the monthly balance sheet.</t>
  </si>
  <si>
    <t xml:space="preserve">Timing rule</t>
  </si>
  <si>
    <t xml:space="preserve">Actual 1-11 Sep</t>
  </si>
  <si>
    <t xml:space="preserve">Sep-26 monthly model</t>
  </si>
  <si>
    <t xml:space="preserve">Oct-26 monthly model</t>
  </si>
  <si>
    <t xml:space="preserve">Nov-26 monthly model</t>
  </si>
  <si>
    <t xml:space="preserve">Dec-26 monthly model</t>
  </si>
  <si>
    <t xml:space="preserve">W1</t>
  </si>
  <si>
    <t xml:space="preserve">W2</t>
  </si>
  <si>
    <t xml:space="preserve">W3</t>
  </si>
  <si>
    <t xml:space="preserve">W4</t>
  </si>
  <si>
    <t xml:space="preserve">W5</t>
  </si>
  <si>
    <t xml:space="preserve">W6</t>
  </si>
  <si>
    <t xml:space="preserve">W7</t>
  </si>
  <si>
    <t xml:space="preserve">W8</t>
  </si>
  <si>
    <t xml:space="preserve">W9</t>
  </si>
  <si>
    <t xml:space="preserve">W10</t>
  </si>
  <si>
    <t xml:space="preserve">W11</t>
  </si>
  <si>
    <t xml:space="preserve">W12</t>
  </si>
  <si>
    <t xml:space="preserve">W13</t>
  </si>
  <si>
    <t xml:space="preserve">Total 13 weeks</t>
  </si>
  <si>
    <t xml:space="preserve">Share of December inside the window</t>
  </si>
  <si>
    <t xml:space="preserve">December flows after 11-Dec</t>
  </si>
  <si>
    <t xml:space="preserve">Week ending (Friday)</t>
  </si>
  <si>
    <t xml:space="preserve">Week starting (Saturday)</t>
  </si>
  <si>
    <t xml:space="preserve">opening as at</t>
  </si>
  <si>
    <t xml:space="preserve">Month of week end</t>
  </si>
  <si>
    <t xml:space="preserve">PHASING WEIGHTS BY RULE AND MONTH (helper rows)</t>
  </si>
  <si>
    <t xml:space="preserve">Calendar days: share of Sep-26 falling in the week (after the opening date)</t>
  </si>
  <si>
    <t xml:space="preserve">Calendar days: share of Oct-26 falling in the week (after the opening date)</t>
  </si>
  <si>
    <t xml:space="preserve">Calendar days: share of Nov-26 falling in the week (after the opening date)</t>
  </si>
  <si>
    <t xml:space="preserve">Calendar days: share of Dec-26 falling in the week (after the opening date)</t>
  </si>
  <si>
    <t xml:space="preserve">1st of Sep-26 falls in the week (1/0), after the opening date only</t>
  </si>
  <si>
    <t xml:space="preserve">1st of Oct-26 falls in the week (1/0), after the opening date only</t>
  </si>
  <si>
    <t xml:space="preserve">1st of Nov-26 falls in the week (1/0), after the opening date only</t>
  </si>
  <si>
    <t xml:space="preserve">1st of Dec-26 falls in the week (1/0), after the opening date only</t>
  </si>
  <si>
    <t xml:space="preserve">15th of Sep-26 falls in the week (1/0), after the opening date only</t>
  </si>
  <si>
    <t xml:space="preserve">15th of Oct-26 falls in the week (1/0), after the opening date only</t>
  </si>
  <si>
    <t xml:space="preserve">15th of Nov-26 falls in the week (1/0), after the opening date only</t>
  </si>
  <si>
    <t xml:space="preserve">15th of Dec-26 falls in the week (1/0), after the opening date only</t>
  </si>
  <si>
    <t xml:space="preserve">23rd of Sep-26 falls in the week (1/0), after the opening date only</t>
  </si>
  <si>
    <t xml:space="preserve">23rd of Oct-26 falls in the week (1/0), after the opening date only</t>
  </si>
  <si>
    <t xml:space="preserve">23rd of Nov-26 falls in the week (1/0), after the opening date only</t>
  </si>
  <si>
    <t xml:space="preserve">23rd of Dec-26 falls in the week (1/0), after the opening date only</t>
  </si>
  <si>
    <t xml:space="preserve">25th of Sep-26 falls in the week (1/0), after the opening date only</t>
  </si>
  <si>
    <t xml:space="preserve">25th of Oct-26 falls in the week (1/0), after the opening date only</t>
  </si>
  <si>
    <t xml:space="preserve">25th of Nov-26 falls in the week (1/0), after the opening date only</t>
  </si>
  <si>
    <t xml:space="preserve">25th of Dec-26 falls in the week (1/0), after the opening date only</t>
  </si>
  <si>
    <t xml:space="preserve">last day of Sep-26 falls in the week (1/0), after the opening date only</t>
  </si>
  <si>
    <t xml:space="preserve">last day of Oct-26 falls in the week (1/0), after the opening date only</t>
  </si>
  <si>
    <t xml:space="preserve">last day of Nov-26 falls in the week (1/0), after the opening date only</t>
  </si>
  <si>
    <t xml:space="preserve">last day of Dec-26 falls in the week (1/0), after the opening date only</t>
  </si>
  <si>
    <t xml:space="preserve">RECEIPTS</t>
  </si>
  <si>
    <t xml:space="preserve">Retrofit homeowners</t>
  </si>
  <si>
    <t xml:space="preserve">calendar days</t>
  </si>
  <si>
    <t xml:space="preserve">SEAI grant payments</t>
  </si>
  <si>
    <t xml:space="preserve">Renovation homeowners</t>
  </si>
  <si>
    <t xml:space="preserve">Commercial clients (payment claims fall due at month end)</t>
  </si>
  <si>
    <t xml:space="preserve">month end</t>
  </si>
  <si>
    <t xml:space="preserve">Kildrum County Council (payment run on the 25th)</t>
  </si>
  <si>
    <t xml:space="preserve">25th (payment run)</t>
  </si>
  <si>
    <t xml:space="preserve">Legacy retention settlements</t>
  </si>
  <si>
    <t xml:space="preserve">15th of month</t>
  </si>
  <si>
    <t xml:space="preserve">TOTAL RECEIPTS</t>
  </si>
  <si>
    <t xml:space="preserve">n/a</t>
  </si>
  <si>
    <t xml:space="preserve">PAYMENTS</t>
  </si>
  <si>
    <t xml:space="preserve">Subcontractors, net of RCT (payment run on the 25th)</t>
  </si>
  <si>
    <t xml:space="preserve">Materials suppliers (month-end account settlement)</t>
  </si>
  <si>
    <t xml:space="preserve">Plant hire and site services</t>
  </si>
  <si>
    <t xml:space="preserve">Overhead, fleet and agency suppliers</t>
  </si>
  <si>
    <t xml:space="preserve">Site wages (weekly)</t>
  </si>
  <si>
    <t xml:space="preserve">Office salaries (25th)</t>
  </si>
  <si>
    <t xml:space="preserve">PAYE, USC, PRSI and pension (23rd)</t>
  </si>
  <si>
    <t xml:space="preserve">23rd (ROS)</t>
  </si>
  <si>
    <t xml:space="preserve">RCT deducted from subcontractors (23rd)</t>
  </si>
  <si>
    <t xml:space="preserve">VAT, bi-monthly return (23rd)</t>
  </si>
  <si>
    <t xml:space="preserve">Corporation tax: FY2025 balance 23-Sep, FY2026 preliminary 23-Nov</t>
  </si>
  <si>
    <t xml:space="preserve">Hire purchase instalments (1st)</t>
  </si>
  <si>
    <t xml:space="preserve">1st of month</t>
  </si>
  <si>
    <t xml:space="preserve">Capex incl. VAT</t>
  </si>
  <si>
    <t xml:space="preserve">TOTAL PAYMENTS</t>
  </si>
  <si>
    <t xml:space="preserve">NET CASH FLOW FOR THE WEEK</t>
  </si>
  <si>
    <t xml:space="preserve">ledger + actual to date</t>
  </si>
  <si>
    <t xml:space="preserve">CLOSING CASH</t>
  </si>
  <si>
    <t xml:space="preserve">CASH CONTROL</t>
  </si>
  <si>
    <t xml:space="preserve">Minimum cash buffer (board policy)</t>
  </si>
  <si>
    <t xml:space="preserve">HEADROOM / (SHORTFALL) VS BUFFER</t>
  </si>
  <si>
    <t xml:space="preserve">Low point in the 13 weeks</t>
  </si>
  <si>
    <t xml:space="preserve">Week ending of the low point</t>
  </si>
  <si>
    <t xml:space="preserve">Headroom at the low point (negative = action needed)</t>
  </si>
  <si>
    <t xml:space="preserve">Undrawn overdraft facility</t>
  </si>
  <si>
    <t xml:space="preserve">Facility headroom after covering any shortfall</t>
  </si>
  <si>
    <t xml:space="preserve">Tax paid in the weeks containing the 23rd (PAYE, RCT, VAT, corporation tax)</t>
  </si>
  <si>
    <t xml:space="preserve">RECONCILIATION TO THE MONTHLY MODEL</t>
  </si>
  <si>
    <t xml:space="preserve">Closing cash at the end of week 13 (11-Dec-26)</t>
  </si>
  <si>
    <t xml:space="preserve">Add: December flows after 11-Dec (column W, by line)</t>
  </si>
  <si>
    <t xml:space="preserve">Implied cash at 31-Dec-26</t>
  </si>
  <si>
    <t xml:space="preserve">Cash at 31-Dec-26 per the monthly balance sheet</t>
  </si>
  <si>
    <t xml:space="preserve">CHECK: difference (must be zero)</t>
  </si>
  <si>
    <t xml:space="preserve">LEVERS IF THE LOW POINT BREACHES THE BUFFER, IN ORDER</t>
  </si>
  <si>
    <t xml:space="preserve">PROJECT AND PROGRAMME PROFITABILITY WITH COST ALLOCATION (FY2026 OUTLOOK)</t>
  </si>
  <si>
    <t xml:space="preserve">Gross profit by contract and programme, then full cost allocation: labour recovery variance and fleet costs by share of own labour charged; overheads absorbed by share of revenue. The allocated net contributions add up to FY2026 EBITDA (check below).</t>
  </si>
  <si>
    <t xml:space="preserve">Contract or programme</t>
  </si>
  <si>
    <t xml:space="preserve">Revenue YTD</t>
  </si>
  <si>
    <t xml:space="preserve">Gross profit YTD</t>
  </si>
  <si>
    <t xml:space="preserve">Margin YTD</t>
  </si>
  <si>
    <t xml:space="preserve">Revenue FY2026</t>
  </si>
  <si>
    <t xml:space="preserve">Direct costs FY2026</t>
  </si>
  <si>
    <t xml:space="preserve">Gross profit FY2026</t>
  </si>
  <si>
    <t xml:space="preserve">Margin FY2026</t>
  </si>
  <si>
    <t xml:space="preserve">Own labour charged FY2026</t>
  </si>
  <si>
    <t xml:space="preserve">Share of labour recovery variance</t>
  </si>
  <si>
    <t xml:space="preserve">Share of fleet costs</t>
  </si>
  <si>
    <t xml:space="preserve">Overhead absorption</t>
  </si>
  <si>
    <t xml:space="preserve">Net contribution FY2026</t>
  </si>
  <si>
    <t xml:space="preserve">Net margin</t>
  </si>
  <si>
    <t xml:space="preserve">Tender margin</t>
  </si>
  <si>
    <t xml:space="preserve">Forecast final margin</t>
  </si>
  <si>
    <t xml:space="preserve">Margin movement vs tender</t>
  </si>
  <si>
    <t xml:space="preserve">Pending variations (claimed)</t>
  </si>
  <si>
    <t xml:space="preserve">Contract position at last actual (+ asset / - liability)</t>
  </si>
  <si>
    <t xml:space="preserve">Receivable at last actual</t>
  </si>
  <si>
    <t xml:space="preserve">Retention held at last actual</t>
  </si>
  <si>
    <t xml:space="preserve">Cash collected less cost to date (ex VAT)</t>
  </si>
  <si>
    <t xml:space="preserve">CF-2501</t>
  </si>
  <si>
    <t xml:space="preserve">PS-2502</t>
  </si>
  <si>
    <t xml:space="preserve">CF-2601</t>
  </si>
  <si>
    <t xml:space="preserve">CF-2602</t>
  </si>
  <si>
    <t xml:space="preserve">CF-2603</t>
  </si>
  <si>
    <t xml:space="preserve">PS-2601</t>
  </si>
  <si>
    <t xml:space="preserve">CF-2604</t>
  </si>
  <si>
    <t xml:space="preserve">PS-2602</t>
  </si>
  <si>
    <t xml:space="preserve">CF-P01</t>
  </si>
  <si>
    <t xml:space="preserve">CF-P02</t>
  </si>
  <si>
    <t xml:space="preserve">CF-P03</t>
  </si>
  <si>
    <t xml:space="preserve">PS-P01</t>
  </si>
  <si>
    <t xml:space="preserve">CF-P04</t>
  </si>
  <si>
    <t xml:space="preserve">CF-P05</t>
  </si>
  <si>
    <t xml:space="preserve">CF-P06</t>
  </si>
  <si>
    <t xml:space="preserve">Deep retrofit programme (SEAI One Stop Shop)</t>
  </si>
  <si>
    <t xml:space="preserve">RR</t>
  </si>
  <si>
    <t xml:space="preserve">Programme</t>
  </si>
  <si>
    <t xml:space="preserve">Renovation and extensions programme</t>
  </si>
  <si>
    <t xml:space="preserve">RX</t>
  </si>
  <si>
    <t xml:space="preserve">FY2026 EBITDA per the P&amp;L</t>
  </si>
  <si>
    <t xml:space="preserve">Check: allocated net contributions less EBITDA (must be zero)</t>
  </si>
  <si>
    <t xml:space="preserve">Pipeline contracts are probability-weighted. Forecast final margin = (contract revenue at the end of the horizon - forecast cost at completion) / contract revenue; for programmes, the scenario gross margin. Cash collected less cost to date is a funding indicator, not a cash balance: cost incurred is not all paid.</t>
  </si>
  <si>
    <t xml:space="preserve">WORK IN PROGRESS: NAMED CONTRACTS (PERCENTAGE OF COMPLETION, COST TO COMPLETE, VALUATIONS, RETENTIONS, CASH)</t>
  </si>
  <si>
    <t xml:space="preserve">Revenue over time on the cost-to-cost input method (IFRS 15.B18): % complete = cost to date / estimated cost at completion. Actual months from the ledger and certificates; forecast months spread the remaining cost on an S-curve to the effective completion date. Expected losses are provided in full (IAS 37 onerous contracts).</t>
  </si>
  <si>
    <t xml:space="preserve">CF-2501   Office fit-out, 1,850 m2, Dublin 2   |   Northwall Analytics Ltd   |   segment CF   |   Completed</t>
  </si>
  <si>
    <t xml:space="preserve">Programme position (elapsed share of duration)</t>
  </si>
  <si>
    <t xml:space="preserve">effective dates, Project_Register</t>
  </si>
  <si>
    <t xml:space="preserve">S-curve: cumulative share of cost at month end</t>
  </si>
  <si>
    <t xml:space="preserve">3x^2 - 2x^3</t>
  </si>
  <si>
    <t xml:space="preserve">S-curve: cumulative share at prior month end</t>
  </si>
  <si>
    <t xml:space="preserve">Cost: own labour (allocated at standard rate)</t>
  </si>
  <si>
    <t xml:space="preserve">A: cost ledger; F: remaining cost x S-curve x mix</t>
  </si>
  <si>
    <t xml:space="preserve">Cost: subcontractors</t>
  </si>
  <si>
    <t xml:space="preserve">Cost: materials</t>
  </si>
  <si>
    <t xml:space="preserve">Cost: plant hire</t>
  </si>
  <si>
    <t xml:space="preserve">Cost: preliminaries and site services</t>
  </si>
  <si>
    <t xml:space="preserve">COST INCURRED IN THE MONTH</t>
  </si>
  <si>
    <t xml:space="preserve">sum of cost types</t>
  </si>
  <si>
    <t xml:space="preserve">Cost to date</t>
  </si>
  <si>
    <t xml:space="preserve">opening + cost</t>
  </si>
  <si>
    <t xml:space="preserve">Estimated cost at completion</t>
  </si>
  <si>
    <t xml:space="preserve">A: cost to date + cost report; F: Project_Register</t>
  </si>
  <si>
    <t xml:space="preserve">Percentage complete</t>
  </si>
  <si>
    <t xml:space="preserve">cost to date / cost at completion</t>
  </si>
  <si>
    <t xml:space="preserve">Variations approved to date</t>
  </si>
  <si>
    <t xml:space="preserve">Variations register</t>
  </si>
  <si>
    <t xml:space="preserve">Variations raised, not yet decided (claimed)</t>
  </si>
  <si>
    <t xml:space="preserve">Pending variations past their expected decision date (claimed)</t>
  </si>
  <si>
    <t xml:space="preserve">Contract revenue estimate</t>
  </si>
  <si>
    <t xml:space="preserve">contract + approved + policy x undecided + agreed x decided</t>
  </si>
  <si>
    <t xml:space="preserve">Revenue recognised to date</t>
  </si>
  <si>
    <t xml:space="preserve">A: ledger; F: % complete x contract revenue</t>
  </si>
  <si>
    <t xml:space="preserve">REVENUE IN THE MONTH</t>
  </si>
  <si>
    <t xml:space="preserve">change in revenue to date</t>
  </si>
  <si>
    <t xml:space="preserve">Onerous contract provision</t>
  </si>
  <si>
    <t xml:space="preserve">max(0, cost at completion - contract revenue) x (1 - % complete)</t>
  </si>
  <si>
    <t xml:space="preserve">Onerous provision (charge) / release</t>
  </si>
  <si>
    <t xml:space="preserve">GROSS PROFIT IN THE MONTH</t>
  </si>
  <si>
    <t xml:space="preserve">revenue - cost + provision movement</t>
  </si>
  <si>
    <t xml:space="preserve">Billing basis (contract + approved + agreed variations)</t>
  </si>
  <si>
    <t xml:space="preserve">Gross value certified to date</t>
  </si>
  <si>
    <t xml:space="preserve">A: certificates; F: prior-month % complete x billing basis; final account in full</t>
  </si>
  <si>
    <t xml:space="preserve">Certified in the month</t>
  </si>
  <si>
    <t xml:space="preserve">Retention held by the client</t>
  </si>
  <si>
    <t xml:space="preserve">retention % x certified x unreleased share</t>
  </si>
  <si>
    <t xml:space="preserve">Retention withheld / (released) in the month</t>
  </si>
  <si>
    <t xml:space="preserve">Invoiced ex VAT (certified less retention movement)</t>
  </si>
  <si>
    <t xml:space="preserve">Output VAT on invoices</t>
  </si>
  <si>
    <t xml:space="preserve">0% where the council accounts under the reverse charge</t>
  </si>
  <si>
    <t xml:space="preserve">Invoiced incl. VAT</t>
  </si>
  <si>
    <t xml:space="preserve">Cash received incl. VAT</t>
  </si>
  <si>
    <t xml:space="preserve">A: bank; F: opening + invoiced - closing at payment days</t>
  </si>
  <si>
    <t xml:space="preserve">Trade receivable incl. VAT</t>
  </si>
  <si>
    <t xml:space="preserve">opening + invoiced - received</t>
  </si>
  <si>
    <t xml:space="preserve">Contract position: revenue to date less certified</t>
  </si>
  <si>
    <t xml:space="preserve">+ contract asset / - contract liability</t>
  </si>
  <si>
    <t xml:space="preserve">Contract asset (work done, not yet certified)</t>
  </si>
  <si>
    <t xml:space="preserve">Contract liability (certified ahead of work)</t>
  </si>
  <si>
    <t xml:space="preserve">Subcontract cost to date</t>
  </si>
  <si>
    <t xml:space="preserve">Retention held from subcontractors</t>
  </si>
  <si>
    <t xml:space="preserve">Subcontractor retention withheld / (released)</t>
  </si>
  <si>
    <t xml:space="preserve">Performance bond outstanding</t>
  </si>
  <si>
    <t xml:space="preserve">bond % x contract, award to practical completion</t>
  </si>
  <si>
    <t xml:space="preserve">Remaining contract revenue (secured from award; pipeline weighted throughout)</t>
  </si>
  <si>
    <t xml:space="preserve">Order intake (contract value in the award month)</t>
  </si>
  <si>
    <t xml:space="preserve">Check (actual months): revenue to date less % complete x contract revenue</t>
  </si>
  <si>
    <t xml:space="preserve">must be zero</t>
  </si>
  <si>
    <t xml:space="preserve">PS-2502   Deep retrofit of 24 council homes, Phase 1   |   Kildrum County Council   |   segment PS   |   Completed</t>
  </si>
  <si>
    <t xml:space="preserve">CF-2601   Office fit-out, 2,300 m2, Dublin 4   |   Harbourline Insurance DAC   |   segment CF   |   In progress</t>
  </si>
  <si>
    <t xml:space="preserve">CF-2602   Hotel bedroom refurbishment, 64 rooms   |   Tolka Hospitality Ltd   |   segment CF   |   In progress</t>
  </si>
  <si>
    <t xml:space="preserve">CF-2603   Restaurant fit-out, Dublin 7   |   Ember &amp; Oak Restaurants Ltd   |   segment CF   |   In progress</t>
  </si>
  <si>
    <t xml:space="preserve">PS-2601   Deep retrofit of 30 council homes, Phase 2   |   Kildrum County Council   |   segment PS   |   In progress</t>
  </si>
  <si>
    <t xml:space="preserve">CF-2604   Medical clinic fit-out, Dublin 15   |   Liffeyside Medical Partners   |   segment CF   |   Contracted</t>
  </si>
  <si>
    <t xml:space="preserve">PS-2602   Deep retrofit of 40 council homes, Phase 3   |   Kildrum County Council   |   segment PS   |   Contracted</t>
  </si>
  <si>
    <t xml:space="preserve">CF-P01   Office fit-out, 3,100 m2, Dublin 2   |   Quayside Capital Partners   |   segment CF   |   Pipeline</t>
  </si>
  <si>
    <t xml:space="preserve">CF-P02   Retail flagship fit-out, city centre   |   Maple &amp; Rowe Retail Ltd   |   segment CF   |   Pipeline</t>
  </si>
  <si>
    <t xml:space="preserve">CF-P03   Hotel public areas refurbishment (phase 2)   |   Tolka Hospitality Ltd   |   segment CF   |   Pipeline</t>
  </si>
  <si>
    <t xml:space="preserve">PS-P01   Deep retrofit of 32 council homes, Phase 4   |   Kildrum County Council   |   segment PS   |   Pipeline</t>
  </si>
  <si>
    <t xml:space="preserve">CF-P04   Office fit-out, 1,200 m2, Sandyford   |   Brightlane Software Ltd   |   segment CF   |   Pipeline</t>
  </si>
  <si>
    <t xml:space="preserve">CF-P05   Office refurbishment and M&amp;E upgrade, Dublin 2   |   Merrion Row Holdings Ltd   |   segment CF   |   Pipeline</t>
  </si>
  <si>
    <t xml:space="preserve">CF-P06   Hotel refurbishment, 48 rooms, Galway   |   Corrib Bay Hotels Ltd   |   segment CF   |   Pipeline</t>
  </si>
  <si>
    <t xml:space="preserve">TOTALS: COMMERCIAL FIT-OUT CONTRACTS</t>
  </si>
  <si>
    <t xml:space="preserve">sum of contracts</t>
  </si>
  <si>
    <t xml:space="preserve">Direct cost</t>
  </si>
  <si>
    <t xml:space="preserve">Own labour (allocated at standard rate)</t>
  </si>
  <si>
    <t xml:space="preserve">Subcontractors</t>
  </si>
  <si>
    <t xml:space="preserve">Materials</t>
  </si>
  <si>
    <t xml:space="preserve">Plant hire</t>
  </si>
  <si>
    <t xml:space="preserve">Preliminaries and site services</t>
  </si>
  <si>
    <t xml:space="preserve">Onerous provision movement</t>
  </si>
  <si>
    <t xml:space="preserve">Gross profit</t>
  </si>
  <si>
    <t xml:space="preserve">Contract liabilities</t>
  </si>
  <si>
    <t xml:space="preserve">Retention receivable</t>
  </si>
  <si>
    <t xml:space="preserve">Retention withheld / (released)</t>
  </si>
  <si>
    <t xml:space="preserve">Subcontractor retention payable</t>
  </si>
  <si>
    <t xml:space="preserve">Invoiced ex VAT</t>
  </si>
  <si>
    <t xml:space="preserve">Output VAT</t>
  </si>
  <si>
    <t xml:space="preserve">Cash received</t>
  </si>
  <si>
    <t xml:space="preserve">Trade receivables incl. VAT</t>
  </si>
  <si>
    <t xml:space="preserve">Performance bonds outstanding</t>
  </si>
  <si>
    <t xml:space="preserve">Order book (remaining contract revenue)</t>
  </si>
  <si>
    <t xml:space="preserve">Order intake</t>
  </si>
  <si>
    <t xml:space="preserve">TOTALS: PUBLIC SECTOR RETROFIT CONTRACTS</t>
  </si>
  <si>
    <t xml:space="preserve">TOTALS: ALL NAMED CONTRACTS</t>
  </si>
  <si>
    <t xml:space="preserve">commercial + public sector</t>
  </si>
  <si>
    <t xml:space="preserve">Secured order book: contracts in progress, contracted or completed</t>
  </si>
  <si>
    <t xml:space="preserve">Pipeline, probability-weighted remaining revenue</t>
  </si>
  <si>
    <t xml:space="preserve">RESIDENTIAL PROGRAMMES: DEEP RETROFIT (SEAI ONE STOP SHOP) AND RENOVATION</t>
  </si>
  <si>
    <t xml:space="preserve">Volume-driven: jobs started x average value, earned over the job duration by the monthly shares on Assumptions. Retrofit homeowners pay the price net of the SEAI grant, which the company claims after completion and the post-works BER. Positions are netted at programme level (see Guide).</t>
  </si>
  <si>
    <t xml:space="preserve">DEEP RETROFIT PROGRAMME (SEAI ONE STOP SHOP)</t>
  </si>
  <si>
    <t xml:space="preserve">Deseasonalised run-rate: jobs started per month</t>
  </si>
  <si>
    <t xml:space="preserve">helper: single value in column C</t>
  </si>
  <si>
    <t xml:space="preserve">Average contract value, latest three actual months (value-weighted)</t>
  </si>
  <si>
    <t xml:space="preserve">Average SEAI grant per home, latest three actual months</t>
  </si>
  <si>
    <t xml:space="preserve">Jobs started</t>
  </si>
  <si>
    <t xml:space="preserve">A: job system; F: run-rate x seasonality x growth</t>
  </si>
  <si>
    <t xml:space="preserve">Average contract value ex VAT</t>
  </si>
  <si>
    <t xml:space="preserve">A: job system; F: latest average x price change</t>
  </si>
  <si>
    <t xml:space="preserve">Value of jobs started ex VAT</t>
  </si>
  <si>
    <t xml:space="preserve">starts x average value</t>
  </si>
  <si>
    <t xml:space="preserve">Average SEAI grant per home</t>
  </si>
  <si>
    <t xml:space="preserve">A: grant applications; F: latest average</t>
  </si>
  <si>
    <t xml:space="preserve">REVENUE EARNED</t>
  </si>
  <si>
    <t xml:space="preserve">A: ledger; F: value started in each of the last months x monthly share</t>
  </si>
  <si>
    <t xml:space="preserve">A: cost ledger; F: revenue x (1 - gross margin) x mix</t>
  </si>
  <si>
    <t xml:space="preserve">DIRECT COST</t>
  </si>
  <si>
    <t xml:space="preserve">Homeowner portion of jobs started, incl. VAT (price less grant)</t>
  </si>
  <si>
    <t xml:space="preserve">starts x (value x (1 + VAT) - grant)</t>
  </si>
  <si>
    <t xml:space="preserve">Homeowner invoices incl. VAT</t>
  </si>
  <si>
    <t xml:space="preserve">A: sales ledger; F: stage shares of the homeowner portion</t>
  </si>
  <si>
    <t xml:space="preserve">SEAI grant claims lodged incl. VAT</t>
  </si>
  <si>
    <t xml:space="preserve">A: claims; F: homes completed the claim lag earlier x grant</t>
  </si>
  <si>
    <t xml:space="preserve">Total invoiced and claimed incl. VAT</t>
  </si>
  <si>
    <t xml:space="preserve">Programme position: earned less invoiced ex VAT</t>
  </si>
  <si>
    <t xml:space="preserve">Contract asset</t>
  </si>
  <si>
    <t xml:space="preserve">Contract liability (deposits ahead of work)</t>
  </si>
  <si>
    <t xml:space="preserve">Cash received from homeowners</t>
  </si>
  <si>
    <t xml:space="preserve">Homeowner receivables incl. VAT</t>
  </si>
  <si>
    <t xml:space="preserve">SEAI grant cash received</t>
  </si>
  <si>
    <t xml:space="preserve">A: bank; F: opening + claims - closing at SEAI payment days</t>
  </si>
  <si>
    <t xml:space="preserve">SEAI grant receivable</t>
  </si>
  <si>
    <t xml:space="preserve">SEAI grant days outstanding (receivable / average claims of the last three months x 30)</t>
  </si>
  <si>
    <t xml:space="preserve">Homes completed</t>
  </si>
  <si>
    <t xml:space="preserve">starts two months earlier</t>
  </si>
  <si>
    <t xml:space="preserve">Order book: value of started jobs not yet earned</t>
  </si>
  <si>
    <t xml:space="preserve">RENOVATION AND EXTENSIONS PROGRAMME</t>
  </si>
  <si>
    <t xml:space="preserve">Invoices incl. VAT</t>
  </si>
  <si>
    <t xml:space="preserve">A: sales ledger; F: deposit + progress + snag release</t>
  </si>
  <si>
    <t xml:space="preserve">RESIDENTIAL TOTALS</t>
  </si>
  <si>
    <t xml:space="preserve">retrofit + renovation</t>
  </si>
  <si>
    <t xml:space="preserve">Cash from homeowners</t>
  </si>
  <si>
    <t xml:space="preserve">Homeowner receivables</t>
  </si>
  <si>
    <t xml:space="preserve">Order book in flight</t>
  </si>
  <si>
    <t xml:space="preserve">ORDER BOOK, PIPELINE AND COVER</t>
  </si>
  <si>
    <t xml:space="preserve">Secured work = remaining revenue on contracts in progress or signed plus residential jobs started and not yet earned. Pipeline is weighted by the win probability of the selected scenario. Cover = secured work / average revenue of the latest three months.</t>
  </si>
  <si>
    <t xml:space="preserve">ORDER BOOK AND COVER</t>
  </si>
  <si>
    <t xml:space="preserve">Named contracts: remaining revenue (secured)</t>
  </si>
  <si>
    <t xml:space="preserve">Residential jobs started, not yet earned</t>
  </si>
  <si>
    <t xml:space="preserve">SECURED WORK IN HAND</t>
  </si>
  <si>
    <t xml:space="preserve">Months of cover (secured / average revenue of latest three months)</t>
  </si>
  <si>
    <t xml:space="preserve">ORDER INTAKE</t>
  </si>
  <si>
    <t xml:space="preserve">Named contracts awarded (probability-weighted)</t>
  </si>
  <si>
    <t xml:space="preserve">Residential jobs started (value)</t>
  </si>
  <si>
    <t xml:space="preserve">TOTAL ORDER INTAKE</t>
  </si>
  <si>
    <t xml:space="preserve">intake / revenue</t>
  </si>
  <si>
    <t xml:space="preserve">CONTRACTS NOT YET STARTED AND PIPELINE OPPORTUNITIES (selected scenario)</t>
  </si>
  <si>
    <t xml:space="preserve">Contract</t>
  </si>
  <si>
    <t xml:space="preserve">Client (fictional)</t>
  </si>
  <si>
    <t xml:space="preserve">Status / stage</t>
  </si>
  <si>
    <t xml:space="preserve">Contract value</t>
  </si>
  <si>
    <t xml:space="preserve">Win % Base</t>
  </si>
  <si>
    <t xml:space="preserve">Win % Downside</t>
  </si>
  <si>
    <t xml:space="preserve">Win % Upside</t>
  </si>
  <si>
    <t xml:space="preserve">Win % selected</t>
  </si>
  <si>
    <t xml:space="preserve">Weighted value</t>
  </si>
  <si>
    <t xml:space="preserve">Effective start</t>
  </si>
  <si>
    <t xml:space="preserve">Bond required</t>
  </si>
  <si>
    <t xml:space="preserve">Tender margin %</t>
  </si>
  <si>
    <t xml:space="preserve">VARIATIONS REGISTER (FICTIONAL)</t>
  </si>
  <si>
    <t xml:space="preserve">Every variation raised on named contracts. Approved = instructed and valued by the client; Pending = submitted, undecided (expected decision date in column G); Rejected = refused. While undecided a variation counts in contract value at the policy constraint; on its decision date at the scenario agreed share.</t>
  </si>
  <si>
    <t xml:space="preserve">Ref</t>
  </si>
  <si>
    <t xml:space="preserve">Project</t>
  </si>
  <si>
    <t xml:space="preserve">Description</t>
  </si>
  <si>
    <t xml:space="preserve">Date raised</t>
  </si>
  <si>
    <t xml:space="preserve">Value claimed</t>
  </si>
  <si>
    <t xml:space="preserve">Status at last actual</t>
  </si>
  <si>
    <t xml:space="preserve">Decision date (actual or expected)</t>
  </si>
  <si>
    <t xml:space="preserve">Value approved</t>
  </si>
  <si>
    <t xml:space="preserve">In contract value at last actual</t>
  </si>
  <si>
    <t xml:space="preserve">Expected final value (selected scenario)</t>
  </si>
  <si>
    <t xml:space="preserve">Approved as % of claimed</t>
  </si>
  <si>
    <t xml:space="preserve">Days open (pending)</t>
  </si>
  <si>
    <t xml:space="preserve">V-CF2501-01</t>
  </si>
  <si>
    <t xml:space="preserve">Additional meeting room partitions</t>
  </si>
  <si>
    <t xml:space="preserve">Approved</t>
  </si>
  <si>
    <t xml:space="preserve">V-CF2501-02</t>
  </si>
  <si>
    <t xml:space="preserve">Upgraded lighting controls</t>
  </si>
  <si>
    <t xml:space="preserve">V-CF2501-03</t>
  </si>
  <si>
    <t xml:space="preserve">Out-of-hours working requested by the client</t>
  </si>
  <si>
    <t xml:space="preserve">V-CF2501-04</t>
  </si>
  <si>
    <t xml:space="preserve">Disruption and prolongation claim</t>
  </si>
  <si>
    <t xml:space="preserve">Rejected</t>
  </si>
  <si>
    <t xml:space="preserve">V-PS2502-01</t>
  </si>
  <si>
    <t xml:space="preserve">Asbestos removal, 3 homes</t>
  </si>
  <si>
    <t xml:space="preserve">V-PS2502-02</t>
  </si>
  <si>
    <t xml:space="preserve">Additional attic insulation to extension roofs</t>
  </si>
  <si>
    <t xml:space="preserve">V-CF2601-01</t>
  </si>
  <si>
    <t xml:space="preserve">Client change: additional comms room cooling</t>
  </si>
  <si>
    <t xml:space="preserve">V-CF2601-02</t>
  </si>
  <si>
    <t xml:space="preserve">Revised ceiling layout, level 2</t>
  </si>
  <si>
    <t xml:space="preserve">Pending</t>
  </si>
  <si>
    <t xml:space="preserve">V-CF2601-03</t>
  </si>
  <si>
    <t xml:space="preserve">Late design change: raised access floor extension</t>
  </si>
  <si>
    <t xml:space="preserve">V-CF2601-04</t>
  </si>
  <si>
    <t xml:space="preserve">Acceleration to meet the revised handover date</t>
  </si>
  <si>
    <t xml:space="preserve">V-CF2601-05</t>
  </si>
  <si>
    <t xml:space="preserve">Additional signage</t>
  </si>
  <si>
    <t xml:space="preserve">V-CF2602-01</t>
  </si>
  <si>
    <t xml:space="preserve">Bathroom pod upgrades, 12 rooms</t>
  </si>
  <si>
    <t xml:space="preserve">V-CF2602-02</t>
  </si>
  <si>
    <t xml:space="preserve">Corridor carpet replacement</t>
  </si>
  <si>
    <t xml:space="preserve">V-CF2603-01</t>
  </si>
  <si>
    <t xml:space="preserve">Kitchen extract upgrade</t>
  </si>
  <si>
    <t xml:space="preserve">V-PS2601-01</t>
  </si>
  <si>
    <t xml:space="preserve">Structural repairs found on opening up, 4 homes</t>
  </si>
  <si>
    <t xml:space="preserve">V-PS2601-02</t>
  </si>
  <si>
    <t xml:space="preserve">Additional ventilation to 6 homes</t>
  </si>
  <si>
    <t xml:space="preserve">SUMMARY BY PROJECT</t>
  </si>
  <si>
    <t xml:space="preserve">Raised (count)</t>
  </si>
  <si>
    <t xml:space="preserve">Claimed</t>
  </si>
  <si>
    <t xml:space="preserve">Approved (value)</t>
  </si>
  <si>
    <t xml:space="preserve">Pending: claimed</t>
  </si>
  <si>
    <t xml:space="preserve">Pending: in contract value (policy)</t>
  </si>
  <si>
    <t xml:space="preserve">Pending: expected final (scenario)</t>
  </si>
  <si>
    <t xml:space="preserve">Rejected: claimed</t>
  </si>
  <si>
    <t xml:space="preserve">Upside or (downside) of pending vs policy</t>
  </si>
  <si>
    <t xml:space="preserve">COMMITMENTS AND COST TO COMPLETE CONTROL AT THE LAST ACTUAL MONTH</t>
  </si>
  <si>
    <t xml:space="preserve">Subcontract and material orders placed on named contracts. Remaining commitment = order value less invoiced to date. The project cost report cost to complete must cover every remaining commitment; the uncommitted balance is the exposure still to buy.</t>
  </si>
  <si>
    <t xml:space="preserve">Order ref</t>
  </si>
  <si>
    <t xml:space="preserve">Supplier or subcontractor (fictional)</t>
  </si>
  <si>
    <t xml:space="preserve">Package</t>
  </si>
  <si>
    <t xml:space="preserve">Order date</t>
  </si>
  <si>
    <t xml:space="preserve">Order value</t>
  </si>
  <si>
    <t xml:space="preserve">Invoiced to date</t>
  </si>
  <si>
    <t xml:space="preserve">Remaining commitment</t>
  </si>
  <si>
    <t xml:space="preserve">RCT rate</t>
  </si>
  <si>
    <t xml:space="preserve">% invoiced</t>
  </si>
  <si>
    <t xml:space="preserve">PO-CF2601-01</t>
  </si>
  <si>
    <t xml:space="preserve">Leinster M&amp;E Services Ltd</t>
  </si>
  <si>
    <t xml:space="preserve">Mechanical and electrical (re-let May-26)</t>
  </si>
  <si>
    <t xml:space="preserve">Subcontract</t>
  </si>
  <si>
    <t xml:space="preserve">PO-CF2601-02</t>
  </si>
  <si>
    <t xml:space="preserve">Pale Interiors Ltd</t>
  </si>
  <si>
    <t xml:space="preserve">Drylining and ceilings</t>
  </si>
  <si>
    <t xml:space="preserve">PO-CF2601-03</t>
  </si>
  <si>
    <t xml:space="preserve">Floorline Systems Ltd</t>
  </si>
  <si>
    <t xml:space="preserve">Raised access floors</t>
  </si>
  <si>
    <t xml:space="preserve">PO-CF2601-04</t>
  </si>
  <si>
    <t xml:space="preserve">Dublin Drylining Supplies Ltd</t>
  </si>
  <si>
    <t xml:space="preserve">Plasterboard, studs and sundries</t>
  </si>
  <si>
    <t xml:space="preserve">PO-CF2601-05</t>
  </si>
  <si>
    <t xml:space="preserve">Fingal Builders Merchants Ltd</t>
  </si>
  <si>
    <t xml:space="preserve">Doorsets and ironmongery</t>
  </si>
  <si>
    <t xml:space="preserve">PO-CF2602-06</t>
  </si>
  <si>
    <t xml:space="preserve">Aqua Fit Bathrooms Ltd</t>
  </si>
  <si>
    <t xml:space="preserve">Bathroom refurbishment package</t>
  </si>
  <si>
    <t xml:space="preserve">PO-CF2602-07</t>
  </si>
  <si>
    <t xml:space="preserve">Coatline Decorators</t>
  </si>
  <si>
    <t xml:space="preserve">Decoration</t>
  </si>
  <si>
    <t xml:space="preserve">PO-CF2602-08</t>
  </si>
  <si>
    <t xml:space="preserve">Brennan Joinery Ltd</t>
  </si>
  <si>
    <t xml:space="preserve">Bedroom joinery</t>
  </si>
  <si>
    <t xml:space="preserve">PO-CF2602-09</t>
  </si>
  <si>
    <t xml:space="preserve">Northside Timber and Insulation Ltd</t>
  </si>
  <si>
    <t xml:space="preserve">Joinery timber and boards</t>
  </si>
  <si>
    <t xml:space="preserve">PO-CF2602-10</t>
  </si>
  <si>
    <t xml:space="preserve">Finishes and sanitaryware</t>
  </si>
  <si>
    <t xml:space="preserve">PO-CF2603-11</t>
  </si>
  <si>
    <t xml:space="preserve">Kitchen extract and M&amp;E</t>
  </si>
  <si>
    <t xml:space="preserve">PO-CF2603-12</t>
  </si>
  <si>
    <t xml:space="preserve">Bar and joinery</t>
  </si>
  <si>
    <t xml:space="preserve">PO-CF2603-13</t>
  </si>
  <si>
    <t xml:space="preserve">General materials</t>
  </si>
  <si>
    <t xml:space="preserve">PO-PS2601-14</t>
  </si>
  <si>
    <t xml:space="preserve">Heatwise Renewables Ltd</t>
  </si>
  <si>
    <t xml:space="preserve">Heat pump supply and installation</t>
  </si>
  <si>
    <t xml:space="preserve">PO-PS2601-15</t>
  </si>
  <si>
    <t xml:space="preserve">Thermafront EWI Ltd</t>
  </si>
  <si>
    <t xml:space="preserve">External wall insulation</t>
  </si>
  <si>
    <t xml:space="preserve">PO-PS2601-16</t>
  </si>
  <si>
    <t xml:space="preserve">Kestrel Glazing Ltd</t>
  </si>
  <si>
    <t xml:space="preserve">Windows and doors</t>
  </si>
  <si>
    <t xml:space="preserve">PO-PS2601-17</t>
  </si>
  <si>
    <t xml:space="preserve">Insulation and airtightness materials</t>
  </si>
  <si>
    <t xml:space="preserve">PO-CF2604-18</t>
  </si>
  <si>
    <t xml:space="preserve">Mechanical, electrical and medical gases (early order)</t>
  </si>
  <si>
    <t xml:space="preserve">COST TO COMPLETE CONTROL BY PROJECT (last actual month)</t>
  </si>
  <si>
    <t xml:space="preserve">Tender budget</t>
  </si>
  <si>
    <t xml:space="preserve">Committed, not yet invoiced</t>
  </si>
  <si>
    <t xml:space="preserve">Cost to complete (cost report)</t>
  </si>
  <si>
    <t xml:space="preserve">Uncommitted cost to complete</t>
  </si>
  <si>
    <t xml:space="preserve">% of cost to complete committed</t>
  </si>
  <si>
    <t xml:space="preserve">Forecast cost at completion</t>
  </si>
  <si>
    <t xml:space="preserve">Variance vs tender budget</t>
  </si>
  <si>
    <t xml:space="preserve">Check: uncommitted not negative</t>
  </si>
  <si>
    <t xml:space="preserve">ACTUAL COST TO DATE BY COST TYPE, CONTRACTS STARTED IN 2026 (from the cost ledger)</t>
  </si>
  <si>
    <t xml:space="preserve">Total</t>
  </si>
  <si>
    <t xml:space="preserve">Labour share of cost</t>
  </si>
  <si>
    <t xml:space="preserve">RETENTIONS: HELD BY CLIENTS, HELD FROM SUBCONTRACTORS, AND LEGACY BALANCES</t>
  </si>
  <si>
    <t xml:space="preserve">Named contracts: retention % of certified value, first share released the month after practical completion, balance after the defects period. Legacy balances from contracts closed before 2026 are tracked item by item, including the disputed CF-2311 retention and its specific provision.</t>
  </si>
  <si>
    <t xml:space="preserve">NAMED CONTRACTS</t>
  </si>
  <si>
    <t xml:space="preserve">Retention held by commercial clients</t>
  </si>
  <si>
    <t xml:space="preserve">Retention held by the council</t>
  </si>
  <si>
    <t xml:space="preserve">Retention receivable, named contracts</t>
  </si>
  <si>
    <t xml:space="preserve">Retention held from subcontractors (payable)</t>
  </si>
  <si>
    <t xml:space="preserve">LEGACY: CF-2405 OFFICE FIT-OUT (practical completion Oct-25, final half due after the defects period)</t>
  </si>
  <si>
    <t xml:space="preserve">Retention balance ex VAT</t>
  </si>
  <si>
    <t xml:space="preserve">released on the date on Assumptions</t>
  </si>
  <si>
    <t xml:space="preserve">Output VAT on the release invoice</t>
  </si>
  <si>
    <t xml:space="preserve">LEGACY: CF-2311 RETAIL FIT-OUT (defects period ended Mar-25; client disputes release, counterclaims defects)</t>
  </si>
  <si>
    <t xml:space="preserve">Retention balance ex VAT (gross)</t>
  </si>
  <si>
    <t xml:space="preserve">settled in the scenario month</t>
  </si>
  <si>
    <t xml:space="preserve">Amount recovered ex VAT</t>
  </si>
  <si>
    <t xml:space="preserve">balance x scenario recovery share</t>
  </si>
  <si>
    <t xml:space="preserve">Output VAT on the recovered amount</t>
  </si>
  <si>
    <t xml:space="preserve">Amount written off</t>
  </si>
  <si>
    <t xml:space="preserve">balance - recovered</t>
  </si>
  <si>
    <t xml:space="preserve">Bad debt charge / (release) to the P&amp;L</t>
  </si>
  <si>
    <t xml:space="preserve">A: ledger; F: write-off less provision held</t>
  </si>
  <si>
    <t xml:space="preserve">Specific provision held</t>
  </si>
  <si>
    <t xml:space="preserve">opening + charge - write-off</t>
  </si>
  <si>
    <t xml:space="preserve">TOTALS</t>
  </si>
  <si>
    <t xml:space="preserve">Legacy retentions, net of provision</t>
  </si>
  <si>
    <t xml:space="preserve">RETENTIONS RECEIVABLE (to balance sheet)</t>
  </si>
  <si>
    <t xml:space="preserve">named + legacy net</t>
  </si>
  <si>
    <t xml:space="preserve">Legacy retention cash received</t>
  </si>
  <si>
    <t xml:space="preserve">Legacy retention output VAT</t>
  </si>
  <si>
    <t xml:space="preserve">Retention past its release date (memo): CF-2311</t>
  </si>
  <si>
    <t xml:space="preserve">TRADE RECEIVABLES, SEAI GRANTS AND COLLECTIONS BY CUSTOMER GROUP (incl. VAT)</t>
  </si>
  <si>
    <t xml:space="preserve">Rolls come from the WIP and Residential engines. Days are receivables divided by the last three months of invoicing, times 30.</t>
  </si>
  <si>
    <t xml:space="preserve">RECEIVABLES BY CUSTOMER GROUP</t>
  </si>
  <si>
    <t xml:space="preserve">Commercial clients</t>
  </si>
  <si>
    <t xml:space="preserve">Kildrum County Council</t>
  </si>
  <si>
    <t xml:space="preserve">TRADE RECEIVABLES (to balance sheet)</t>
  </si>
  <si>
    <t xml:space="preserve">SEAI GRANT RECEIVABLE (to balance sheet)</t>
  </si>
  <si>
    <t xml:space="preserve">INVOICED AND COLLECTED</t>
  </si>
  <si>
    <t xml:space="preserve">Invoiced to trade customers incl. VAT</t>
  </si>
  <si>
    <t xml:space="preserve">Collected from trade customers</t>
  </si>
  <si>
    <t xml:space="preserve">Collected from SEAI</t>
  </si>
  <si>
    <t xml:space="preserve">receivables / last three months invoiced x 30</t>
  </si>
  <si>
    <t xml:space="preserve">AGED RECEIVABLES AT THE LAST ACTUAL MONTH (incl. VAT)</t>
  </si>
  <si>
    <t xml:space="preserve">Open invoices, SEAI grant claims and other receivables, aged by due date. Retentions are aged separately on the Retentions sheet. Group totals must agree with the ledger.</t>
  </si>
  <si>
    <t xml:space="preserve">As at</t>
  </si>
  <si>
    <t xml:space="preserve">Counterparty (fictional)</t>
  </si>
  <si>
    <t xml:space="preserve">Item / document</t>
  </si>
  <si>
    <t xml:space="preserve">Group</t>
  </si>
  <si>
    <t xml:space="preserve">Amount (EUR)</t>
  </si>
  <si>
    <t xml:space="preserve">Due date</t>
  </si>
  <si>
    <t xml:space="preserve">Days past due</t>
  </si>
  <si>
    <t xml:space="preserve">Not yet due</t>
  </si>
  <si>
    <t xml:space="preserve">1 to 30</t>
  </si>
  <si>
    <t xml:space="preserve">31 to 60</t>
  </si>
  <si>
    <t xml:space="preserve">61 to 90</t>
  </si>
  <si>
    <t xml:space="preserve">Over 90</t>
  </si>
  <si>
    <t xml:space="preserve">Action / note</t>
  </si>
  <si>
    <t xml:space="preserve">Harbourline Insurance DAC</t>
  </si>
  <si>
    <t xml:space="preserve">CF-2601 valuation 6 (August), payment claim dated 31-Aug</t>
  </si>
  <si>
    <t xml:space="preserve">Commercial</t>
  </si>
  <si>
    <t xml:space="preserve">Certified in full; due 30-Sep.</t>
  </si>
  <si>
    <t xml:space="preserve">CF-2601 valuation 5 (July), balance short-paid</t>
  </si>
  <si>
    <t xml:space="preserve">Client QS disputes the measurement of level 2 ceilings; resolve with V-CF2601-02.</t>
  </si>
  <si>
    <t xml:space="preserve">Tolka Hospitality Ltd</t>
  </si>
  <si>
    <t xml:space="preserve">CF-2602 valuation 3 (August)</t>
  </si>
  <si>
    <t xml:space="preserve">45-day terms.</t>
  </si>
  <si>
    <t xml:space="preserve">CF-2602 valuation 2 (July)</t>
  </si>
  <si>
    <t xml:space="preserve">45-day terms; due mid-September.</t>
  </si>
  <si>
    <t xml:space="preserve">PS-2601 interim certificate 4 (August)</t>
  </si>
  <si>
    <t xml:space="preserve">Council</t>
  </si>
  <si>
    <t xml:space="preserve">Reverse charge VAT and RCT at 0%; council pays within 30 days.</t>
  </si>
  <si>
    <t xml:space="preserve">Retrofit homeowners (14 open accounts)</t>
  </si>
  <si>
    <t xml:space="preserve">Stage invoices issued in August</t>
  </si>
  <si>
    <t xml:space="preserve">Homeowners</t>
  </si>
  <si>
    <t xml:space="preserve">Standard 10-day terms.</t>
  </si>
  <si>
    <t xml:space="preserve">Retrofit homeowners (3 accounts)</t>
  </si>
  <si>
    <t xml:space="preserve">Completion invoices, July</t>
  </si>
  <si>
    <t xml:space="preserve">Chased weekly; all three awaiting final BER certificate before paying.</t>
  </si>
  <si>
    <t xml:space="preserve">Renovation clients (9 open accounts)</t>
  </si>
  <si>
    <t xml:space="preserve">Deposits and progress invoices, August</t>
  </si>
  <si>
    <t xml:space="preserve">Standard 12-day terms.</t>
  </si>
  <si>
    <t xml:space="preserve">Renovation clients (2 accounts)</t>
  </si>
  <si>
    <t xml:space="preserve">Progress invoices, July</t>
  </si>
  <si>
    <t xml:space="preserve">Chased; payment promised in September.</t>
  </si>
  <si>
    <t xml:space="preserve">Renovation client, Rathgar extension</t>
  </si>
  <si>
    <t xml:space="preserve">Final invoice withheld pending snag list</t>
  </si>
  <si>
    <t xml:space="preserve">Snag list 80% closed; balance to be released on completion, target 30-Sep.</t>
  </si>
  <si>
    <t xml:space="preserve">SEAI (One Stop Shop grant claims)</t>
  </si>
  <si>
    <t xml:space="preserve">Grant claims lodged in August, 4 homes</t>
  </si>
  <si>
    <t xml:space="preserve">SEAI grants</t>
  </si>
  <si>
    <t xml:space="preserve">Post-works BER published; payment expected in about 60 days.</t>
  </si>
  <si>
    <t xml:space="preserve">Grant claims lodged in July, 3 homes</t>
  </si>
  <si>
    <t xml:space="preserve">One claim queried by SEAI inspection (airtightness test re-run).</t>
  </si>
  <si>
    <t xml:space="preserve">Various</t>
  </si>
  <si>
    <t xml:space="preserve">Prepaid insurance (contractors all risks)</t>
  </si>
  <si>
    <t xml:space="preserve">Other</t>
  </si>
  <si>
    <t xml:space="preserve">Prepayment, released monthly.</t>
  </si>
  <si>
    <t xml:space="preserve">Deposits and other receivables</t>
  </si>
  <si>
    <t xml:space="preserve">Yard and office deposits.</t>
  </si>
  <si>
    <t xml:space="preserve">Share of total</t>
  </si>
  <si>
    <t xml:space="preserve">Commercial clients: aging vs ledger</t>
  </si>
  <si>
    <t xml:space="preserve">Ledger balance</t>
  </si>
  <si>
    <t xml:space="preserve">Difference</t>
  </si>
  <si>
    <t xml:space="preserve">Council: aging vs ledger</t>
  </si>
  <si>
    <t xml:space="preserve">Homeowners: aging vs ledger</t>
  </si>
  <si>
    <t xml:space="preserve">SEAI grant claims: aging vs ledger</t>
  </si>
  <si>
    <t xml:space="preserve">Prepayments and other receivables: aging vs ledger</t>
  </si>
  <si>
    <t xml:space="preserve">AGED PAYABLES AT THE LAST ACTUAL MONTH</t>
  </si>
  <si>
    <t xml:space="preserve">Open supplier and subcontractor balances aged by due date, with each subcontractor RCT rate. Subcontractor retentions are shown on the Retentions sheet. Group totals must agree with the Payables schedule.</t>
  </si>
  <si>
    <t xml:space="preserve">CF-2601, CF-2603 applications (August)</t>
  </si>
  <si>
    <t xml:space="preserve">RCT rate 0%; reverse charge VAT.</t>
  </si>
  <si>
    <t xml:space="preserve">PS-2601 and retrofit programme (August)</t>
  </si>
  <si>
    <t xml:space="preserve">PS-2601 external insulation (August)</t>
  </si>
  <si>
    <t xml:space="preserve">RCT rate 20%; reverse charge VAT.</t>
  </si>
  <si>
    <t xml:space="preserve">CF-2602 bathrooms (August)</t>
  </si>
  <si>
    <t xml:space="preserve">CF-2601 drylining (August)</t>
  </si>
  <si>
    <t xml:space="preserve">Windows, retrofit and council homes</t>
  </si>
  <si>
    <t xml:space="preserve">Sparkline Electrical Ltd</t>
  </si>
  <si>
    <t xml:space="preserve">Residential electrical (August)</t>
  </si>
  <si>
    <t xml:space="preserve">Liffey Plumbing and Heating</t>
  </si>
  <si>
    <t xml:space="preserve">Renovation plumbing (August)</t>
  </si>
  <si>
    <t xml:space="preserve">CF-2602 decoration: payment held, RCT at 35% applies</t>
  </si>
  <si>
    <t xml:space="preserve">RCT rate 35%; reverse charge VAT.</t>
  </si>
  <si>
    <t xml:space="preserve">July and August statement balances</t>
  </si>
  <si>
    <t xml:space="preserve">Monthly account, end of following month.</t>
  </si>
  <si>
    <t xml:space="preserve">Meridian Electrical Wholesale Ltd</t>
  </si>
  <si>
    <t xml:space="preserve">Blackrock Plant Hire Ltd</t>
  </si>
  <si>
    <t xml:space="preserve">Access equipment and small plant, August</t>
  </si>
  <si>
    <t xml:space="preserve">Plant and site services</t>
  </si>
  <si>
    <t xml:space="preserve">30-day terms.</t>
  </si>
  <si>
    <t xml:space="preserve">Skipway Waste Services Ltd</t>
  </si>
  <si>
    <t xml:space="preserve">Skips and waste, August</t>
  </si>
  <si>
    <t xml:space="preserve">SiteServ Welfare Units Ltd</t>
  </si>
  <si>
    <t xml:space="preserve">Welfare units and site services, August</t>
  </si>
  <si>
    <t xml:space="preserve">Anchor Fleet Services Ltd</t>
  </si>
  <si>
    <t xml:space="preserve">Fuel cards and fleet maintenance, August</t>
  </si>
  <si>
    <t xml:space="preserve">Crossfield Recruitment (agency operatives)</t>
  </si>
  <si>
    <t xml:space="preserve">Agency labour, August</t>
  </si>
  <si>
    <t xml:space="preserve">Harcourt Insurance Brokers</t>
  </si>
  <si>
    <t xml:space="preserve">Bond commission and insurance instalments</t>
  </si>
  <si>
    <t xml:space="preserve">Glenview Business Parks Ltd</t>
  </si>
  <si>
    <t xml:space="preserve">September rent, invoiced in advance</t>
  </si>
  <si>
    <t xml:space="preserve">Sundry overhead suppliers (16 invoices)</t>
  </si>
  <si>
    <t xml:space="preserve">IT, marketing, professional and office costs</t>
  </si>
  <si>
    <t xml:space="preserve">Subcontractors: aging vs schedule</t>
  </si>
  <si>
    <t xml:space="preserve">Materials suppliers: aging vs schedule</t>
  </si>
  <si>
    <t xml:space="preserve">Plant hire and site services: aging vs schedule</t>
  </si>
  <si>
    <t xml:space="preserve">Overhead suppliers: aging vs schedule</t>
  </si>
  <si>
    <t xml:space="preserve">TRADE PAYABLES BY SUPPLIER GROUP, SUBCONTRACTOR RETENTIONS AND RCT DEDUCTIONS</t>
  </si>
  <si>
    <t xml:space="preserve">Subcontract invoices carry no VAT (reverse charge); the company deducts RCT at the rate Revenue authorises and pays it over by the 23rd of the following month. Other groups are VAT-inclusive. Actual payments per bank; forecast payments sized to the days payable.</t>
  </si>
  <si>
    <t xml:space="preserve">SUBCONTRACTORS (reverse charge, RCT)</t>
  </si>
  <si>
    <t xml:space="preserve">Accrued (invoices and applications for the month)</t>
  </si>
  <si>
    <t xml:space="preserve">Less: retention withheld / add: released</t>
  </si>
  <si>
    <t xml:space="preserve">Amount due to subcontractors</t>
  </si>
  <si>
    <t xml:space="preserve">accrued - retention movement</t>
  </si>
  <si>
    <t xml:space="preserve">Opening balance</t>
  </si>
  <si>
    <t xml:space="preserve">Paid (gross, before RCT)</t>
  </si>
  <si>
    <t xml:space="preserve">A: bank; F: opening + due - closing at days payable</t>
  </si>
  <si>
    <t xml:space="preserve">CLOSING BALANCE</t>
  </si>
  <si>
    <t xml:space="preserve">RCT deducted from payments</t>
  </si>
  <si>
    <t xml:space="preserve">gross paid x blended RCT rate</t>
  </si>
  <si>
    <t xml:space="preserve">Cash paid to subcontractors (net of RCT)</t>
  </si>
  <si>
    <t xml:space="preserve">MATERIALS SUPPLIERS (incl. 23% VAT)</t>
  </si>
  <si>
    <t xml:space="preserve">Paid</t>
  </si>
  <si>
    <t xml:space="preserve">PLANT HIRE AND SITE SERVICES (incl. 23% VAT)</t>
  </si>
  <si>
    <t xml:space="preserve">OVERHEAD, FLEET AND AGENCY SUPPLIERS</t>
  </si>
  <si>
    <t xml:space="preserve">TRADE PAYABLES (to balance sheet, excl. subcontractor retentions)</t>
  </si>
  <si>
    <t xml:space="preserve">Subcontractor days payable (memo)</t>
  </si>
  <si>
    <t xml:space="preserve">VAT (BI-MONTHLY RETURNS) AND RCT (MONTHLY)</t>
  </si>
  <si>
    <t xml:space="preserve">Output VAT at 13.5% on construction services to homeowners and commercial clients; council contracts are reverse charged (the council accounts for the VAT). Subcontractor services to the company are reverse charged: output and input VAT net to zero. VAT is paid by the 23rd of the month after each two-month period; RCT by the 23rd of the following month (ROS).</t>
  </si>
  <si>
    <t xml:space="preserve">OUTPUT VAT</t>
  </si>
  <si>
    <t xml:space="preserve">Retrofit invoices and SEAI claims</t>
  </si>
  <si>
    <t xml:space="preserve">Renovation invoices</t>
  </si>
  <si>
    <t xml:space="preserve">Commercial fit-out invoices</t>
  </si>
  <si>
    <t xml:space="preserve">Council invoices (reverse charge: accounted by the council)</t>
  </si>
  <si>
    <t xml:space="preserve">Legacy retention release invoices</t>
  </si>
  <si>
    <t xml:space="preserve">Reverse charge on subcontractor services (T1)</t>
  </si>
  <si>
    <t xml:space="preserve">subcontract cost x 13.5%</t>
  </si>
  <si>
    <t xml:space="preserve">Total output VAT</t>
  </si>
  <si>
    <t xml:space="preserve">INPUT VAT (recoverable)</t>
  </si>
  <si>
    <t xml:space="preserve">Reverse charge on subcontractor services (T2)</t>
  </si>
  <si>
    <t xml:space="preserve">cost x 23%</t>
  </si>
  <si>
    <t xml:space="preserve">Fleet and agency</t>
  </si>
  <si>
    <t xml:space="preserve">Capex</t>
  </si>
  <si>
    <t xml:space="preserve">Total input VAT</t>
  </si>
  <si>
    <t xml:space="preserve">VAT PAYABLE</t>
  </si>
  <si>
    <t xml:space="preserve">Net VAT for the month (output - input)</t>
  </si>
  <si>
    <t xml:space="preserve">Opening VAT payable / (repayable)</t>
  </si>
  <si>
    <t xml:space="preserve">VAT paid / (repaid): prior two months, by the 23rd</t>
  </si>
  <si>
    <t xml:space="preserve">Timeline flag</t>
  </si>
  <si>
    <t xml:space="preserve">CLOSING VAT PAYABLE / (REPAYABLE)</t>
  </si>
  <si>
    <t xml:space="preserve">RCT (RELEVANT CONTRACTS TAX) PAYABLE</t>
  </si>
  <si>
    <t xml:space="preserve">Deducted from subcontractor payments</t>
  </si>
  <si>
    <t xml:space="preserve">Paid to Revenue (prior month, by the 23rd)</t>
  </si>
  <si>
    <t xml:space="preserve">CLOSING RCT PAYABLE</t>
  </si>
  <si>
    <t xml:space="preserve">SITE RESOURCES: HEADCOUNT, LABOUR UTILISATION AND RECOVERY, AGENCY AND FLEET</t>
  </si>
  <si>
    <t xml:space="preserve">Own labour is charged to jobs at the standard hourly rate. Hours required above the productive hours available are bought from an agency. Recovery variance = labour charged to jobs less site payroll and agency cost (negative = under-recovery, charged to the P&amp;L below gross profit).</t>
  </si>
  <si>
    <t xml:space="preserve">SITE HEADCOUNT PLAN AND PAY RATES</t>
  </si>
  <si>
    <t xml:space="preserve">Monthly gross pay per head: site supervisors and foremen (column C, FY2026 rate)</t>
  </si>
  <si>
    <t xml:space="preserve">input</t>
  </si>
  <si>
    <t xml:space="preserve">Monthly gross pay per head: craft operatives (carpentry, drylining, finishing) (column C, FY2026 rate)</t>
  </si>
  <si>
    <t xml:space="preserve">Monthly gross pay per head: retrofit installers (insulation, airtightness) (column C, FY2026 rate)</t>
  </si>
  <si>
    <t xml:space="preserve">Monthly gross pay per head: general operatives (column C, FY2026 rate)</t>
  </si>
  <si>
    <t xml:space="preserve">Planned change in headcount: site supervisors and foremen</t>
  </si>
  <si>
    <t xml:space="preserve">input, forecast months</t>
  </si>
  <si>
    <t xml:space="preserve">Planned change in headcount: craft operatives (carpentry, drylining, finishing)</t>
  </si>
  <si>
    <t xml:space="preserve">Planned change in headcount: retrofit installers (insulation, airtightness)</t>
  </si>
  <si>
    <t xml:space="preserve">Planned change in headcount: general operatives</t>
  </si>
  <si>
    <t xml:space="preserve">Headcount: site supervisors and foremen</t>
  </si>
  <si>
    <t xml:space="preserve">A: payroll; F: prior month + planned change x hiring flag</t>
  </si>
  <si>
    <t xml:space="preserve">Headcount: craft operatives (carpentry, drylining, finishing)</t>
  </si>
  <si>
    <t xml:space="preserve">Headcount: retrofit installers (insulation, airtightness)</t>
  </si>
  <si>
    <t xml:space="preserve">Headcount: general operatives</t>
  </si>
  <si>
    <t xml:space="preserve">SITE HEADCOUNT</t>
  </si>
  <si>
    <t xml:space="preserve">SITE PAYROLL COST</t>
  </si>
  <si>
    <t xml:space="preserve">Site gross pay</t>
  </si>
  <si>
    <t xml:space="preserve">A: payroll; F: headcount x pay rate x inflation</t>
  </si>
  <si>
    <t xml:space="preserve">Employer PRSI</t>
  </si>
  <si>
    <t xml:space="preserve">gross x rate in force</t>
  </si>
  <si>
    <t xml:space="preserve">Employer pension and other employment costs</t>
  </si>
  <si>
    <t xml:space="preserve">UTILISATION AND RECOVERY</t>
  </si>
  <si>
    <t xml:space="preserve">Productive hours available</t>
  </si>
  <si>
    <t xml:space="preserve">headcount x productive hours</t>
  </si>
  <si>
    <t xml:space="preserve">Own labour charged to jobs at standard rate</t>
  </si>
  <si>
    <t xml:space="preserve">WIP + Residential labour lines</t>
  </si>
  <si>
    <t xml:space="preserve">Standard hourly rate in force</t>
  </si>
  <si>
    <t xml:space="preserve">FY2026 rate x inflation</t>
  </si>
  <si>
    <t xml:space="preserve">Hours charged to jobs</t>
  </si>
  <si>
    <t xml:space="preserve">labour charged / standard rate</t>
  </si>
  <si>
    <t xml:space="preserve">Hours worked by own operatives</t>
  </si>
  <si>
    <t xml:space="preserve">min(required, available)</t>
  </si>
  <si>
    <t xml:space="preserve">Agency hours (required above available)</t>
  </si>
  <si>
    <t xml:space="preserve">Agency operatives cost</t>
  </si>
  <si>
    <t xml:space="preserve">A: invoices; F: agency hours x rate</t>
  </si>
  <si>
    <t xml:space="preserve">LABOUR RECOVERY VARIANCE (+ over / - under-recovery)</t>
  </si>
  <si>
    <t xml:space="preserve">charged to jobs - payroll - agency</t>
  </si>
  <si>
    <t xml:space="preserve">Recovery % (charged to jobs / payroll and agency)</t>
  </si>
  <si>
    <t xml:space="preserve">FLEET AND SMALL TOOLS</t>
  </si>
  <si>
    <t xml:space="preserve">Vans</t>
  </si>
  <si>
    <t xml:space="preserve">A: fleet register; F: last actual (replacements like for like)</t>
  </si>
  <si>
    <t xml:space="preserve">A: ledger; F: vans x cost per van + tools, inflated</t>
  </si>
  <si>
    <t xml:space="preserve">Fleet cost per own labour hour (memo)</t>
  </si>
  <si>
    <t xml:space="preserve">OFFICE PAYROLL, OVERHEADS AND PAYROLL TAXES (EUR, ex VAT)</t>
  </si>
  <si>
    <t xml:space="preserve">Office payroll from the staff table (planned hires switched by the scenario). Overhead lines: actual months from the ledger; forecast from the monthly base in column C with inflation from FY2027 and the discretionary factor on marketing, training and motor.</t>
  </si>
  <si>
    <t xml:space="preserve">OFFICE STAFF (C = monthly gross pay, D = start month; planned hires only if the scenario allows)</t>
  </si>
  <si>
    <t xml:space="preserve">Managing Director (founder)</t>
  </si>
  <si>
    <t xml:space="preserve">gross x inflation x active flag</t>
  </si>
  <si>
    <t xml:space="preserve">Commercial Manager (quantity surveyor)</t>
  </si>
  <si>
    <t xml:space="preserve">Quantity Surveyor</t>
  </si>
  <si>
    <t xml:space="preserve">Estimator</t>
  </si>
  <si>
    <t xml:space="preserve">Retrofit Coordinator (One Stop Shop)</t>
  </si>
  <si>
    <t xml:space="preserve">Customer Care Coordinator 1</t>
  </si>
  <si>
    <t xml:space="preserve">Customer Care Coordinator 2</t>
  </si>
  <si>
    <t xml:space="preserve">Health, Safety and Office Administrator</t>
  </si>
  <si>
    <t xml:space="preserve">Planned hire: second Retrofit Coordinator</t>
  </si>
  <si>
    <t xml:space="preserve">Planned hire: Contracts Manager (commercial)</t>
  </si>
  <si>
    <t xml:space="preserve">Office gross pay per staff table</t>
  </si>
  <si>
    <t xml:space="preserve">sum of roles</t>
  </si>
  <si>
    <t xml:space="preserve">Office gross pay</t>
  </si>
  <si>
    <t xml:space="preserve">A: payroll; F: staff table</t>
  </si>
  <si>
    <t xml:space="preserve">OFFICE PAYROLL COST</t>
  </si>
  <si>
    <t xml:space="preserve">FORECAST MONTHLY BASE (column C, EUR at FY2026 prices)</t>
  </si>
  <si>
    <t xml:space="preserve">monthly base</t>
  </si>
  <si>
    <t xml:space="preserve">Marketing and lead generation (residential) (discretionary)</t>
  </si>
  <si>
    <t xml:space="preserve">Training, health and safety, PPE (discretionary)</t>
  </si>
  <si>
    <t xml:space="preserve">Motor (non-site vehicles) (discretionary)</t>
  </si>
  <si>
    <t xml:space="preserve">OVERHEAD LINES</t>
  </si>
  <si>
    <t xml:space="preserve">A: ledger; F: base x inflation</t>
  </si>
  <si>
    <t xml:space="preserve">A: ledger; F: base x inflation x discretionary factor</t>
  </si>
  <si>
    <t xml:space="preserve">Overhead lines subject to VAT and trade payables</t>
  </si>
  <si>
    <t xml:space="preserve">sum of the lines above</t>
  </si>
  <si>
    <t xml:space="preserve">bonds outstanding x annual rate / 12</t>
  </si>
  <si>
    <t xml:space="preserve">Retentions (legacy dispute)</t>
  </si>
  <si>
    <t xml:space="preserve">office payroll + lines + bond commission + bad debts</t>
  </si>
  <si>
    <t xml:space="preserve">PAYE, USC, PRSI AND PENSION PAYABLE (site and office)</t>
  </si>
  <si>
    <t xml:space="preserve">Gross pay, site and office</t>
  </si>
  <si>
    <t xml:space="preserve">Accrued: employee deductions + employer PRSI + employer pension</t>
  </si>
  <si>
    <t xml:space="preserve">Paid (prior month liability, by the 23rd)</t>
  </si>
  <si>
    <t xml:space="preserve">CLOSING BALANCE (to balance sheet)</t>
  </si>
  <si>
    <t xml:space="preserve">Net wages paid to site workforce (weekly)</t>
  </si>
  <si>
    <t xml:space="preserve">gross less employee deductions</t>
  </si>
  <si>
    <t xml:space="preserve">Net salaries paid to office staff (25th)</t>
  </si>
  <si>
    <t xml:space="preserve">FIXED ASSETS AND DEPRECIATION</t>
  </si>
  <si>
    <t xml:space="preserve">Three classes, straight line over the lives on Assumptions. Actual capex from the asset register; forecast per the capex plan.</t>
  </si>
  <si>
    <t xml:space="preserve">VANS</t>
  </si>
  <si>
    <t xml:space="preserve">Cost: opening</t>
  </si>
  <si>
    <t xml:space="preserve">Additions</t>
  </si>
  <si>
    <t xml:space="preserve">A: asset register; F: capex plan</t>
  </si>
  <si>
    <t xml:space="preserve">Cost: closing</t>
  </si>
  <si>
    <t xml:space="preserve">Accumulated depreciation: opening</t>
  </si>
  <si>
    <t xml:space="preserve">Depreciation charge</t>
  </si>
  <si>
    <t xml:space="preserve">min(NBV, cost / life)</t>
  </si>
  <si>
    <t xml:space="preserve">Accumulated depreciation: closing</t>
  </si>
  <si>
    <t xml:space="preserve">Net book value</t>
  </si>
  <si>
    <t xml:space="preserve">PLANT AND TOOLS</t>
  </si>
  <si>
    <t xml:space="preserve">IT AND OFFICE</t>
  </si>
  <si>
    <t xml:space="preserve">NET BOOK VALUE (to balance sheet)</t>
  </si>
  <si>
    <t xml:space="preserve">HIRE PURCHASE, OVERDRAFT FACILITY AND PERFORMANCE BONDS</t>
  </si>
  <si>
    <t xml:space="preserve">Existing hire purchase repays at a fixed monthly principal; new agreements repay straight line over the term on Assumptions. Interest on opening balances. Bonds are contingent liabilities shown as a memo against the surety facility.</t>
  </si>
  <si>
    <t xml:space="preserve">HIRE PURCHASE: EXISTING AGREEMENTS</t>
  </si>
  <si>
    <t xml:space="preserve">Principal repaid</t>
  </si>
  <si>
    <t xml:space="preserve">fixed monthly principal, capped at the balance</t>
  </si>
  <si>
    <t xml:space="preserve">Closing balance</t>
  </si>
  <si>
    <t xml:space="preserve">HIRE PURCHASE: NEW AGREEMENTS</t>
  </si>
  <si>
    <t xml:space="preserve">Drawn</t>
  </si>
  <si>
    <t xml:space="preserve">A: agreements; F: van capex x HP share</t>
  </si>
  <si>
    <t xml:space="preserve">draws of the prior term months / term</t>
  </si>
  <si>
    <t xml:space="preserve">HIRE PURCHASE: TOTAL</t>
  </si>
  <si>
    <t xml:space="preserve">HIRE PURCHASE CREDITOR</t>
  </si>
  <si>
    <t xml:space="preserve">Interest</t>
  </si>
  <si>
    <t xml:space="preserve">opening balances x rate / 12</t>
  </si>
  <si>
    <t xml:space="preserve">Current portion (next 12 months at the current repayment rate)</t>
  </si>
  <si>
    <t xml:space="preserve">Non-current portion</t>
  </si>
  <si>
    <t xml:space="preserve">FACILITIES AND BONDS (memo)</t>
  </si>
  <si>
    <t xml:space="preserve">Overdraft facility, undrawn</t>
  </si>
  <si>
    <t xml:space="preserve">Bond facility limit</t>
  </si>
  <si>
    <t xml:space="preserve">Bond headroom (negative = new bonds cannot be issued)</t>
  </si>
  <si>
    <t xml:space="preserve">PROJECT REGISTER: COMMERCIAL FIT-OUT AND PUBLIC SECTOR RETROFIT CONTRACTS</t>
  </si>
  <si>
    <t xml:space="preserve">One row per contract. Blue = input (contract terms, cost plan, FY2025 closing positions). Black = derived. Pipeline contracts are weighted by the win probability of the selected scenario; delays and overruns come from the scenario drivers.</t>
  </si>
  <si>
    <t xml:space="preserve">Code</t>
  </si>
  <si>
    <t xml:space="preserve">Stage</t>
  </si>
  <si>
    <t xml:space="preserve">Contract award (month)</t>
  </si>
  <si>
    <t xml:space="preserve">Planned start (month)</t>
  </si>
  <si>
    <t xml:space="preserve">Planned practical completion</t>
  </si>
  <si>
    <t xml:space="preserve">Original contract value</t>
  </si>
  <si>
    <t xml:space="preserve">Tender budget cost</t>
  </si>
  <si>
    <t xml:space="preserve">Retention %</t>
  </si>
  <si>
    <t xml:space="preserve">Share of retention released at PC</t>
  </si>
  <si>
    <t xml:space="preserve">Defects period (months)</t>
  </si>
  <si>
    <t xml:space="preserve">Client payment days</t>
  </si>
  <si>
    <t xml:space="preserve">Subcontractor retention %</t>
  </si>
  <si>
    <t xml:space="preserve">Performance bond %</t>
  </si>
  <si>
    <t xml:space="preserve">VAT rate on invoices</t>
  </si>
  <si>
    <t xml:space="preserve">Labour share</t>
  </si>
  <si>
    <t xml:space="preserve">Subcontract share</t>
  </si>
  <si>
    <t xml:space="preserve">Materials share</t>
  </si>
  <si>
    <t xml:space="preserve">Plant share</t>
  </si>
  <si>
    <t xml:space="preserve">Preliminaries share</t>
  </si>
  <si>
    <t xml:space="preserve">Opening cost to date</t>
  </si>
  <si>
    <t xml:space="preserve">Opening revenue to date</t>
  </si>
  <si>
    <t xml:space="preserve">Opening certified to date</t>
  </si>
  <si>
    <t xml:space="preserve">Opening receivable incl. VAT</t>
  </si>
  <si>
    <t xml:space="preserve">Opening subcontract cost to date</t>
  </si>
  <si>
    <t xml:space="preserve">Start delay (months, scenario)</t>
  </si>
  <si>
    <t xml:space="preserve">Completion delay (months, scenario)</t>
  </si>
  <si>
    <t xml:space="preserve">Start month no. (effective)</t>
  </si>
  <si>
    <t xml:space="preserve">Practical completion month no. (effective)</t>
  </si>
  <si>
    <t xml:space="preserve">Award month no. (effective)</t>
  </si>
  <si>
    <t xml:space="preserve">Final account month no.</t>
  </si>
  <si>
    <t xml:space="preserve">Final retention release month no.</t>
  </si>
  <si>
    <t xml:space="preserve">Contract value, probability-weighted</t>
  </si>
  <si>
    <t xml:space="preserve">Tender budget, probability-weighted</t>
  </si>
  <si>
    <t xml:space="preserve">Cost to date at last actual</t>
  </si>
  <si>
    <t xml:space="preserve">Cost to complete at last actual</t>
  </si>
  <si>
    <t xml:space="preserve">Overrun applied to cost to complete</t>
  </si>
  <si>
    <t xml:space="preserve">Programme position at last actual</t>
  </si>
  <si>
    <t xml:space="preserve">S-curve cost share at last actual</t>
  </si>
  <si>
    <t xml:space="preserve">Opening retention held</t>
  </si>
  <si>
    <t xml:space="preserve">Opening subcontractor retention held</t>
  </si>
  <si>
    <t xml:space="preserve">Payment days incl. scenario slip</t>
  </si>
  <si>
    <t xml:space="preserve">Forecast final margin % (selected scenario)</t>
  </si>
  <si>
    <t xml:space="preserve">Office fit-out, 1,850 m2, Dublin 2</t>
  </si>
  <si>
    <t xml:space="preserve">Northwall Analytics Ltd</t>
  </si>
  <si>
    <t xml:space="preserve">Completed</t>
  </si>
  <si>
    <t xml:space="preserve">Deep retrofit of 24 council homes, Phase 1</t>
  </si>
  <si>
    <t xml:space="preserve">PS</t>
  </si>
  <si>
    <t xml:space="preserve">Office fit-out, 2,300 m2, Dublin 4</t>
  </si>
  <si>
    <t xml:space="preserve">Hotel bedroom refurbishment, 64 rooms</t>
  </si>
  <si>
    <t xml:space="preserve">Restaurant fit-out, Dublin 7</t>
  </si>
  <si>
    <t xml:space="preserve">Ember &amp; Oak Restaurants Ltd</t>
  </si>
  <si>
    <t xml:space="preserve">Deep retrofit of 30 council homes, Phase 2</t>
  </si>
  <si>
    <t xml:space="preserve">Medical clinic fit-out, Dublin 15</t>
  </si>
  <si>
    <t xml:space="preserve">Liffeyside Medical Partners</t>
  </si>
  <si>
    <t xml:space="preserve">Contracted</t>
  </si>
  <si>
    <t xml:space="preserve">Deep retrofit of 40 council homes, Phase 3</t>
  </si>
  <si>
    <t xml:space="preserve">Office fit-out, 3,100 m2, Dublin 2</t>
  </si>
  <si>
    <t xml:space="preserve">Quayside Capital Partners</t>
  </si>
  <si>
    <t xml:space="preserve">Tender submitted</t>
  </si>
  <si>
    <t xml:space="preserve">Retail flagship fit-out, city centre</t>
  </si>
  <si>
    <t xml:space="preserve">Maple &amp; Rowe Retail Ltd</t>
  </si>
  <si>
    <t xml:space="preserve">Preferred bidder</t>
  </si>
  <si>
    <t xml:space="preserve">Hotel public areas refurbishment (phase 2)</t>
  </si>
  <si>
    <t xml:space="preserve">Shortlisted</t>
  </si>
  <si>
    <t xml:space="preserve">Deep retrofit of 32 council homes, Phase 4</t>
  </si>
  <si>
    <t xml:space="preserve">Framework call-off expected</t>
  </si>
  <si>
    <t xml:space="preserve">Office fit-out, 1,200 m2, Sandyford</t>
  </si>
  <si>
    <t xml:space="preserve">Brightlane Software Ltd</t>
  </si>
  <si>
    <t xml:space="preserve">Tender in preparation</t>
  </si>
  <si>
    <t xml:space="preserve">Office refurbishment and M&amp;E upgrade, Dublin 2</t>
  </si>
  <si>
    <t xml:space="preserve">Merrion Row Holdings Ltd</t>
  </si>
  <si>
    <t xml:space="preserve">Early engagement</t>
  </si>
  <si>
    <t xml:space="preserve">Hotel refurbishment, 48 rooms, Galway</t>
  </si>
  <si>
    <t xml:space="preserve">Corrib Bay Hotels Ltd</t>
  </si>
  <si>
    <t xml:space="preserve">Month numbers count from the model start (Jan-26 = 1); negative numbers are months before the model starts. Retention: first share released the month after practical completion, the balance the month after the defects period ends. Final account agreed the months after completion set on Assumptions.</t>
  </si>
  <si>
    <t xml:space="preserve">TARNLEA BUILD &amp; RETROFIT LTD (FICTIONAL DEMONSTRATION COMPANY)</t>
  </si>
  <si>
    <t xml:space="preserve">ASSUMPTIONS, TIMELINE AND SCENARIO DRIVERS</t>
  </si>
  <si>
    <t xml:space="preserve">Every input lives here, on Inputs_Actuals, Project_Register, Variations, Commitments, Budget_FY26 or the headcount tables. Blue on yellow = input. Black = formula. Green = link to another sheet.</t>
  </si>
  <si>
    <t xml:space="preserve">GENERAL</t>
  </si>
  <si>
    <t xml:space="preserve">Company name</t>
  </si>
  <si>
    <t xml:space="preserve">Tarnlea Build &amp; Retrofit Ltd (fictional demonstration company)</t>
  </si>
  <si>
    <t xml:space="preserve">All figures fictional. Irish private company limited by shares, financial year = calendar year, reporting currency EUR.</t>
  </si>
  <si>
    <t xml:space="preserve">Reporting currency</t>
  </si>
  <si>
    <t xml:space="preserve">Model start month (month end)</t>
  </si>
  <si>
    <t xml:space="preserve">date</t>
  </si>
  <si>
    <t xml:space="preserve">24 monthly columns from this month</t>
  </si>
  <si>
    <t xml:space="preserve">Last actual month (month end)</t>
  </si>
  <si>
    <t xml:space="preserve">Months up to and including this date are actual (fictional ledger); later months are forecast</t>
  </si>
  <si>
    <t xml:space="preserve">Last actual month number</t>
  </si>
  <si>
    <t xml:space="preserve">calc</t>
  </si>
  <si>
    <t xml:space="preserve">Scenario selector (1 = Base, 2 = Downside, 3 = Upside)</t>
  </si>
  <si>
    <t xml:space="preserve">Change this cell and every forecast month moves. Base = management case; Downside = worst case; Upside = best case.</t>
  </si>
  <si>
    <t xml:space="preserve">Scenario name</t>
  </si>
  <si>
    <t xml:space="preserve">Used by the 13-week cash forecast and the CFO report</t>
  </si>
  <si>
    <t xml:space="preserve">Undrawn overdraft facility available</t>
  </si>
  <si>
    <t xml:space="preserve">Committed, undrawn; first lever if the buffer is breached</t>
  </si>
  <si>
    <t xml:space="preserve">Performance bond facility limit (surety)</t>
  </si>
  <si>
    <t xml:space="preserve">Bonds outstanding are a contingent liability; the limit caps how much commercial and public work can be taken on</t>
  </si>
  <si>
    <t xml:space="preserve">Bond commission, annual rate on bonds outstanding</t>
  </si>
  <si>
    <t xml:space="preserve">rate</t>
  </si>
  <si>
    <t xml:space="preserve">VAT exempt; charged monthly to overheads</t>
  </si>
  <si>
    <t xml:space="preserve">Aged receivables and payables: as-at date</t>
  </si>
  <si>
    <t xml:space="preserve">TAX (IRELAND)</t>
  </si>
  <si>
    <t xml:space="preserve">Corporation tax rate on trading income</t>
  </si>
  <si>
    <t xml:space="preserve">Assumes capital allowances equal depreciation and no disallowable items (information needed: FY2026 tax computation)</t>
  </si>
  <si>
    <t xml:space="preserve">FY2025 corporation tax liability (per the FY2025 return)</t>
  </si>
  <si>
    <t xml:space="preserve">Basis for FY2026 preliminary tax at 100% of the prior year</t>
  </si>
  <si>
    <t xml:space="preserve">Small company threshold for preliminary tax (prior-year liability)</t>
  </si>
  <si>
    <t xml:space="preserve">One payment by the 23rd of month 11 (100% prior year or 90% current); balance by the 23rd of month 9 after year end (Revenue TDM 41A-07-02)</t>
  </si>
  <si>
    <t xml:space="preserve">VAT: reduced rate on construction services</t>
  </si>
  <si>
    <t xml:space="preserve">Renovation, retrofit and fit-out services (Revenue). Reverse charge applies where the customer is a principal contractor, e.g. a county council</t>
  </si>
  <si>
    <t xml:space="preserve">VAT: standard rate</t>
  </si>
  <si>
    <t xml:space="preserve">Materials, plant hire, agency labour and most overheads</t>
  </si>
  <si>
    <t xml:space="preserve">Share of overheads bearing recoverable VAT</t>
  </si>
  <si>
    <t xml:space="preserve">share</t>
  </si>
  <si>
    <t xml:space="preserve">Insurance, bond commission and some rent are exempt</t>
  </si>
  <si>
    <t xml:space="preserve">Share of fleet running costs bearing recoverable VAT</t>
  </si>
  <si>
    <t xml:space="preserve">Diesel and maintenance recoverable; vehicle insurance exempt</t>
  </si>
  <si>
    <t xml:space="preserve">Share of capex bearing recoverable VAT</t>
  </si>
  <si>
    <t xml:space="preserve">Commercial vans, tools and IT</t>
  </si>
  <si>
    <t xml:space="preserve">RCT: blended deduction rate on subcontractor payments</t>
  </si>
  <si>
    <t xml:space="preserve">Revenue determines each subcontractor rate (0%, 20% or 35%); blend reflects the current mix. Remitted by the 23rd of the following month</t>
  </si>
  <si>
    <t xml:space="preserve">Employer PRSI, Class A (weekly pay above EUR 552), to 30-Sep-26</t>
  </si>
  <si>
    <t xml:space="preserve">gov.ie PRSI Class A rates</t>
  </si>
  <si>
    <t xml:space="preserve">Employer PRSI, Class A, from 1-Oct-26</t>
  </si>
  <si>
    <t xml:space="preserve">gov.ie; later increases not modelled until confirmed</t>
  </si>
  <si>
    <t xml:space="preserve">Employer pension and other employment costs, share of gross pay</t>
  </si>
  <si>
    <t xml:space="preserve">Company assumption</t>
  </si>
  <si>
    <t xml:space="preserve">Employee deductions (PAYE, USC, PRSI, pension), share of gross pay</t>
  </si>
  <si>
    <t xml:space="preserve">Company average; remitted with employer PRSI by the 23rd of the following month</t>
  </si>
  <si>
    <t xml:space="preserve">SITE LABOUR, FLEET AND OVERHEAD RATES</t>
  </si>
  <si>
    <t xml:space="preserve">Productive hours per site FTE per month</t>
  </si>
  <si>
    <t xml:space="preserve">hours</t>
  </si>
  <si>
    <t xml:space="preserve">After annual leave, public holidays, sick leave and training (company assumption)</t>
  </si>
  <si>
    <t xml:space="preserve">Standard labour cost rate charged to projects, FY2026</t>
  </si>
  <si>
    <t xml:space="preserve">EUR/hour</t>
  </si>
  <si>
    <t xml:space="preserve">Set so that 85% utilisation recovers the site payroll</t>
  </si>
  <si>
    <t xml:space="preserve">Target utilisation of productive hours</t>
  </si>
  <si>
    <t xml:space="preserve">Agency operatives, cost per hour ex VAT</t>
  </si>
  <si>
    <t xml:space="preserve">Fleet running cost per van per month (fuel, maintenance, insurance, tracking)</t>
  </si>
  <si>
    <t xml:space="preserve">Small tools and consumables per month</t>
  </si>
  <si>
    <t xml:space="preserve">Pay and overhead inflation applied from FY2027</t>
  </si>
  <si>
    <t xml:space="preserve">RESIDENTIAL PROGRAMMES</t>
  </si>
  <si>
    <t xml:space="preserve">Retrofit run-rate basis: latest actual months averaged</t>
  </si>
  <si>
    <t xml:space="preserve">months</t>
  </si>
  <si>
    <t xml:space="preserve">Latest quarter only: starts were depressed Mar to May by the coordinator vacancy</t>
  </si>
  <si>
    <t xml:space="preserve">Renovation run-rate basis: latest actual months averaged</t>
  </si>
  <si>
    <t xml:space="preserve">Retrofit revenue earned in month 1 of the job (share of contract value)</t>
  </si>
  <si>
    <t xml:space="preserve">Three-month job; shares must sum to 100%</t>
  </si>
  <si>
    <t xml:space="preserve">Retrofit revenue earned in month 2 of the job (share of contract value)</t>
  </si>
  <si>
    <t xml:space="preserve">Retrofit revenue earned in month 3 of the job (share of contract value)</t>
  </si>
  <si>
    <t xml:space="preserve">Renovation revenue earned in month 1 of the job (share of contract value)</t>
  </si>
  <si>
    <t xml:space="preserve">Five-month job; shares must sum to 100%</t>
  </si>
  <si>
    <t xml:space="preserve">Renovation revenue earned in month 2 of the job (share of contract value)</t>
  </si>
  <si>
    <t xml:space="preserve">Renovation revenue earned in month 3 of the job (share of contract value)</t>
  </si>
  <si>
    <t xml:space="preserve">Renovation revenue earned in month 4 of the job (share of contract value)</t>
  </si>
  <si>
    <t xml:space="preserve">Renovation revenue earned in month 5 of the job (share of contract value)</t>
  </si>
  <si>
    <t xml:space="preserve">Retrofit homeowner stage invoice 1 (share of homeowner portion)</t>
  </si>
  <si>
    <t xml:space="preserve">Deposit at start</t>
  </si>
  <si>
    <t xml:space="preserve">Retrofit homeowner stage invoice 2 (share of homeowner portion)</t>
  </si>
  <si>
    <t xml:space="preserve">Month 2 stage</t>
  </si>
  <si>
    <t xml:space="preserve">Retrofit homeowner stage invoice 3 (share of homeowner portion)</t>
  </si>
  <si>
    <t xml:space="preserve">Completion</t>
  </si>
  <si>
    <t xml:space="preserve">SEAI grant claim: months after completion (post-works BER)</t>
  </si>
  <si>
    <t xml:space="preserve">Grant is deducted from the homeowner price and paid to the One Stop Shop (SEAI homeowner guide)</t>
  </si>
  <si>
    <t xml:space="preserve">Renovation deposit at contract start</t>
  </si>
  <si>
    <t xml:space="preserve">Renovation progress billing as share of revenue earned</t>
  </si>
  <si>
    <t xml:space="preserve">Renovation snag retention held by the homeowner</t>
  </si>
  <si>
    <t xml:space="preserve">Snag retention released: months after completion</t>
  </si>
  <si>
    <t xml:space="preserve">Retrofit forecast cost mix: own labour (allocated at standard rate)</t>
  </si>
  <si>
    <t xml:space="preserve">Retrofit forecast cost mix: subcontractors</t>
  </si>
  <si>
    <t xml:space="preserve">Retrofit forecast cost mix: materials</t>
  </si>
  <si>
    <t xml:space="preserve">Retrofit forecast cost mix: plant hire</t>
  </si>
  <si>
    <t xml:space="preserve">Retrofit forecast cost mix: preliminaries and site services</t>
  </si>
  <si>
    <t xml:space="preserve">Renovation forecast cost mix: own labour (allocated at standard rate)</t>
  </si>
  <si>
    <t xml:space="preserve">Renovation forecast cost mix: subcontractors</t>
  </si>
  <si>
    <t xml:space="preserve">Renovation forecast cost mix: materials</t>
  </si>
  <si>
    <t xml:space="preserve">Renovation forecast cost mix: plant hire</t>
  </si>
  <si>
    <t xml:space="preserve">Renovation forecast cost mix: preliminaries and site services</t>
  </si>
  <si>
    <t xml:space="preserve">NAMED PROJECTS, PAYABLES, DEBT AND CAPEX</t>
  </si>
  <si>
    <t xml:space="preserve">Pending variations recognised in contract value while undecided</t>
  </si>
  <si>
    <t xml:space="preserve">Revenue constraint (IFRS 15.56): only the amount highly probable not to reverse</t>
  </si>
  <si>
    <t xml:space="preserve">Final account agreed: months after practical completion</t>
  </si>
  <si>
    <t xml:space="preserve">Subcontractors: days payable</t>
  </si>
  <si>
    <t xml:space="preserve">days</t>
  </si>
  <si>
    <t xml:space="preserve">Monthly payment run on the 25th after the payment notice</t>
  </si>
  <si>
    <t xml:space="preserve">Materials suppliers: days payable</t>
  </si>
  <si>
    <t xml:space="preserve">Plant hire and site services: days payable</t>
  </si>
  <si>
    <t xml:space="preserve">Overhead, fleet and agency suppliers: days payable</t>
  </si>
  <si>
    <t xml:space="preserve">Hire purchase: annual interest rate</t>
  </si>
  <si>
    <t xml:space="preserve">Hire purchase: term of new agreements</t>
  </si>
  <si>
    <t xml:space="preserve">Hire purchase: existing agreements, monthly principal</t>
  </si>
  <si>
    <t xml:space="preserve">Share of van purchases financed by hire purchase</t>
  </si>
  <si>
    <t xml:space="preserve">Van replacements (two vans)</t>
  </si>
  <si>
    <t xml:space="preserve">Van replacements: month</t>
  </si>
  <si>
    <t xml:space="preserve">Plant and tools capex per month</t>
  </si>
  <si>
    <t xml:space="preserve">IT and estimating software refresh</t>
  </si>
  <si>
    <t xml:space="preserve">IT refresh: month</t>
  </si>
  <si>
    <t xml:space="preserve">Depreciation: vans, useful life</t>
  </si>
  <si>
    <t xml:space="preserve">years</t>
  </si>
  <si>
    <t xml:space="preserve">Depreciation: plant and tools, useful life</t>
  </si>
  <si>
    <t xml:space="preserve">Depreciation: IT and office, useful life</t>
  </si>
  <si>
    <t xml:space="preserve">Legacy retention CF-2405: final release received</t>
  </si>
  <si>
    <t xml:space="preserve">Defects period ends Oct-26; release certified Nov-26, paid Dec-26</t>
  </si>
  <si>
    <t xml:space="preserve">TIMELINE (24 months)</t>
  </si>
  <si>
    <t xml:space="preserve">Month end date</t>
  </si>
  <si>
    <t xml:space="preserve">Financial year</t>
  </si>
  <si>
    <t xml:space="preserve">Calendar month</t>
  </si>
  <si>
    <t xml:space="preserve">Days in month</t>
  </si>
  <si>
    <t xml:space="preserve">Months after the last actual month (growth compounding base)</t>
  </si>
  <si>
    <t xml:space="preserve">Residential starts seasonality (12-month profile, FY27 repeats FY26)</t>
  </si>
  <si>
    <t xml:space="preserve">Employer PRSI rate in force</t>
  </si>
  <si>
    <t xml:space="preserve">Pay and overhead inflation factor</t>
  </si>
  <si>
    <t xml:space="preserve">VAT payment month (bi-monthly return for the prior two months, 23rd)</t>
  </si>
  <si>
    <t xml:space="preserve">Corporation tax balance of the prior year paid (23 September)</t>
  </si>
  <si>
    <t xml:space="preserve">Corporation tax preliminary payment (23 November)</t>
  </si>
  <si>
    <t xml:space="preserve">SCENARIO DRIVERS  (C = Base, D = Downside, E = Upside, F = selected, G = YTD actual reference)</t>
  </si>
  <si>
    <t xml:space="preserve">Driver</t>
  </si>
  <si>
    <t xml:space="preserve">Selected</t>
  </si>
  <si>
    <t xml:space="preserve">Note</t>
  </si>
  <si>
    <t xml:space="preserve">Retrofit homes started: growth vs deseasonalised run-rate (annualised)</t>
  </si>
  <si>
    <t xml:space="preserve">Base assumes the second retrofit coordinator (Nov-26) clears the survey backlog</t>
  </si>
  <si>
    <t xml:space="preserve">Renovation jobs started: growth vs run-rate (annualised)</t>
  </si>
  <si>
    <t xml:space="preserve">Retrofit average contract value change (annualised)</t>
  </si>
  <si>
    <t xml:space="preserve">Renovation average contract value change (annualised)</t>
  </si>
  <si>
    <t xml:space="preserve">Retrofit gross margin on new and in-flight work</t>
  </si>
  <si>
    <t xml:space="preserve">Renovation gross margin on new and in-flight work</t>
  </si>
  <si>
    <t xml:space="preserve">Start delay: contracted and pipeline projects</t>
  </si>
  <si>
    <t xml:space="preserve">Completion delay: projects in progress</t>
  </si>
  <si>
    <t xml:space="preserve">Cost overrun on cost to complete, projects in progress</t>
  </si>
  <si>
    <t xml:space="preserve">Applied to the project managers cost to complete at the last actual month</t>
  </si>
  <si>
    <t xml:space="preserve">Cost overrun on tender budgets, projects not yet started</t>
  </si>
  <si>
    <t xml:space="preserve">Pending variations: final agreed value as share of claimed</t>
  </si>
  <si>
    <t xml:space="preserve">Applied on the expected decision date; the policy constraint applies until then</t>
  </si>
  <si>
    <t xml:space="preserve">Commercial and council clients: extra payment days</t>
  </si>
  <si>
    <t xml:space="preserve">SEAI grant claims: days to payment</t>
  </si>
  <si>
    <t xml:space="preserve">Homeowners: days to payment</t>
  </si>
  <si>
    <t xml:space="preserve">Site hiring plan (1 = as planned, 0 = freeze)</t>
  </si>
  <si>
    <t xml:space="preserve">flag</t>
  </si>
  <si>
    <t xml:space="preserve">Office hiring plan (1 = as planned, 0 = freeze)</t>
  </si>
  <si>
    <t xml:space="preserve">Discretionary overheads factor (marketing, training, motor)</t>
  </si>
  <si>
    <t xml:space="preserve">x</t>
  </si>
  <si>
    <t xml:space="preserve">Disputed retention CF-2311: share recovered</t>
  </si>
  <si>
    <t xml:space="preserve">Disputed retention CF-2311: month of settlement</t>
  </si>
  <si>
    <t xml:space="preserve">INPUTS: ACTUAL MONTHS (FICTIONAL LEDGER, VALUATIONS, JOB SYSTEM AND BANK)</t>
  </si>
  <si>
    <t xml:space="preserve">Jan-26 to Aug-26 are fictional actuals entered as inputs. Forecast months are blank by design and are driven from Assumptions and the registers.</t>
  </si>
  <si>
    <t xml:space="preserve">NAMED PROJECTS: COST BY TYPE, COST TO COMPLETE, REVENUE, VALUATIONS AND CASH</t>
  </si>
  <si>
    <t xml:space="preserve">CF-2501: own labour (allocated at standard rate)</t>
  </si>
  <si>
    <t xml:space="preserve">cost ledger</t>
  </si>
  <si>
    <t xml:space="preserve">CF-2501: subcontractors</t>
  </si>
  <si>
    <t xml:space="preserve">CF-2501: materials</t>
  </si>
  <si>
    <t xml:space="preserve">CF-2501: plant hire</t>
  </si>
  <si>
    <t xml:space="preserve">CF-2501: preliminaries and site services</t>
  </si>
  <si>
    <t xml:space="preserve">CF-2501: cost to complete at month end (project cost report)</t>
  </si>
  <si>
    <t xml:space="preserve">cost report</t>
  </si>
  <si>
    <t xml:space="preserve">CF-2501: revenue recognised in the month</t>
  </si>
  <si>
    <t xml:space="preserve">ledger (percentage of completion)</t>
  </si>
  <si>
    <t xml:space="preserve">CF-2501: gross value certified in the month (before retention)</t>
  </si>
  <si>
    <t xml:space="preserve">payment certificates</t>
  </si>
  <si>
    <t xml:space="preserve">CF-2501: cash received incl. VAT</t>
  </si>
  <si>
    <t xml:space="preserve">bank</t>
  </si>
  <si>
    <t xml:space="preserve">PS-2502: own labour (allocated at standard rate)</t>
  </si>
  <si>
    <t xml:space="preserve">PS-2502: subcontractors</t>
  </si>
  <si>
    <t xml:space="preserve">PS-2502: materials</t>
  </si>
  <si>
    <t xml:space="preserve">PS-2502: plant hire</t>
  </si>
  <si>
    <t xml:space="preserve">PS-2502: preliminaries and site services</t>
  </si>
  <si>
    <t xml:space="preserve">PS-2502: cost to complete at month end (project cost report)</t>
  </si>
  <si>
    <t xml:space="preserve">PS-2502: revenue recognised in the month</t>
  </si>
  <si>
    <t xml:space="preserve">PS-2502: gross value certified in the month (before retention)</t>
  </si>
  <si>
    <t xml:space="preserve">PS-2502: cash received incl. VAT</t>
  </si>
  <si>
    <t xml:space="preserve">CF-2601: own labour (allocated at standard rate)</t>
  </si>
  <si>
    <t xml:space="preserve">CF-2601: subcontractors</t>
  </si>
  <si>
    <t xml:space="preserve">CF-2601: materials</t>
  </si>
  <si>
    <t xml:space="preserve">CF-2601: plant hire</t>
  </si>
  <si>
    <t xml:space="preserve">CF-2601: preliminaries and site services</t>
  </si>
  <si>
    <t xml:space="preserve">CF-2601: cost to complete at month end (project cost report)</t>
  </si>
  <si>
    <t xml:space="preserve">CF-2601: revenue recognised in the month</t>
  </si>
  <si>
    <t xml:space="preserve">CF-2601: gross value certified in the month (before retention)</t>
  </si>
  <si>
    <t xml:space="preserve">CF-2601: cash received incl. VAT</t>
  </si>
  <si>
    <t xml:space="preserve">CF-2602: own labour (allocated at standard rate)</t>
  </si>
  <si>
    <t xml:space="preserve">CF-2602: subcontractors</t>
  </si>
  <si>
    <t xml:space="preserve">CF-2602: materials</t>
  </si>
  <si>
    <t xml:space="preserve">CF-2602: plant hire</t>
  </si>
  <si>
    <t xml:space="preserve">CF-2602: preliminaries and site services</t>
  </si>
  <si>
    <t xml:space="preserve">CF-2602: cost to complete at month end (project cost report)</t>
  </si>
  <si>
    <t xml:space="preserve">CF-2602: revenue recognised in the month</t>
  </si>
  <si>
    <t xml:space="preserve">CF-2602: gross value certified in the month (before retention)</t>
  </si>
  <si>
    <t xml:space="preserve">CF-2602: cash received incl. VAT</t>
  </si>
  <si>
    <t xml:space="preserve">CF-2603: own labour (allocated at standard rate)</t>
  </si>
  <si>
    <t xml:space="preserve">CF-2603: subcontractors</t>
  </si>
  <si>
    <t xml:space="preserve">CF-2603: materials</t>
  </si>
  <si>
    <t xml:space="preserve">CF-2603: plant hire</t>
  </si>
  <si>
    <t xml:space="preserve">CF-2603: preliminaries and site services</t>
  </si>
  <si>
    <t xml:space="preserve">CF-2603: cost to complete at month end (project cost report)</t>
  </si>
  <si>
    <t xml:space="preserve">CF-2603: revenue recognised in the month</t>
  </si>
  <si>
    <t xml:space="preserve">CF-2603: gross value certified in the month (before retention)</t>
  </si>
  <si>
    <t xml:space="preserve">CF-2603: cash received incl. VAT</t>
  </si>
  <si>
    <t xml:space="preserve">PS-2601: own labour (allocated at standard rate)</t>
  </si>
  <si>
    <t xml:space="preserve">PS-2601: subcontractors</t>
  </si>
  <si>
    <t xml:space="preserve">PS-2601: materials</t>
  </si>
  <si>
    <t xml:space="preserve">PS-2601: plant hire</t>
  </si>
  <si>
    <t xml:space="preserve">PS-2601: preliminaries and site services</t>
  </si>
  <si>
    <t xml:space="preserve">PS-2601: cost to complete at month end (project cost report)</t>
  </si>
  <si>
    <t xml:space="preserve">PS-2601: revenue recognised in the month</t>
  </si>
  <si>
    <t xml:space="preserve">PS-2601: gross value certified in the month (before retention)</t>
  </si>
  <si>
    <t xml:space="preserve">PS-2601: cash received incl. VAT</t>
  </si>
  <si>
    <t xml:space="preserve">RESIDENTIAL RETROFIT PROGRAMME (SEAI ONE STOP SHOP)</t>
  </si>
  <si>
    <t xml:space="preserve">Retrofit: homes started</t>
  </si>
  <si>
    <t xml:space="preserve">job system</t>
  </si>
  <si>
    <t xml:space="preserve">Retrofit: average contract value ex VAT (EUR per home)</t>
  </si>
  <si>
    <t xml:space="preserve">Retrofit: average SEAI grant per home (EUR)</t>
  </si>
  <si>
    <t xml:space="preserve">grant applications</t>
  </si>
  <si>
    <t xml:space="preserve">Retrofit: revenue earned</t>
  </si>
  <si>
    <t xml:space="preserve">ledger</t>
  </si>
  <si>
    <t xml:space="preserve">Retrofit: own labour (allocated at standard rate)</t>
  </si>
  <si>
    <t xml:space="preserve">Retrofit: subcontractors</t>
  </si>
  <si>
    <t xml:space="preserve">Retrofit: materials</t>
  </si>
  <si>
    <t xml:space="preserve">Retrofit: plant hire</t>
  </si>
  <si>
    <t xml:space="preserve">Retrofit: preliminaries and site services</t>
  </si>
  <si>
    <t xml:space="preserve">Retrofit: homeowner invoices incl. VAT</t>
  </si>
  <si>
    <t xml:space="preserve">sales ledger</t>
  </si>
  <si>
    <t xml:space="preserve">Retrofit: SEAI grant claims lodged incl. VAT</t>
  </si>
  <si>
    <t xml:space="preserve">SEAI claims</t>
  </si>
  <si>
    <t xml:space="preserve">Retrofit: cash received from homeowners</t>
  </si>
  <si>
    <t xml:space="preserve">Retrofit: SEAI grant cash received</t>
  </si>
  <si>
    <t xml:space="preserve">RESIDENTIAL RENOVATION AND EXTENSIONS PROGRAMME</t>
  </si>
  <si>
    <t xml:space="preserve">Renovation: jobs started</t>
  </si>
  <si>
    <t xml:space="preserve">Renovation: average contract value ex VAT (EUR per job)</t>
  </si>
  <si>
    <t xml:space="preserve">Renovation: revenue earned</t>
  </si>
  <si>
    <t xml:space="preserve">Renovation: own labour (allocated at standard rate)</t>
  </si>
  <si>
    <t xml:space="preserve">Renovation: subcontractors</t>
  </si>
  <si>
    <t xml:space="preserve">Renovation: materials</t>
  </si>
  <si>
    <t xml:space="preserve">Renovation: plant hire</t>
  </si>
  <si>
    <t xml:space="preserve">Renovation: preliminaries and site services</t>
  </si>
  <si>
    <t xml:space="preserve">Renovation: invoices incl. VAT</t>
  </si>
  <si>
    <t xml:space="preserve">Renovation: cash received</t>
  </si>
  <si>
    <t xml:space="preserve">SITE WORKFORCE, AGENCY AND FLEET</t>
  </si>
  <si>
    <t xml:space="preserve">payroll</t>
  </si>
  <si>
    <t xml:space="preserve">Site workforce gross pay</t>
  </si>
  <si>
    <t xml:space="preserve">Agency operatives (ex VAT)</t>
  </si>
  <si>
    <t xml:space="preserve">supplier invoices</t>
  </si>
  <si>
    <t xml:space="preserve">Vans in the fleet</t>
  </si>
  <si>
    <t xml:space="preserve">fleet register</t>
  </si>
  <si>
    <t xml:space="preserve">Fleet running costs and small tools (ex VAT)</t>
  </si>
  <si>
    <t xml:space="preserve">OFFICE PAYROLL AND OVERHEADS (ex VAT)</t>
  </si>
  <si>
    <t xml:space="preserve">Office staff gross pay</t>
  </si>
  <si>
    <t xml:space="preserve">Bad debt charge (specific provisions)</t>
  </si>
  <si>
    <t xml:space="preserve">CAPEX AND FINANCING</t>
  </si>
  <si>
    <t xml:space="preserve">Capex: vans</t>
  </si>
  <si>
    <t xml:space="preserve">asset register</t>
  </si>
  <si>
    <t xml:space="preserve">Capex: plant and tools</t>
  </si>
  <si>
    <t xml:space="preserve">Capex: IT and office</t>
  </si>
  <si>
    <t xml:space="preserve">HP agreements</t>
  </si>
  <si>
    <t xml:space="preserve">SUPPLIER PAYMENTS (per bank)</t>
  </si>
  <si>
    <t xml:space="preserve">Subcontractors: gross payments before RCT deducted</t>
  </si>
  <si>
    <t xml:space="preserve">bank + RCT deduction summaries</t>
  </si>
  <si>
    <t xml:space="preserve">Materials suppliers: payments</t>
  </si>
  <si>
    <t xml:space="preserve">Plant hire and site services: payments</t>
  </si>
  <si>
    <t xml:space="preserve">Overhead, fleet and agency suppliers: payments</t>
  </si>
  <si>
    <t xml:space="preserve">OPENING BALANCE SHEET AT 31-DEC-25 (FY2025 accounts, fictional) - values in column C; named project openings are on Project_Register</t>
  </si>
  <si>
    <t xml:space="preserve">FY25 accounts</t>
  </si>
  <si>
    <t xml:space="preserve">Retrofit homeowner receivables</t>
  </si>
  <si>
    <t xml:space="preserve">Renovation homeowner receivables</t>
  </si>
  <si>
    <t xml:space="preserve">Retrofit programme: revenue earned less billed (ex VAT; + asset, - liability)</t>
  </si>
  <si>
    <t xml:space="preserve">Renovation programme: revenue earned less billed (ex VAT)</t>
  </si>
  <si>
    <t xml:space="preserve">Legacy retention CF-2405 (final half, ex VAT)</t>
  </si>
  <si>
    <t xml:space="preserve">Legacy retention CF-2311 (overdue, ex VAT)</t>
  </si>
  <si>
    <t xml:space="preserve">Vans: cost</t>
  </si>
  <si>
    <t xml:space="preserve">Vans: accumulated depreciation</t>
  </si>
  <si>
    <t xml:space="preserve">Plant and tools: cost</t>
  </si>
  <si>
    <t xml:space="preserve">Plant and tools: accumulated depreciation</t>
  </si>
  <si>
    <t xml:space="preserve">IT and office: cost</t>
  </si>
  <si>
    <t xml:space="preserve">IT and office: accumulated depreciation</t>
  </si>
  <si>
    <t xml:space="preserve">Trade payables: overhead suppliers</t>
  </si>
  <si>
    <t xml:space="preserve">RCT deducted, payable to Revenue</t>
  </si>
  <si>
    <t xml:space="preserve">VAT payable (Nov-Dec 25 return)</t>
  </si>
  <si>
    <t xml:space="preserve">Corporation tax payable (FY2025 balance)</t>
  </si>
  <si>
    <t xml:space="preserve">Hire purchase creditor</t>
  </si>
  <si>
    <t xml:space="preserve">ORIGINAL FY2026 BUDGET (APPROVED DEC-25, FICTIONAL)</t>
  </si>
  <si>
    <t xml:space="preserve">Twelve budget months. Volumes, revenue by segment, gross margin rates, site costs and overhead lines are inputs as approved; everything else is calculated. Never overwritten.</t>
  </si>
  <si>
    <t xml:space="preserve">budget input</t>
  </si>
  <si>
    <t xml:space="preserve">Gross margin rate: residential deep retrofit (seai one stop shop)</t>
  </si>
  <si>
    <t xml:space="preserve">Gross margin rate: residential renovation and extensions</t>
  </si>
  <si>
    <t xml:space="preserve">Gross margin rate: commercial fit-out</t>
  </si>
  <si>
    <t xml:space="preserve">Gross margin rate: public sector retrofit (council)</t>
  </si>
  <si>
    <t xml:space="preserve">revenue x margin rate</t>
  </si>
  <si>
    <t xml:space="preserve">SITE RESOURCES AND OVERHEADS</t>
  </si>
  <si>
    <t xml:space="preserve">Corporation tax (budget: 12.5% of positive monthly profit)</t>
  </si>
  <si>
    <t xml:space="preserve">BUDGETED MONTH-END BALANCES</t>
  </si>
  <si>
    <t xml:space="preserve">budget balance</t>
  </si>
</sst>
</file>

<file path=xl/styles.xml><?xml version="1.0" encoding="utf-8"?>
<styleSheet xmlns="http://schemas.openxmlformats.org/spreadsheetml/2006/main">
  <numFmts count="17">
    <numFmt numFmtId="164" formatCode="General"/>
    <numFmt numFmtId="165" formatCode="mmm\-yy"/>
    <numFmt numFmtId="166" formatCode="@"/>
    <numFmt numFmtId="167" formatCode="#,##0;\(#,##0\);\-"/>
    <numFmt numFmtId="168" formatCode="0.0"/>
    <numFmt numFmtId="169" formatCode="0.0%;\(0.0%\);\-"/>
    <numFmt numFmtId="170" formatCode="General"/>
    <numFmt numFmtId="171" formatCode="dd\-mmm\-yy"/>
    <numFmt numFmtId="172" formatCode="0"/>
    <numFmt numFmtId="173" formatCode="0.0;\(0.0\);\-"/>
    <numFmt numFmtId="174" formatCode="0.00\x"/>
    <numFmt numFmtId="175" formatCode="0%"/>
    <numFmt numFmtId="176" formatCode="0.0000"/>
    <numFmt numFmtId="177" formatCode="0.00"/>
    <numFmt numFmtId="178" formatCode="0.000"/>
    <numFmt numFmtId="179" formatCode="#,##0.00;\(#,##0.00\);\-"/>
    <numFmt numFmtId="180" formatCode="0.00%;\(0.00%\);\-"/>
  </numFmts>
  <fonts count="37">
    <font>
      <sz val="11"/>
      <color theme="1"/>
      <name val="Calibri"/>
      <family val="2"/>
      <charset val="1"/>
    </font>
    <font>
      <sz val="10"/>
      <name val="Arial"/>
      <family val="0"/>
    </font>
    <font>
      <sz val="10"/>
      <name val="Arial"/>
      <family val="0"/>
    </font>
    <font>
      <sz val="10"/>
      <name val="Arial"/>
      <family val="0"/>
    </font>
    <font>
      <b val="true"/>
      <sz val="20"/>
      <color rgb="FF032330"/>
      <name val="Arial"/>
      <family val="0"/>
      <charset val="1"/>
    </font>
    <font>
      <b val="true"/>
      <sz val="14"/>
      <color rgb="FF003B46"/>
      <name val="Arial"/>
      <family val="0"/>
      <charset val="1"/>
    </font>
    <font>
      <sz val="11"/>
      <color rgb="FF1A2B33"/>
      <name val="Arial"/>
      <family val="0"/>
      <charset val="1"/>
    </font>
    <font>
      <b val="true"/>
      <sz val="10"/>
      <color rgb="FF9C1C1C"/>
      <name val="Arial"/>
      <family val="0"/>
      <charset val="1"/>
    </font>
    <font>
      <b val="true"/>
      <sz val="10"/>
      <color rgb="FF032330"/>
      <name val="Arial"/>
      <family val="0"/>
      <charset val="1"/>
    </font>
    <font>
      <sz val="10"/>
      <color rgb="FF008000"/>
      <name val="Arial"/>
      <family val="0"/>
      <charset val="1"/>
    </font>
    <font>
      <sz val="10"/>
      <color rgb="FF1A2B33"/>
      <name val="Arial"/>
      <family val="0"/>
      <charset val="1"/>
    </font>
    <font>
      <b val="true"/>
      <sz val="10"/>
      <color rgb="FFFFFFFF"/>
      <name val="Arial"/>
      <family val="0"/>
      <charset val="1"/>
    </font>
    <font>
      <u val="single"/>
      <sz val="10"/>
      <color rgb="FF0563C1"/>
      <name val="Arial"/>
      <family val="0"/>
      <charset val="1"/>
    </font>
    <font>
      <sz val="9"/>
      <color rgb="FF1A2B33"/>
      <name val="Arial"/>
      <family val="0"/>
      <charset val="1"/>
    </font>
    <font>
      <sz val="9"/>
      <color rgb="FF5A6E77"/>
      <name val="Arial"/>
      <family val="0"/>
      <charset val="1"/>
    </font>
    <font>
      <sz val="10"/>
      <color rgb="FF0000FF"/>
      <name val="Arial"/>
      <family val="0"/>
      <charset val="1"/>
    </font>
    <font>
      <sz val="10"/>
      <color rgb="FF000000"/>
      <name val="Arial"/>
      <family val="0"/>
      <charset val="1"/>
    </font>
    <font>
      <sz val="10"/>
      <color rgb="FFFFFFFF"/>
      <name val="Arial"/>
      <family val="0"/>
      <charset val="1"/>
    </font>
    <font>
      <sz val="10"/>
      <color rgb="FF003B46"/>
      <name val="Arial"/>
      <family val="0"/>
      <charset val="1"/>
    </font>
    <font>
      <b val="true"/>
      <sz val="11"/>
      <color rgb="FF032330"/>
      <name val="Arial"/>
      <family val="0"/>
      <charset val="1"/>
    </font>
    <font>
      <b val="true"/>
      <sz val="14"/>
      <color rgb="FF032330"/>
      <name val="Arial"/>
      <family val="0"/>
      <charset val="1"/>
    </font>
    <font>
      <i val="true"/>
      <sz val="9"/>
      <color rgb="FF5A6E77"/>
      <name val="Arial"/>
      <family val="0"/>
      <charset val="1"/>
    </font>
    <font>
      <b val="true"/>
      <sz val="10"/>
      <color rgb="FF000000"/>
      <name val="Arial"/>
      <family val="0"/>
      <charset val="1"/>
    </font>
    <font>
      <b val="true"/>
      <sz val="12"/>
      <color rgb="FF032330"/>
      <name val="Arial"/>
      <family val="0"/>
      <charset val="1"/>
    </font>
    <font>
      <b val="true"/>
      <sz val="9"/>
      <color rgb="FF9C1C1C"/>
      <name val="Arial"/>
      <family val="0"/>
      <charset val="1"/>
    </font>
    <font>
      <b val="true"/>
      <sz val="11"/>
      <color rgb="FFFFFFFF"/>
      <name val="Arial"/>
      <family val="0"/>
      <charset val="1"/>
    </font>
    <font>
      <i val="true"/>
      <sz val="10"/>
      <color rgb="FF5A6E77"/>
      <name val="Arial"/>
      <family val="0"/>
      <charset val="1"/>
    </font>
    <font>
      <b val="true"/>
      <sz val="9"/>
      <color rgb="FF003B46"/>
      <name val="Arial"/>
      <family val="0"/>
      <charset val="1"/>
    </font>
    <font>
      <sz val="8"/>
      <color rgb="FF999999"/>
      <name val="Arial"/>
      <family val="0"/>
      <charset val="1"/>
    </font>
    <font>
      <i val="true"/>
      <sz val="8"/>
      <color rgb="FF5A6E77"/>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0"/>
      <color rgb="FF008000"/>
      <name val="Arial"/>
      <family val="0"/>
      <charset val="1"/>
    </font>
    <font>
      <sz val="8"/>
      <color rgb="FF888888"/>
      <name val="Arial"/>
      <family val="0"/>
      <charset val="1"/>
    </font>
    <font>
      <sz val="10"/>
      <color rgb="FF032330"/>
      <name val="Arial"/>
      <family val="0"/>
      <charset val="1"/>
    </font>
    <font>
      <b val="true"/>
      <sz val="10"/>
      <color rgb="FF003B46"/>
      <name val="Arial"/>
      <family val="0"/>
      <charset val="1"/>
    </font>
  </fonts>
  <fills count="9">
    <fill>
      <patternFill patternType="none"/>
    </fill>
    <fill>
      <patternFill patternType="gray125"/>
    </fill>
    <fill>
      <patternFill patternType="solid">
        <fgColor rgb="FF032330"/>
        <bgColor rgb="FF1A2B33"/>
      </patternFill>
    </fill>
    <fill>
      <patternFill patternType="solid">
        <fgColor rgb="FFFFF9E0"/>
        <bgColor rgb="FFF0F9E8"/>
      </patternFill>
    </fill>
    <fill>
      <patternFill patternType="solid">
        <fgColor rgb="FFF2F7F9"/>
        <bgColor rgb="FFF0F9E8"/>
      </patternFill>
    </fill>
    <fill>
      <patternFill patternType="solid">
        <fgColor rgb="FF003B46"/>
        <bgColor rgb="FF1A2B33"/>
      </patternFill>
    </fill>
    <fill>
      <patternFill patternType="solid">
        <fgColor rgb="FFF0F9E8"/>
        <bgColor rgb="FFF2F7F9"/>
      </patternFill>
    </fill>
    <fill>
      <patternFill patternType="solid">
        <fgColor rgb="FFEEEEEE"/>
        <bgColor rgb="FFF2F7F9"/>
      </patternFill>
    </fill>
    <fill>
      <patternFill patternType="solid">
        <fgColor rgb="FFFFFF00"/>
        <bgColor rgb="FFFFFF00"/>
      </patternFill>
    </fill>
  </fills>
  <borders count="3">
    <border diagonalUp="false" diagonalDown="false">
      <left/>
      <right/>
      <top/>
      <bottom/>
      <diagonal/>
    </border>
    <border diagonalUp="false" diagonalDown="false">
      <left/>
      <right/>
      <top style="thin">
        <color rgb="FFDDE6EA"/>
      </top>
      <bottom style="thin">
        <color rgb="FFDDE6EA"/>
      </bottom>
      <diagonal/>
    </border>
    <border diagonalUp="false" diagonalDown="false">
      <left/>
      <right/>
      <top style="thin">
        <color rgb="FFDDE6EA"/>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general" vertical="bottom" textRotation="0" wrapText="true" indent="0" shrinkToFit="false"/>
      <protection locked="true" hidden="false"/>
    </xf>
    <xf numFmtId="166" fontId="9" fillId="0" borderId="0" xfId="0" applyFont="true" applyBorder="false" applyAlignment="true" applyProtection="false">
      <alignment horizontal="general" vertical="bottom" textRotation="0" wrapText="true" indent="0" shrinkToFit="false"/>
      <protection locked="true" hidden="false"/>
    </xf>
    <xf numFmtId="166" fontId="10" fillId="0" borderId="0" xfId="0" applyFont="true" applyBorder="false" applyAlignment="true" applyProtection="false">
      <alignment horizontal="general" vertical="bottom" textRotation="0" wrapText="true" indent="0" shrinkToFit="false"/>
      <protection locked="true" hidden="false"/>
    </xf>
    <xf numFmtId="167" fontId="9" fillId="0" borderId="0" xfId="0" applyFont="true" applyBorder="false" applyAlignment="true" applyProtection="false">
      <alignment horizontal="general" vertical="bottom" textRotation="0" wrapText="tru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7" fillId="2" borderId="0" xfId="0" applyFont="true" applyBorder="false" applyAlignment="false" applyProtection="false">
      <alignment horizontal="general" vertical="bottom" textRotation="0" wrapText="false" indent="0" shrinkToFit="false"/>
      <protection locked="true" hidden="false"/>
    </xf>
    <xf numFmtId="164" fontId="18" fillId="4"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center" textRotation="0" wrapText="true" indent="0" shrinkToFit="false"/>
      <protection locked="true" hidden="false"/>
    </xf>
    <xf numFmtId="164" fontId="11" fillId="2" borderId="0" xfId="0" applyFont="true" applyBorder="false" applyAlignment="true" applyProtection="false">
      <alignment horizontal="center"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center" vertical="bottom" textRotation="0" wrapText="false" indent="0" shrinkToFit="false"/>
      <protection locked="true" hidden="false"/>
    </xf>
    <xf numFmtId="164" fontId="23" fillId="6" borderId="1" xfId="0" applyFont="true" applyBorder="true" applyAlignment="false" applyProtection="false">
      <alignment horizontal="general" vertical="bottom"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23" fillId="6" borderId="1" xfId="0" applyFont="true" applyBorder="true" applyAlignment="true" applyProtection="false">
      <alignment horizontal="center" vertical="bottom" textRotation="0" wrapText="false" indent="0" shrinkToFit="false"/>
      <protection locked="true" hidden="false"/>
    </xf>
    <xf numFmtId="167" fontId="22" fillId="0" borderId="0" xfId="0" applyFont="true" applyBorder="false" applyAlignment="false" applyProtection="false">
      <alignment horizontal="general" vertical="bottom" textRotation="0" wrapText="false" indent="0" shrinkToFit="false"/>
      <protection locked="true" hidden="false"/>
    </xf>
    <xf numFmtId="169" fontId="22" fillId="0"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5" borderId="0" xfId="0" applyFont="true" applyBorder="false" applyAlignment="true" applyProtection="false">
      <alignment horizontal="left" vertical="center" textRotation="0" wrapText="true" indent="0" shrinkToFit="false"/>
      <protection locked="true" hidden="false"/>
    </xf>
    <xf numFmtId="164" fontId="11" fillId="5" borderId="0" xfId="0" applyFont="tru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top" textRotation="0" wrapText="false" indent="0" shrinkToFit="false"/>
      <protection locked="true" hidden="false"/>
    </xf>
    <xf numFmtId="170" fontId="22" fillId="0" borderId="0" xfId="0" applyFont="true" applyBorder="false" applyAlignment="true" applyProtection="false">
      <alignment horizontal="center" vertical="top"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71" fontId="0" fillId="0" borderId="0" xfId="0" applyFont="false" applyBorder="false" applyAlignment="true" applyProtection="false">
      <alignment horizontal="center" vertical="top" textRotation="0" wrapText="false" indent="0" shrinkToFit="false"/>
      <protection locked="true" hidden="false"/>
    </xf>
    <xf numFmtId="164" fontId="26" fillId="0" borderId="0" xfId="0" applyFont="true" applyBorder="false" applyAlignment="true" applyProtection="false">
      <alignment horizontal="general" vertical="top" textRotation="0" wrapText="tru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bottom" textRotation="0" wrapText="false" indent="0" shrinkToFit="false"/>
      <protection locked="true" hidden="false"/>
    </xf>
    <xf numFmtId="164" fontId="11" fillId="2" borderId="0" xfId="0" applyFont="true" applyBorder="false" applyAlignment="true" applyProtection="false">
      <alignment horizontal="center" vertical="bottom" textRotation="0" wrapText="false" indent="0" shrinkToFit="false"/>
      <protection locked="true" hidden="false"/>
    </xf>
    <xf numFmtId="165" fontId="11" fillId="2" borderId="0" xfId="0" applyFont="true" applyBorder="false" applyAlignment="true" applyProtection="false">
      <alignment horizontal="center" vertical="bottom" textRotation="0" wrapText="false" indent="0" shrinkToFit="false"/>
      <protection locked="true" hidden="false"/>
    </xf>
    <xf numFmtId="164" fontId="2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27" fillId="4" borderId="0" xfId="0" applyFont="true" applyBorder="false" applyAlignment="true" applyProtection="false">
      <alignment horizontal="center" vertical="bottom"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72" fontId="28" fillId="0" borderId="0" xfId="0" applyFont="true" applyBorder="false" applyAlignment="true" applyProtection="false">
      <alignment horizontal="center"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7" fontId="22" fillId="6"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9" fontId="22" fillId="6" borderId="0" xfId="0" applyFont="true" applyBorder="false" applyAlignment="false" applyProtection="false">
      <alignment horizontal="general" vertical="bottom" textRotation="0" wrapText="false" indent="0" shrinkToFit="false"/>
      <protection locked="true" hidden="false"/>
    </xf>
    <xf numFmtId="169" fontId="16" fillId="0"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73" fontId="22" fillId="6" borderId="0" xfId="0" applyFont="true" applyBorder="false" applyAlignment="false" applyProtection="false">
      <alignment horizontal="general" vertical="bottom" textRotation="0" wrapText="false" indent="0" shrinkToFit="false"/>
      <protection locked="true" hidden="false"/>
    </xf>
    <xf numFmtId="173" fontId="9" fillId="0" borderId="0" xfId="0" applyFont="true" applyBorder="false" applyAlignment="false" applyProtection="false">
      <alignment horizontal="general" vertical="bottom" textRotation="0" wrapText="false" indent="0" shrinkToFit="false"/>
      <protection locked="true" hidden="false"/>
    </xf>
    <xf numFmtId="174" fontId="9" fillId="0" borderId="0" xfId="0" applyFont="true" applyBorder="false" applyAlignment="false" applyProtection="false">
      <alignment horizontal="general" vertical="bottom" textRotation="0" wrapText="false" indent="0" shrinkToFit="false"/>
      <protection locked="true" hidden="false"/>
    </xf>
    <xf numFmtId="172" fontId="22" fillId="6" borderId="0" xfId="0" applyFont="tru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29" fillId="0" borderId="2" xfId="0" applyFont="true" applyBorder="true" applyAlignment="false" applyProtection="false">
      <alignment horizontal="general" vertical="bottom" textRotation="0" wrapText="false" indent="0" shrinkToFit="false"/>
      <protection locked="true" hidden="false"/>
    </xf>
    <xf numFmtId="167" fontId="22" fillId="4" borderId="2" xfId="0" applyFont="true" applyBorder="true" applyAlignment="false" applyProtection="false">
      <alignment horizontal="general" vertical="bottom" textRotation="0" wrapText="false" indent="0" shrinkToFit="false"/>
      <protection locked="tru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67" fontId="15" fillId="3" borderId="0" xfId="0" applyFont="true" applyBorder="false" applyAlignment="false" applyProtection="false">
      <alignment horizontal="general" vertical="bottom" textRotation="0" wrapText="false" indent="0" shrinkToFit="false"/>
      <protection locked="true" hidden="false"/>
    </xf>
    <xf numFmtId="173" fontId="16" fillId="0" borderId="0" xfId="0" applyFont="true" applyBorder="false" applyAlignment="false" applyProtection="false">
      <alignment horizontal="general" vertical="bottom" textRotation="0" wrapText="false" indent="0" shrinkToFit="false"/>
      <protection locked="true" hidden="false"/>
    </xf>
    <xf numFmtId="164" fontId="8" fillId="4" borderId="2" xfId="0" applyFont="true" applyBorder="true" applyAlignment="false" applyProtection="false">
      <alignment horizontal="general" vertical="bottom" textRotation="0" wrapText="false" indent="0" shrinkToFit="false"/>
      <protection locked="true" hidden="false"/>
    </xf>
    <xf numFmtId="167" fontId="33" fillId="4" borderId="2" xfId="0" applyFont="true" applyBorder="true" applyAlignment="false" applyProtection="false">
      <alignment horizontal="general" vertical="bottom" textRotation="0" wrapText="false" indent="0" shrinkToFit="false"/>
      <protection locked="true" hidden="false"/>
    </xf>
    <xf numFmtId="169" fontId="22" fillId="4" borderId="2" xfId="0" applyFont="true" applyBorder="true" applyAlignment="false" applyProtection="false">
      <alignment horizontal="general" vertical="bottom" textRotation="0" wrapText="false" indent="0" shrinkToFit="false"/>
      <protection locked="true" hidden="false"/>
    </xf>
    <xf numFmtId="164" fontId="13" fillId="4" borderId="2" xfId="0" applyFont="true" applyBorder="true" applyAlignment="true" applyProtection="false">
      <alignment horizontal="general" vertical="top" textRotation="0" wrapText="true" indent="0" shrinkToFit="false"/>
      <protection locked="true" hidden="false"/>
    </xf>
    <xf numFmtId="164" fontId="0" fillId="4" borderId="2" xfId="0" applyFont="false" applyBorder="tru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7" fontId="22" fillId="4" borderId="0" xfId="0" applyFont="true" applyBorder="false" applyAlignment="false" applyProtection="false">
      <alignment horizontal="general" vertical="bottom" textRotation="0" wrapText="false" indent="0" shrinkToFit="false"/>
      <protection locked="true" hidden="false"/>
    </xf>
    <xf numFmtId="164" fontId="33" fillId="0" borderId="0" xfId="0" applyFont="true" applyBorder="false" applyAlignment="false" applyProtection="false">
      <alignment horizontal="general" vertical="bottom" textRotation="0" wrapText="false" indent="0" shrinkToFit="false"/>
      <protection locked="true" hidden="false"/>
    </xf>
    <xf numFmtId="167" fontId="0" fillId="7" borderId="0" xfId="0" applyFont="false" applyBorder="false" applyAlignment="false" applyProtection="false">
      <alignment horizontal="general" vertical="bottom" textRotation="0" wrapText="false" indent="0" shrinkToFit="false"/>
      <protection locked="true" hidden="false"/>
    </xf>
    <xf numFmtId="167" fontId="33" fillId="0" borderId="0" xfId="0" applyFont="true" applyBorder="false" applyAlignment="false" applyProtection="false">
      <alignment horizontal="general" vertical="bottom" textRotation="0" wrapText="false" indent="0" shrinkToFit="false"/>
      <protection locked="true" hidden="false"/>
    </xf>
    <xf numFmtId="169" fontId="0" fillId="7" borderId="0" xfId="0" applyFont="false" applyBorder="false" applyAlignment="false" applyProtection="false">
      <alignment horizontal="general" vertical="bottom" textRotation="0" wrapText="false" indent="0" shrinkToFit="false"/>
      <protection locked="true" hidden="false"/>
    </xf>
    <xf numFmtId="169" fontId="33" fillId="0" borderId="0" xfId="0" applyFont="true" applyBorder="false" applyAlignment="false" applyProtection="false">
      <alignment horizontal="general" vertical="bottom" textRotation="0" wrapText="false" indent="0" shrinkToFit="false"/>
      <protection locked="true" hidden="false"/>
    </xf>
    <xf numFmtId="176" fontId="0" fillId="0" borderId="0" xfId="0" applyFont="false" applyBorder="false" applyAlignment="false" applyProtection="false">
      <alignment horizontal="general" vertical="bottom" textRotation="0" wrapText="false" indent="0" shrinkToFit="false"/>
      <protection locked="true" hidden="false"/>
    </xf>
    <xf numFmtId="165" fontId="0" fillId="7" borderId="0" xfId="0" applyFont="false" applyBorder="false" applyAlignment="false" applyProtection="false">
      <alignment horizontal="general" vertical="bottom" textRotation="0" wrapText="false" indent="0" shrinkToFit="false"/>
      <protection locked="true" hidden="false"/>
    </xf>
    <xf numFmtId="165" fontId="33" fillId="0" borderId="0" xfId="0" applyFont="true" applyBorder="false" applyAlignment="false" applyProtection="false">
      <alignment horizontal="general" vertical="bottom" textRotation="0" wrapText="false" indent="0" shrinkToFit="false"/>
      <protection locked="true" hidden="false"/>
    </xf>
    <xf numFmtId="172" fontId="33" fillId="0" borderId="0" xfId="0" applyFont="true" applyBorder="false" applyAlignment="false" applyProtection="false">
      <alignment horizontal="general" vertical="bottom" textRotation="0" wrapText="false" indent="0" shrinkToFit="false"/>
      <protection locked="true" hidden="false"/>
    </xf>
    <xf numFmtId="177" fontId="9" fillId="0" borderId="0" xfId="0" applyFont="true" applyBorder="false" applyAlignment="false" applyProtection="false">
      <alignment horizontal="general" vertical="bottom" textRotation="0" wrapText="false" indent="0" shrinkToFit="false"/>
      <protection locked="true" hidden="false"/>
    </xf>
    <xf numFmtId="177" fontId="33"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71" fontId="15" fillId="0" borderId="0" xfId="0" applyFont="true" applyBorder="false" applyAlignment="false" applyProtection="false">
      <alignment horizontal="general" vertical="bottom" textRotation="0" wrapText="false" indent="0" shrinkToFit="false"/>
      <protection locked="true" hidden="false"/>
    </xf>
    <xf numFmtId="171" fontId="16" fillId="0" borderId="0" xfId="0" applyFont="tru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78" fontId="34" fillId="0" borderId="0" xfId="0" applyFont="true" applyBorder="false" applyAlignment="false" applyProtection="false">
      <alignment horizontal="general" vertical="bottom" textRotation="0" wrapText="false" indent="0" shrinkToFit="false"/>
      <protection locked="true" hidden="false"/>
    </xf>
    <xf numFmtId="178" fontId="0" fillId="0" borderId="0" xfId="0" applyFont="false" applyBorder="false" applyAlignment="false" applyProtection="false">
      <alignment horizontal="general" vertical="bottom" textRotation="0" wrapText="false" indent="0" shrinkToFit="false"/>
      <protection locked="true" hidden="false"/>
    </xf>
    <xf numFmtId="164" fontId="29" fillId="4" borderId="2" xfId="0" applyFont="true" applyBorder="true" applyAlignment="false" applyProtection="false">
      <alignment horizontal="general" vertical="bottom" textRotation="0" wrapText="false" indent="0" shrinkToFit="false"/>
      <protection locked="true" hidden="false"/>
    </xf>
    <xf numFmtId="167" fontId="0" fillId="4" borderId="2" xfId="0" applyFont="false" applyBorder="true" applyAlignment="false" applyProtection="false">
      <alignment horizontal="general" vertical="bottom" textRotation="0" wrapText="false" indent="0" shrinkToFit="false"/>
      <protection locked="true" hidden="false"/>
    </xf>
    <xf numFmtId="167" fontId="9" fillId="4" borderId="2" xfId="0" applyFont="true" applyBorder="true" applyAlignment="false" applyProtection="false">
      <alignment horizontal="general" vertical="bottom" textRotation="0" wrapText="false" indent="0" shrinkToFit="false"/>
      <protection locked="true" hidden="false"/>
    </xf>
    <xf numFmtId="171" fontId="22" fillId="0" borderId="0" xfId="0" applyFont="true" applyBorder="false" applyAlignment="false" applyProtection="false">
      <alignment horizontal="general" vertical="bottom" textRotation="0" wrapText="false" indent="0" shrinkToFit="false"/>
      <protection locked="true" hidden="false"/>
    </xf>
    <xf numFmtId="164" fontId="35" fillId="0" borderId="0" xfId="0" applyFont="true" applyBorder="false" applyAlignment="false" applyProtection="false">
      <alignment horizontal="general" vertical="bottom" textRotation="0" wrapText="false" indent="0" shrinkToFit="false"/>
      <protection locked="true" hidden="false"/>
    </xf>
    <xf numFmtId="178" fontId="9" fillId="0" borderId="0" xfId="0" applyFont="true" applyBorder="false" applyAlignment="false" applyProtection="false">
      <alignment horizontal="general" vertical="bottom" textRotation="0" wrapText="false" indent="0" shrinkToFit="false"/>
      <protection locked="true" hidden="false"/>
    </xf>
    <xf numFmtId="178" fontId="16" fillId="0" borderId="0" xfId="0" applyFont="true" applyBorder="false" applyAlignment="false" applyProtection="false">
      <alignment horizontal="general" vertical="bottom" textRotation="0" wrapText="false" indent="0" shrinkToFit="false"/>
      <protection locked="true" hidden="false"/>
    </xf>
    <xf numFmtId="177" fontId="36" fillId="6" borderId="0" xfId="0" applyFont="true" applyBorder="false" applyAlignment="false" applyProtection="false">
      <alignment horizontal="general" vertical="bottom" textRotation="0" wrapText="false" indent="0" shrinkToFit="false"/>
      <protection locked="true" hidden="false"/>
    </xf>
    <xf numFmtId="167" fontId="36" fillId="6" borderId="0" xfId="0" applyFont="true" applyBorder="false" applyAlignment="false" applyProtection="false">
      <alignment horizontal="general" vertical="bottom" textRotation="0" wrapText="false" indent="0" shrinkToFit="false"/>
      <protection locked="true" hidden="false"/>
    </xf>
    <xf numFmtId="177" fontId="22" fillId="6" borderId="0" xfId="0" applyFont="true" applyBorder="false" applyAlignment="false" applyProtection="false">
      <alignment horizontal="general" vertical="bottom" textRotation="0" wrapText="false" indent="0" shrinkToFit="false"/>
      <protection locked="true" hidden="false"/>
    </xf>
    <xf numFmtId="174" fontId="16"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6" fontId="15" fillId="3" borderId="0" xfId="0" applyFont="true" applyBorder="false" applyAlignment="false" applyProtection="false">
      <alignment horizontal="general" vertical="bottom" textRotation="0" wrapText="false" indent="0" shrinkToFit="false"/>
      <protection locked="true" hidden="false"/>
    </xf>
    <xf numFmtId="171" fontId="15" fillId="3" borderId="0" xfId="0" applyFont="tru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72" fontId="22" fillId="4" borderId="0" xfId="0" applyFont="true" applyBorder="false" applyAlignment="false" applyProtection="false">
      <alignment horizontal="general" vertical="bottom" textRotation="0" wrapText="false" indent="0" shrinkToFit="false"/>
      <protection locked="true" hidden="false"/>
    </xf>
    <xf numFmtId="169" fontId="15" fillId="3"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71" fontId="33"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72" fontId="15" fillId="3" borderId="0" xfId="0" applyFont="true" applyBorder="false" applyAlignment="false" applyProtection="false">
      <alignment horizontal="general" vertical="bottom" textRotation="0" wrapText="false" indent="0" shrinkToFit="false"/>
      <protection locked="true" hidden="false"/>
    </xf>
    <xf numFmtId="172" fontId="22" fillId="4" borderId="2" xfId="0" applyFont="true" applyBorder="true" applyAlignment="false" applyProtection="false">
      <alignment horizontal="general" vertical="bottom" textRotation="0" wrapText="false" indent="0" shrinkToFit="false"/>
      <protection locked="true" hidden="false"/>
    </xf>
    <xf numFmtId="179" fontId="22" fillId="6" borderId="0" xfId="0" applyFont="true" applyBorder="false" applyAlignment="false" applyProtection="false">
      <alignment horizontal="general" vertical="bottom" textRotation="0" wrapText="false" indent="0" shrinkToFit="false"/>
      <protection locked="true" hidden="false"/>
    </xf>
    <xf numFmtId="179" fontId="9" fillId="0" borderId="0" xfId="0" applyFont="true" applyBorder="false" applyAlignment="false" applyProtection="false">
      <alignment horizontal="general" vertical="bottom" textRotation="0" wrapText="false" indent="0" shrinkToFit="false"/>
      <protection locked="true" hidden="false"/>
    </xf>
    <xf numFmtId="179" fontId="16" fillId="0" borderId="0" xfId="0" applyFont="true" applyBorder="false" applyAlignment="false" applyProtection="false">
      <alignment horizontal="general" vertical="bottom" textRotation="0" wrapText="false" indent="0" shrinkToFit="false"/>
      <protection locked="true" hidden="false"/>
    </xf>
    <xf numFmtId="165" fontId="15" fillId="3" borderId="0" xfId="0" applyFont="true" applyBorder="false" applyAlignment="false" applyProtection="false">
      <alignment horizontal="general" vertical="bottom" textRotation="0" wrapText="false" indent="0" shrinkToFit="false"/>
      <protection locked="true" hidden="false"/>
    </xf>
    <xf numFmtId="172" fontId="16" fillId="0" borderId="0" xfId="0" applyFont="true" applyBorder="false" applyAlignment="false" applyProtection="false">
      <alignment horizontal="general" vertical="bottom" textRotation="0" wrapText="false" indent="0" shrinkToFit="false"/>
      <protection locked="true" hidden="false"/>
    </xf>
    <xf numFmtId="172" fontId="15" fillId="8" borderId="0" xfId="0" applyFont="true" applyBorder="false" applyAlignment="false" applyProtection="false">
      <alignment horizontal="general" vertical="bottom" textRotation="0" wrapText="false" indent="0" shrinkToFit="false"/>
      <protection locked="true" hidden="false"/>
    </xf>
    <xf numFmtId="166" fontId="22" fillId="0" borderId="0" xfId="0" applyFont="true" applyBorder="false" applyAlignment="false" applyProtection="false">
      <alignment horizontal="general" vertical="bottom" textRotation="0" wrapText="false" indent="0" shrinkToFit="false"/>
      <protection locked="true" hidden="false"/>
    </xf>
    <xf numFmtId="180" fontId="15" fillId="3" borderId="0" xfId="0" applyFont="true" applyBorder="false" applyAlignment="false" applyProtection="false">
      <alignment horizontal="general" vertical="bottom" textRotation="0" wrapText="false" indent="0" shrinkToFit="false"/>
      <protection locked="true" hidden="false"/>
    </xf>
    <xf numFmtId="179" fontId="15" fillId="3"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center" vertical="bottom" textRotation="0" wrapText="false" indent="0" shrinkToFit="false"/>
      <protection locked="true" hidden="false"/>
    </xf>
    <xf numFmtId="172" fontId="0" fillId="0" borderId="0" xfId="0" applyFont="false" applyBorder="false" applyAlignment="true" applyProtection="false">
      <alignment horizontal="center" vertical="bottom" textRotation="0" wrapText="false" indent="0" shrinkToFit="false"/>
      <protection locked="true" hidden="false"/>
    </xf>
    <xf numFmtId="177" fontId="15" fillId="3" borderId="0" xfId="0" applyFont="true" applyBorder="false" applyAlignment="true" applyProtection="false">
      <alignment horizontal="center" vertical="bottom" textRotation="0" wrapText="false" indent="0" shrinkToFit="false"/>
      <protection locked="true" hidden="false"/>
    </xf>
    <xf numFmtId="177" fontId="0" fillId="0" borderId="0" xfId="0" applyFont="false" applyBorder="false" applyAlignment="true" applyProtection="false">
      <alignment horizontal="center" vertical="bottom" textRotation="0" wrapText="false" indent="0" shrinkToFit="false"/>
      <protection locked="true" hidden="false"/>
    </xf>
    <xf numFmtId="180" fontId="0" fillId="0" borderId="0" xfId="0" applyFont="false" applyBorder="false" applyAlignment="true" applyProtection="false">
      <alignment horizontal="center" vertical="bottom" textRotation="0" wrapText="false" indent="0" shrinkToFit="false"/>
      <protection locked="true" hidden="false"/>
    </xf>
    <xf numFmtId="178" fontId="0" fillId="0" borderId="0" xfId="0" applyFont="false" applyBorder="false" applyAlignment="true" applyProtection="false">
      <alignment horizontal="center" vertical="bottom" textRotation="0" wrapText="false" indent="0" shrinkToFit="false"/>
      <protection locked="true" hidden="false"/>
    </xf>
    <xf numFmtId="177" fontId="15" fillId="3" borderId="0" xfId="0" applyFont="true" applyBorder="false" applyAlignment="false" applyProtection="false">
      <alignment horizontal="general" vertical="bottom" textRotation="0" wrapText="false" indent="0" shrinkToFit="false"/>
      <protection locked="true" hidden="false"/>
    </xf>
    <xf numFmtId="165" fontId="22" fillId="6"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5A6E77"/>
      <rgbColor rgb="FF800080"/>
      <rgbColor rgb="FF008080"/>
      <rgbColor rgb="FF9BBB59"/>
      <rgbColor rgb="FF878787"/>
      <rgbColor rgb="FF888888"/>
      <rgbColor rgb="FFBE4B48"/>
      <rgbColor rgb="FFFFF9E0"/>
      <rgbColor rgb="FFF0F9E8"/>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F2F7F9"/>
      <rgbColor rgb="FFDDE6EA"/>
      <rgbColor rgb="FFEEEEEE"/>
      <rgbColor rgb="FF99CCFF"/>
      <rgbColor rgb="FFFF99CC"/>
      <rgbColor rgb="FFCC99FF"/>
      <rgbColor rgb="FFFFCC99"/>
      <rgbColor rgb="FF4A7EBB"/>
      <rgbColor rgb="FF33CCCC"/>
      <rgbColor rgb="FF98B855"/>
      <rgbColor rgb="FFFFCC00"/>
      <rgbColor rgb="FFFF9900"/>
      <rgbColor rgb="FFFF6600"/>
      <rgbColor rgb="FF7D5FA0"/>
      <rgbColor rgb="FF999999"/>
      <rgbColor rgb="FF003B46"/>
      <rgbColor rgb="FF4F81BD"/>
      <rgbColor rgb="FF032330"/>
      <rgbColor rgb="FF333300"/>
      <rgbColor rgb="FF9C1C1C"/>
      <rgbColor rgb="FFC0504D"/>
      <rgbColor rgb="FF8064A2"/>
      <rgbColor rgb="FF1A2B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worksheet" Target="worksheets/sheet28.xml"/><Relationship Id="rId31" Type="http://schemas.openxmlformats.org/officeDocument/2006/relationships/worksheet" Target="worksheets/sheet29.xml"/><Relationship Id="rId32" Type="http://schemas.openxmlformats.org/officeDocument/2006/relationships/worksheet" Target="worksheets/sheet30.xml"/><Relationship Id="rId33" Type="http://schemas.openxmlformats.org/officeDocument/2006/relationships/worksheet" Target="worksheets/sheet31.xml"/><Relationship Id="rId34"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Revenue by segment (EUR)</a:t>
            </a:r>
          </a:p>
        </c:rich>
      </c:tx>
      <c:overlay val="0"/>
      <c:spPr>
        <a:noFill/>
        <a:ln w="0">
          <a:noFill/>
        </a:ln>
      </c:spPr>
    </c:title>
    <c:autoTitleDeleted val="0"/>
    <c:plotArea>
      <c:barChart>
        <c:barDir val="col"/>
        <c:grouping val="stacked"/>
        <c:varyColors val="0"/>
        <c:ser>
          <c:idx val="0"/>
          <c:order val="0"/>
          <c:tx>
            <c:strRef>
              <c:f>"Deep retrofit"</c:f>
              <c:strCache>
                <c:ptCount val="1"/>
                <c:pt idx="0">
                  <c:v>Deep retrofit</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Assumptions!$E$95:$AB$95</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PL!$E$9:$AB$9</c:f>
              <c:numCache>
                <c:formatCode>#,##0;\(#,##0\);\-</c:formatCode>
                <c:ptCount val="24"/>
                <c:pt idx="0">
                  <c:v>138592.05</c:v>
                </c:pt>
                <c:pt idx="1">
                  <c:v>124444</c:v>
                </c:pt>
                <c:pt idx="2">
                  <c:v>142249.4</c:v>
                </c:pt>
                <c:pt idx="3">
                  <c:v>151103.95</c:v>
                </c:pt>
                <c:pt idx="4">
                  <c:v>137267.55</c:v>
                </c:pt>
                <c:pt idx="5">
                  <c:v>139448.5</c:v>
                </c:pt>
                <c:pt idx="6">
                  <c:v>185267</c:v>
                </c:pt>
                <c:pt idx="7">
                  <c:v>228950.4</c:v>
                </c:pt>
                <c:pt idx="8">
                  <c:v>239079.564554248</c:v>
                </c:pt>
                <c:pt idx="9">
                  <c:v>229597.056038492</c:v>
                </c:pt>
                <c:pt idx="10">
                  <c:v>217521.412400736</c:v>
                </c:pt>
                <c:pt idx="11">
                  <c:v>199298.098687729</c:v>
                </c:pt>
                <c:pt idx="12">
                  <c:v>176098.7287337</c:v>
                </c:pt>
                <c:pt idx="13">
                  <c:v>171231.509404251</c:v>
                </c:pt>
                <c:pt idx="14">
                  <c:v>194339.808084752</c:v>
                </c:pt>
                <c:pt idx="15">
                  <c:v>228831.796901014</c:v>
                </c:pt>
                <c:pt idx="16">
                  <c:v>255647.446291684</c:v>
                </c:pt>
                <c:pt idx="17">
                  <c:v>271417.809177095</c:v>
                </c:pt>
                <c:pt idx="18">
                  <c:v>275528.386015871</c:v>
                </c:pt>
                <c:pt idx="19">
                  <c:v>271111.922343921</c:v>
                </c:pt>
                <c:pt idx="20">
                  <c:v>271037.605924118</c:v>
                </c:pt>
                <c:pt idx="21">
                  <c:v>274574.491627212</c:v>
                </c:pt>
                <c:pt idx="22">
                  <c:v>268856.46572731</c:v>
                </c:pt>
                <c:pt idx="23">
                  <c:v>246332.449978033</c:v>
                </c:pt>
              </c:numCache>
            </c:numRef>
          </c:val>
        </c:ser>
        <c:ser>
          <c:idx val="1"/>
          <c:order val="1"/>
          <c:tx>
            <c:strRef>
              <c:f>"Renovation"</c:f>
              <c:strCache>
                <c:ptCount val="1"/>
                <c:pt idx="0">
                  <c:v>Renovation</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Assumptions!$E$95:$AB$95</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PL!$E$10:$AB$10</c:f>
              <c:numCache>
                <c:formatCode>#,##0;\(#,##0\);\-</c:formatCode>
                <c:ptCount val="24"/>
                <c:pt idx="0">
                  <c:v>131409.36</c:v>
                </c:pt>
                <c:pt idx="1">
                  <c:v>114236.45</c:v>
                </c:pt>
                <c:pt idx="2">
                  <c:v>128758.65</c:v>
                </c:pt>
                <c:pt idx="3">
                  <c:v>145125.35</c:v>
                </c:pt>
                <c:pt idx="4">
                  <c:v>170056.66</c:v>
                </c:pt>
                <c:pt idx="5">
                  <c:v>189129.45</c:v>
                </c:pt>
                <c:pt idx="6">
                  <c:v>203261.87</c:v>
                </c:pt>
                <c:pt idx="7">
                  <c:v>194333.83</c:v>
                </c:pt>
                <c:pt idx="8">
                  <c:v>190402.77965308</c:v>
                </c:pt>
                <c:pt idx="9">
                  <c:v>174017.341952193</c:v>
                </c:pt>
                <c:pt idx="10">
                  <c:v>175545.233951065</c:v>
                </c:pt>
                <c:pt idx="11">
                  <c:v>165762.294354782</c:v>
                </c:pt>
                <c:pt idx="12">
                  <c:v>163015.41553228</c:v>
                </c:pt>
                <c:pt idx="13">
                  <c:v>149877.119986564</c:v>
                </c:pt>
                <c:pt idx="14">
                  <c:v>145284.823356088</c:v>
                </c:pt>
                <c:pt idx="15">
                  <c:v>153026.724404952</c:v>
                </c:pt>
                <c:pt idx="16">
                  <c:v>170385.130882803</c:v>
                </c:pt>
                <c:pt idx="17">
                  <c:v>189199.333629095</c:v>
                </c:pt>
                <c:pt idx="18">
                  <c:v>200559.065099782</c:v>
                </c:pt>
                <c:pt idx="19">
                  <c:v>203890.197998356</c:v>
                </c:pt>
                <c:pt idx="20">
                  <c:v>202917.247948319</c:v>
                </c:pt>
                <c:pt idx="21">
                  <c:v>200483.171802464</c:v>
                </c:pt>
                <c:pt idx="22">
                  <c:v>196781.409610295</c:v>
                </c:pt>
                <c:pt idx="23">
                  <c:v>189417.488943361</c:v>
                </c:pt>
              </c:numCache>
            </c:numRef>
          </c:val>
        </c:ser>
        <c:ser>
          <c:idx val="2"/>
          <c:order val="2"/>
          <c:tx>
            <c:strRef>
              <c:f>"Commercial fit-out"</c:f>
              <c:strCache>
                <c:ptCount val="1"/>
                <c:pt idx="0">
                  <c:v>Commercial fit-out</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Assumptions!$E$95:$AB$95</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PL!$E$11:$AB$11</c:f>
              <c:numCache>
                <c:formatCode>#,##0;\(#,##0\);\-</c:formatCode>
                <c:ptCount val="24"/>
                <c:pt idx="0">
                  <c:v>158017.94</c:v>
                </c:pt>
                <c:pt idx="1">
                  <c:v>139314.06</c:v>
                </c:pt>
                <c:pt idx="2">
                  <c:v>114056.91</c:v>
                </c:pt>
                <c:pt idx="3">
                  <c:v>103444.17</c:v>
                </c:pt>
                <c:pt idx="4">
                  <c:v>136039.43</c:v>
                </c:pt>
                <c:pt idx="5">
                  <c:v>218730.2</c:v>
                </c:pt>
                <c:pt idx="6">
                  <c:v>343193.12</c:v>
                </c:pt>
                <c:pt idx="7">
                  <c:v>346480.13</c:v>
                </c:pt>
                <c:pt idx="8">
                  <c:v>441839.797208746</c:v>
                </c:pt>
                <c:pt idx="9">
                  <c:v>466575.446674441</c:v>
                </c:pt>
                <c:pt idx="10">
                  <c:v>428352.987906085</c:v>
                </c:pt>
                <c:pt idx="11">
                  <c:v>394039.861836953</c:v>
                </c:pt>
                <c:pt idx="12">
                  <c:v>378959.360889759</c:v>
                </c:pt>
                <c:pt idx="13">
                  <c:v>314292.383701609</c:v>
                </c:pt>
                <c:pt idx="14">
                  <c:v>181694.516782407</c:v>
                </c:pt>
                <c:pt idx="15">
                  <c:v>132590.060763889</c:v>
                </c:pt>
                <c:pt idx="16">
                  <c:v>191099.175347222</c:v>
                </c:pt>
                <c:pt idx="17">
                  <c:v>231485.842013889</c:v>
                </c:pt>
                <c:pt idx="18">
                  <c:v>242230.060763889</c:v>
                </c:pt>
                <c:pt idx="19">
                  <c:v>220122.968623461</c:v>
                </c:pt>
                <c:pt idx="20">
                  <c:v>170130.172371032</c:v>
                </c:pt>
                <c:pt idx="21">
                  <c:v>130431.871355685</c:v>
                </c:pt>
                <c:pt idx="22">
                  <c:v>133616.572521866</c:v>
                </c:pt>
                <c:pt idx="23">
                  <c:v>134493.121355685</c:v>
                </c:pt>
              </c:numCache>
            </c:numRef>
          </c:val>
        </c:ser>
        <c:ser>
          <c:idx val="3"/>
          <c:order val="3"/>
          <c:tx>
            <c:strRef>
              <c:f>"Council retrofit"</c:f>
              <c:strCache>
                <c:ptCount val="1"/>
                <c:pt idx="0">
                  <c:v>Council retrofit</c:v>
                </c:pt>
              </c:strCache>
            </c:strRef>
          </c:tx>
          <c:spPr>
            <a:solidFill>
              <a:srgbClr val="8064a2"/>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Assumptions!$E$95:$AB$95</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PL!$E$12:$AB$12</c:f>
              <c:numCache>
                <c:formatCode>#,##0;\(#,##0\);\-</c:formatCode>
                <c:ptCount val="24"/>
                <c:pt idx="0">
                  <c:v>236014.85</c:v>
                </c:pt>
                <c:pt idx="1">
                  <c:v>188104.4</c:v>
                </c:pt>
                <c:pt idx="2">
                  <c:v>105874.14</c:v>
                </c:pt>
                <c:pt idx="3">
                  <c:v>53699.29</c:v>
                </c:pt>
                <c:pt idx="4">
                  <c:v>33347.91</c:v>
                </c:pt>
                <c:pt idx="5">
                  <c:v>99114.7</c:v>
                </c:pt>
                <c:pt idx="6">
                  <c:v>149061</c:v>
                </c:pt>
                <c:pt idx="7">
                  <c:v>179277.28</c:v>
                </c:pt>
                <c:pt idx="8">
                  <c:v>202963.068170439</c:v>
                </c:pt>
                <c:pt idx="9">
                  <c:v>204379.29950797</c:v>
                </c:pt>
                <c:pt idx="10">
                  <c:v>186811.354987887</c:v>
                </c:pt>
                <c:pt idx="11">
                  <c:v>153844.645284143</c:v>
                </c:pt>
                <c:pt idx="12">
                  <c:v>104394.580728525</c:v>
                </c:pt>
                <c:pt idx="13">
                  <c:v>38461.1613210358</c:v>
                </c:pt>
                <c:pt idx="14">
                  <c:v>60356.6529492455</c:v>
                </c:pt>
                <c:pt idx="15">
                  <c:v>161755.829903978</c:v>
                </c:pt>
                <c:pt idx="16">
                  <c:v>234183.813443073</c:v>
                </c:pt>
                <c:pt idx="17">
                  <c:v>277640.603566529</c:v>
                </c:pt>
                <c:pt idx="18">
                  <c:v>292126.200274349</c:v>
                </c:pt>
                <c:pt idx="19">
                  <c:v>277640.60356653</c:v>
                </c:pt>
                <c:pt idx="20">
                  <c:v>234183.813443072</c:v>
                </c:pt>
                <c:pt idx="21">
                  <c:v>198365.204903978</c:v>
                </c:pt>
                <c:pt idx="22">
                  <c:v>156872.277949245</c:v>
                </c:pt>
                <c:pt idx="23">
                  <c:v>136453.125</c:v>
                </c:pt>
              </c:numCache>
            </c:numRef>
          </c:val>
        </c:ser>
        <c:gapWidth val="150"/>
        <c:overlap val="100"/>
        <c:axId val="54627546"/>
        <c:axId val="64026430"/>
      </c:barChart>
      <c:catAx>
        <c:axId val="54627546"/>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026430"/>
        <c:crosses val="autoZero"/>
        <c:auto val="1"/>
        <c:lblAlgn val="ctr"/>
        <c:lblOffset val="100"/>
        <c:noMultiLvlLbl val="0"/>
      </c:catAx>
      <c:valAx>
        <c:axId val="64026430"/>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4627546"/>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Margins: gross, contribution and EBITDA %</a:t>
            </a:r>
          </a:p>
        </c:rich>
      </c:tx>
      <c:overlay val="0"/>
      <c:spPr>
        <a:noFill/>
        <a:ln w="0">
          <a:noFill/>
        </a:ln>
      </c:spPr>
    </c:title>
    <c:autoTitleDeleted val="0"/>
    <c:plotArea>
      <c:lineChart>
        <c:grouping val="standard"/>
        <c:varyColors val="0"/>
        <c:ser>
          <c:idx val="0"/>
          <c:order val="0"/>
          <c:tx>
            <c:strRef>
              <c:f>"Gross margin %"</c:f>
              <c:strCache>
                <c:ptCount val="1"/>
                <c:pt idx="0">
                  <c:v>Gross margin %</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Assumptions!$E$95:$AB$95</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PL!$E$31:$AB$31</c:f>
              <c:numCache>
                <c:formatCode>0.0%;\(0.0%\);\-</c:formatCode>
                <c:ptCount val="24"/>
                <c:pt idx="0">
                  <c:v>0.191555043399873</c:v>
                </c:pt>
                <c:pt idx="1">
                  <c:v>0.227262228786132</c:v>
                </c:pt>
                <c:pt idx="2">
                  <c:v>0.22851905664063</c:v>
                </c:pt>
                <c:pt idx="3">
                  <c:v>0.236109685989957</c:v>
                </c:pt>
                <c:pt idx="4">
                  <c:v>0.132524584310995</c:v>
                </c:pt>
                <c:pt idx="5">
                  <c:v>0.140706969130191</c:v>
                </c:pt>
                <c:pt idx="6">
                  <c:v>0.172731230879016</c:v>
                </c:pt>
                <c:pt idx="7">
                  <c:v>0.171985140715217</c:v>
                </c:pt>
                <c:pt idx="8">
                  <c:v>0.170604159733615</c:v>
                </c:pt>
                <c:pt idx="9">
                  <c:v>0.180192740402796</c:v>
                </c:pt>
                <c:pt idx="10">
                  <c:v>0.185426601657314</c:v>
                </c:pt>
                <c:pt idx="11">
                  <c:v>0.188625396218399</c:v>
                </c:pt>
                <c:pt idx="12">
                  <c:v>0.182723251041375</c:v>
                </c:pt>
                <c:pt idx="13">
                  <c:v>0.18759778659112</c:v>
                </c:pt>
                <c:pt idx="14">
                  <c:v>0.194293768263128</c:v>
                </c:pt>
                <c:pt idx="15">
                  <c:v>0.189182008620952</c:v>
                </c:pt>
                <c:pt idx="16">
                  <c:v>0.182138516233527</c:v>
                </c:pt>
                <c:pt idx="17">
                  <c:v>0.179434865461384</c:v>
                </c:pt>
                <c:pt idx="18">
                  <c:v>0.179050256798266</c:v>
                </c:pt>
                <c:pt idx="19">
                  <c:v>0.180873373707143</c:v>
                </c:pt>
                <c:pt idx="20">
                  <c:v>0.186346000119702</c:v>
                </c:pt>
                <c:pt idx="21">
                  <c:v>0.191752521192566</c:v>
                </c:pt>
                <c:pt idx="22">
                  <c:v>0.194765739247774</c:v>
                </c:pt>
                <c:pt idx="23">
                  <c:v>0.195031508574703</c:v>
                </c:pt>
              </c:numCache>
            </c:numRef>
          </c:val>
          <c:smooth val="1"/>
        </c:ser>
        <c:ser>
          <c:idx val="1"/>
          <c:order val="1"/>
          <c:tx>
            <c:strRef>
              <c:f>"Contribution %"</c:f>
              <c:strCache>
                <c:ptCount val="1"/>
                <c:pt idx="0">
                  <c:v>Contribution %</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Assumptions!$E$95:$AB$95</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PL!$E$37:$AB$37</c:f>
              <c:numCache>
                <c:formatCode>0.0%;\(0.0%\);\-</c:formatCode>
                <c:ptCount val="24"/>
                <c:pt idx="0">
                  <c:v>0.157161434606832</c:v>
                </c:pt>
                <c:pt idx="1">
                  <c:v>0.155888778340873</c:v>
                </c:pt>
                <c:pt idx="2">
                  <c:v>0.128863126811452</c:v>
                </c:pt>
                <c:pt idx="3">
                  <c:v>0.134400967318813</c:v>
                </c:pt>
                <c:pt idx="4">
                  <c:v>0.0714920269920039</c:v>
                </c:pt>
                <c:pt idx="5">
                  <c:v>0.10956952558221</c:v>
                </c:pt>
                <c:pt idx="6">
                  <c:v>0.172387440179788</c:v>
                </c:pt>
                <c:pt idx="7">
                  <c:v>0.191963976944152</c:v>
                </c:pt>
                <c:pt idx="8">
                  <c:v>0.172911035106288</c:v>
                </c:pt>
                <c:pt idx="9">
                  <c:v>0.18307952958504</c:v>
                </c:pt>
                <c:pt idx="10">
                  <c:v>0.194984006167892</c:v>
                </c:pt>
                <c:pt idx="11">
                  <c:v>0.19241774012003</c:v>
                </c:pt>
                <c:pt idx="12">
                  <c:v>0.165071659606205</c:v>
                </c:pt>
                <c:pt idx="13">
                  <c:v>0.12922247518623</c:v>
                </c:pt>
                <c:pt idx="14">
                  <c:v>0.101445527224475</c:v>
                </c:pt>
                <c:pt idx="15">
                  <c:v>0.12195353783652</c:v>
                </c:pt>
                <c:pt idx="16">
                  <c:v>0.159865717825907</c:v>
                </c:pt>
                <c:pt idx="17">
                  <c:v>0.178725444633127</c:v>
                </c:pt>
                <c:pt idx="18">
                  <c:v>0.18477877589826</c:v>
                </c:pt>
                <c:pt idx="19">
                  <c:v>0.18156792914881</c:v>
                </c:pt>
                <c:pt idx="20">
                  <c:v>0.173340938174484</c:v>
                </c:pt>
                <c:pt idx="21">
                  <c:v>0.166087259301775</c:v>
                </c:pt>
                <c:pt idx="22">
                  <c:v>0.158946770905492</c:v>
                </c:pt>
                <c:pt idx="23">
                  <c:v>0.14364182304467</c:v>
                </c:pt>
              </c:numCache>
            </c:numRef>
          </c:val>
          <c:smooth val="1"/>
        </c:ser>
        <c:ser>
          <c:idx val="2"/>
          <c:order val="2"/>
          <c:tx>
            <c:strRef>
              <c:f>"EBITDA %"</c:f>
              <c:strCache>
                <c:ptCount val="1"/>
                <c:pt idx="0">
                  <c:v>EBITDA %</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Assumptions!$E$95:$AB$95</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PL!$E$54:$AB$54</c:f>
              <c:numCache>
                <c:formatCode>0.0%;\(0.0%\);\-</c:formatCode>
                <c:ptCount val="24"/>
                <c:pt idx="0">
                  <c:v>0.0255564786171152</c:v>
                </c:pt>
                <c:pt idx="1">
                  <c:v>0.00258268471140508</c:v>
                </c:pt>
                <c:pt idx="2">
                  <c:v>-0.0470605264481889</c:v>
                </c:pt>
                <c:pt idx="3">
                  <c:v>-0.0587167132258525</c:v>
                </c:pt>
                <c:pt idx="4">
                  <c:v>-0.111699421099964</c:v>
                </c:pt>
                <c:pt idx="5">
                  <c:v>-0.043325234661285</c:v>
                </c:pt>
                <c:pt idx="6">
                  <c:v>0.0703777877605621</c:v>
                </c:pt>
                <c:pt idx="7">
                  <c:v>0.100293864169473</c:v>
                </c:pt>
                <c:pt idx="8">
                  <c:v>0.0879318174348428</c:v>
                </c:pt>
                <c:pt idx="9">
                  <c:v>0.0980617648724972</c:v>
                </c:pt>
                <c:pt idx="10">
                  <c:v>0.0994718986312012</c:v>
                </c:pt>
                <c:pt idx="11">
                  <c:v>0.0871091576238638</c:v>
                </c:pt>
                <c:pt idx="12">
                  <c:v>0.0349946359468079</c:v>
                </c:pt>
                <c:pt idx="13">
                  <c:v>-0.0295402580978981</c:v>
                </c:pt>
                <c:pt idx="14">
                  <c:v>-0.0820499304139312</c:v>
                </c:pt>
                <c:pt idx="15">
                  <c:v>-0.0356874537222939</c:v>
                </c:pt>
                <c:pt idx="16">
                  <c:v>0.0346224610798992</c:v>
                </c:pt>
                <c:pt idx="17">
                  <c:v>0.0687772735115326</c:v>
                </c:pt>
                <c:pt idx="18">
                  <c:v>0.079208586567661</c:v>
                </c:pt>
                <c:pt idx="19">
                  <c:v>0.0718642925801714</c:v>
                </c:pt>
                <c:pt idx="20">
                  <c:v>0.0517044537944525</c:v>
                </c:pt>
                <c:pt idx="21">
                  <c:v>0.03336278135953</c:v>
                </c:pt>
                <c:pt idx="22">
                  <c:v>0.017876237321878</c:v>
                </c:pt>
                <c:pt idx="23">
                  <c:v>-0.00696396232301294</c:v>
                </c:pt>
              </c:numCache>
            </c:numRef>
          </c:val>
          <c:smooth val="1"/>
        </c:ser>
        <c:hiLowLines>
          <c:spPr>
            <a:ln w="0">
              <a:noFill/>
            </a:ln>
          </c:spPr>
        </c:hiLowLines>
        <c:marker val="0"/>
        <c:axId val="97103025"/>
        <c:axId val="86815408"/>
      </c:lineChart>
      <c:catAx>
        <c:axId val="97103025"/>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6815408"/>
        <c:crosses val="autoZero"/>
        <c:auto val="1"/>
        <c:lblAlgn val="ctr"/>
        <c:lblOffset val="100"/>
        <c:noMultiLvlLbl val="0"/>
      </c:catAx>
      <c:valAx>
        <c:axId val="86815408"/>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7103025"/>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Cash vs working capital tied up in contracts (EUR)</a:t>
            </a:r>
          </a:p>
        </c:rich>
      </c:tx>
      <c:overlay val="0"/>
      <c:spPr>
        <a:noFill/>
        <a:ln w="0">
          <a:noFill/>
        </a:ln>
      </c:spPr>
    </c:title>
    <c:autoTitleDeleted val="0"/>
    <c:plotArea>
      <c:lineChart>
        <c:grouping val="standard"/>
        <c:varyColors val="0"/>
        <c:ser>
          <c:idx val="0"/>
          <c:order val="0"/>
          <c:tx>
            <c:strRef>
              <c:f>"Cash"</c:f>
              <c:strCache>
                <c:ptCount val="1"/>
                <c:pt idx="0">
                  <c:v>Cash</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Assumptions!$E$95:$AB$95</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BS!$E$9:$AB$9</c:f>
              <c:numCache>
                <c:formatCode>#,##0;\(#,##0\);\-</c:formatCode>
                <c:ptCount val="24"/>
                <c:pt idx="0">
                  <c:v>499752.21552</c:v>
                </c:pt>
                <c:pt idx="1">
                  <c:v>561106.32307</c:v>
                </c:pt>
                <c:pt idx="2">
                  <c:v>643340.888295628</c:v>
                </c:pt>
                <c:pt idx="3">
                  <c:v>716245.646465628</c:v>
                </c:pt>
                <c:pt idx="4">
                  <c:v>775741.170730385</c:v>
                </c:pt>
                <c:pt idx="5">
                  <c:v>768659.884341635</c:v>
                </c:pt>
                <c:pt idx="6">
                  <c:v>613881.91963017</c:v>
                </c:pt>
                <c:pt idx="7">
                  <c:v>634504.37266392</c:v>
                </c:pt>
                <c:pt idx="8">
                  <c:v>531875.831679909</c:v>
                </c:pt>
                <c:pt idx="9">
                  <c:v>418470.368426663</c:v>
                </c:pt>
                <c:pt idx="10">
                  <c:v>446648.18045888</c:v>
                </c:pt>
                <c:pt idx="11">
                  <c:v>632766.877670916</c:v>
                </c:pt>
                <c:pt idx="12">
                  <c:v>708530.019475196</c:v>
                </c:pt>
                <c:pt idx="13">
                  <c:v>813835.858165598</c:v>
                </c:pt>
                <c:pt idx="14">
                  <c:v>861509.021864304</c:v>
                </c:pt>
                <c:pt idx="15">
                  <c:v>1004245.74486494</c:v>
                </c:pt>
                <c:pt idx="16">
                  <c:v>980842.731154121</c:v>
                </c:pt>
                <c:pt idx="17">
                  <c:v>894873.013914298</c:v>
                </c:pt>
                <c:pt idx="18">
                  <c:v>832481.099336612</c:v>
                </c:pt>
                <c:pt idx="19">
                  <c:v>863046.229927896</c:v>
                </c:pt>
                <c:pt idx="20">
                  <c:v>912832.72504294</c:v>
                </c:pt>
                <c:pt idx="21">
                  <c:v>1048223.57619526</c:v>
                </c:pt>
                <c:pt idx="22">
                  <c:v>1076823.25709914</c:v>
                </c:pt>
                <c:pt idx="23">
                  <c:v>1114521.61690493</c:v>
                </c:pt>
              </c:numCache>
            </c:numRef>
          </c:val>
          <c:smooth val="1"/>
        </c:ser>
        <c:ser>
          <c:idx val="1"/>
          <c:order val="1"/>
          <c:tx>
            <c:strRef>
              <c:f>"Contract assets"</c:f>
              <c:strCache>
                <c:ptCount val="1"/>
                <c:pt idx="0">
                  <c:v>Contract assets</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Assumptions!$E$95:$AB$95</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BS!$E$13:$AB$13</c:f>
              <c:numCache>
                <c:formatCode>#,##0;\(#,##0\);\-</c:formatCode>
                <c:ptCount val="24"/>
                <c:pt idx="0">
                  <c:v>522647.887488987</c:v>
                </c:pt>
                <c:pt idx="1">
                  <c:v>440404.217929515</c:v>
                </c:pt>
                <c:pt idx="2">
                  <c:v>345645.377665198</c:v>
                </c:pt>
                <c:pt idx="3">
                  <c:v>294471.51154185</c:v>
                </c:pt>
                <c:pt idx="4">
                  <c:v>295297.33907489</c:v>
                </c:pt>
                <c:pt idx="5">
                  <c:v>426028.531629956</c:v>
                </c:pt>
                <c:pt idx="6">
                  <c:v>630048.720572687</c:v>
                </c:pt>
                <c:pt idx="7">
                  <c:v>721625.153876652</c:v>
                </c:pt>
                <c:pt idx="8">
                  <c:v>884433.047691516</c:v>
                </c:pt>
                <c:pt idx="9">
                  <c:v>880707.57259193</c:v>
                </c:pt>
                <c:pt idx="10">
                  <c:v>803811.56185323</c:v>
                </c:pt>
                <c:pt idx="11">
                  <c:v>705867.618954026</c:v>
                </c:pt>
                <c:pt idx="12">
                  <c:v>629096.006216138</c:v>
                </c:pt>
                <c:pt idx="13">
                  <c:v>488965.545237166</c:v>
                </c:pt>
                <c:pt idx="14">
                  <c:v>388388.499827849</c:v>
                </c:pt>
                <c:pt idx="15">
                  <c:v>468267.009776143</c:v>
                </c:pt>
                <c:pt idx="16">
                  <c:v>622283.098337772</c:v>
                </c:pt>
                <c:pt idx="17">
                  <c:v>720521.098133856</c:v>
                </c:pt>
                <c:pt idx="18">
                  <c:v>751033.000518044</c:v>
                </c:pt>
                <c:pt idx="19">
                  <c:v>712262.166947441</c:v>
                </c:pt>
                <c:pt idx="20">
                  <c:v>616641.815367473</c:v>
                </c:pt>
                <c:pt idx="21">
                  <c:v>541742.085932886</c:v>
                </c:pt>
                <c:pt idx="22">
                  <c:v>502973.947196747</c:v>
                </c:pt>
                <c:pt idx="23">
                  <c:v>468288.949866673</c:v>
                </c:pt>
              </c:numCache>
            </c:numRef>
          </c:val>
          <c:smooth val="1"/>
        </c:ser>
        <c:ser>
          <c:idx val="2"/>
          <c:order val="2"/>
          <c:tx>
            <c:strRef>
              <c:f>"Retentions"</c:f>
              <c:strCache>
                <c:ptCount val="1"/>
                <c:pt idx="0">
                  <c:v>Retentions</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Assumptions!$E$95:$AB$95</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BS!$E$12:$AB$12</c:f>
              <c:numCache>
                <c:formatCode>#,##0;\(#,##0\);\-</c:formatCode>
                <c:ptCount val="24"/>
                <c:pt idx="0">
                  <c:v>116889.7435</c:v>
                </c:pt>
                <c:pt idx="1">
                  <c:v>136345.335</c:v>
                </c:pt>
                <c:pt idx="2">
                  <c:v>152728.1885</c:v>
                </c:pt>
                <c:pt idx="3">
                  <c:v>137761.1805</c:v>
                </c:pt>
                <c:pt idx="4">
                  <c:v>117960.5975</c:v>
                </c:pt>
                <c:pt idx="5">
                  <c:v>117103.181</c:v>
                </c:pt>
                <c:pt idx="6">
                  <c:v>132455.7665</c:v>
                </c:pt>
                <c:pt idx="7">
                  <c:v>154454.4872</c:v>
                </c:pt>
                <c:pt idx="8">
                  <c:v>176901.231075651</c:v>
                </c:pt>
                <c:pt idx="9">
                  <c:v>207048.653200023</c:v>
                </c:pt>
                <c:pt idx="10">
                  <c:v>209445.930316646</c:v>
                </c:pt>
                <c:pt idx="11">
                  <c:v>186751.800075962</c:v>
                </c:pt>
                <c:pt idx="12">
                  <c:v>201220.981306309</c:v>
                </c:pt>
                <c:pt idx="13">
                  <c:v>223572.222650909</c:v>
                </c:pt>
                <c:pt idx="14">
                  <c:v>192039.61791088</c:v>
                </c:pt>
                <c:pt idx="15">
                  <c:v>152299.676397462</c:v>
                </c:pt>
                <c:pt idx="16">
                  <c:v>138714.193153078</c:v>
                </c:pt>
                <c:pt idx="17">
                  <c:v>158533.898148148</c:v>
                </c:pt>
                <c:pt idx="18">
                  <c:v>182112.442649391</c:v>
                </c:pt>
                <c:pt idx="19">
                  <c:v>206952.477923525</c:v>
                </c:pt>
                <c:pt idx="20">
                  <c:v>230396.21208858</c:v>
                </c:pt>
                <c:pt idx="21">
                  <c:v>227718.196101508</c:v>
                </c:pt>
                <c:pt idx="22">
                  <c:v>238923.987414491</c:v>
                </c:pt>
                <c:pt idx="23">
                  <c:v>176168.117438047</c:v>
                </c:pt>
              </c:numCache>
            </c:numRef>
          </c:val>
          <c:smooth val="1"/>
        </c:ser>
        <c:ser>
          <c:idx val="3"/>
          <c:order val="3"/>
          <c:tx>
            <c:strRef>
              <c:f>"SEAI grants"</c:f>
              <c:strCache>
                <c:ptCount val="1"/>
                <c:pt idx="0">
                  <c:v>SEAI grants</c:v>
                </c:pt>
              </c:strCache>
            </c:strRef>
          </c:tx>
          <c:spPr>
            <a:solidFill>
              <a:srgbClr val="7d5fa0"/>
            </a:solidFill>
            <a:ln w="28440">
              <a:solidFill>
                <a:srgbClr val="7d5fa0"/>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Assumptions!$E$95:$AB$95</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BS!$E$11:$AB$11</c:f>
              <c:numCache>
                <c:formatCode>#,##0;\(#,##0\);\-</c:formatCode>
                <c:ptCount val="24"/>
                <c:pt idx="0">
                  <c:v>240218.66</c:v>
                </c:pt>
                <c:pt idx="1">
                  <c:v>178192.3</c:v>
                </c:pt>
                <c:pt idx="2">
                  <c:v>153187.4</c:v>
                </c:pt>
                <c:pt idx="3">
                  <c:v>127253.19</c:v>
                </c:pt>
                <c:pt idx="4">
                  <c:v>121763.65</c:v>
                </c:pt>
                <c:pt idx="5">
                  <c:v>152013.29</c:v>
                </c:pt>
                <c:pt idx="6">
                  <c:v>155368</c:v>
                </c:pt>
                <c:pt idx="7">
                  <c:v>108387.05</c:v>
                </c:pt>
                <c:pt idx="8">
                  <c:v>116372</c:v>
                </c:pt>
                <c:pt idx="9">
                  <c:v>168942</c:v>
                </c:pt>
                <c:pt idx="10">
                  <c:v>189148</c:v>
                </c:pt>
                <c:pt idx="11">
                  <c:v>180933.329148484</c:v>
                </c:pt>
                <c:pt idx="12">
                  <c:v>174210.179257461</c:v>
                </c:pt>
                <c:pt idx="13">
                  <c:v>164503.537983382</c:v>
                </c:pt>
                <c:pt idx="14">
                  <c:v>146104.58507095</c:v>
                </c:pt>
                <c:pt idx="15">
                  <c:v>127168.154933483</c:v>
                </c:pt>
                <c:pt idx="16">
                  <c:v>133584.602244281</c:v>
                </c:pt>
                <c:pt idx="17">
                  <c:v>161861.339456387</c:v>
                </c:pt>
                <c:pt idx="18">
                  <c:v>186499.980615314</c:v>
                </c:pt>
                <c:pt idx="19">
                  <c:v>202841.440328023</c:v>
                </c:pt>
                <c:pt idx="20">
                  <c:v>210487.898621011</c:v>
                </c:pt>
                <c:pt idx="21">
                  <c:v>209029.186767837</c:v>
                </c:pt>
                <c:pt idx="22">
                  <c:v>202795.306444943</c:v>
                </c:pt>
                <c:pt idx="23">
                  <c:v>205972.758614545</c:v>
                </c:pt>
              </c:numCache>
            </c:numRef>
          </c:val>
          <c:smooth val="1"/>
        </c:ser>
        <c:hiLowLines>
          <c:spPr>
            <a:ln w="0">
              <a:noFill/>
            </a:ln>
          </c:spPr>
        </c:hiLowLines>
        <c:marker val="0"/>
        <c:axId val="27722977"/>
        <c:axId val="76123777"/>
      </c:lineChart>
      <c:catAx>
        <c:axId val="27722977"/>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6123777"/>
        <c:crosses val="autoZero"/>
        <c:auto val="1"/>
        <c:lblAlgn val="ctr"/>
        <c:lblOffset val="100"/>
        <c:noMultiLvlLbl val="0"/>
      </c:catAx>
      <c:valAx>
        <c:axId val="76123777"/>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7722977"/>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Secured work in hand and weighted pipeline (EUR)</a:t>
            </a:r>
          </a:p>
        </c:rich>
      </c:tx>
      <c:overlay val="0"/>
      <c:spPr>
        <a:noFill/>
        <a:ln w="0">
          <a:noFill/>
        </a:ln>
      </c:spPr>
    </c:title>
    <c:autoTitleDeleted val="0"/>
    <c:plotArea>
      <c:lineChart>
        <c:grouping val="standard"/>
        <c:varyColors val="0"/>
        <c:ser>
          <c:idx val="0"/>
          <c:order val="0"/>
          <c:tx>
            <c:strRef>
              <c:f>"Secured work in hand"</c:f>
              <c:strCache>
                <c:ptCount val="1"/>
                <c:pt idx="0">
                  <c:v>Secured work in hand</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Assumptions!$E$95:$AB$95</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Pipeline!$E$11:$AB$11</c:f>
              <c:numCache>
                <c:formatCode>#,##0;\(#,##0\);\-</c:formatCode>
                <c:ptCount val="24"/>
                <c:pt idx="0">
                  <c:v>712548.03</c:v>
                </c:pt>
                <c:pt idx="1">
                  <c:v>1693908.01</c:v>
                </c:pt>
                <c:pt idx="2">
                  <c:v>1689957.66</c:v>
                </c:pt>
                <c:pt idx="3">
                  <c:v>2833344.6</c:v>
                </c:pt>
                <c:pt idx="4">
                  <c:v>3714487.05</c:v>
                </c:pt>
                <c:pt idx="5">
                  <c:v>3426439.2</c:v>
                </c:pt>
                <c:pt idx="6">
                  <c:v>3463790.21</c:v>
                </c:pt>
                <c:pt idx="7">
                  <c:v>5341427.57</c:v>
                </c:pt>
                <c:pt idx="8">
                  <c:v>4685945.13879178</c:v>
                </c:pt>
                <c:pt idx="9">
                  <c:v>4025273.43912993</c:v>
                </c:pt>
                <c:pt idx="10">
                  <c:v>3391635.86246332</c:v>
                </c:pt>
                <c:pt idx="11">
                  <c:v>2859805.72827531</c:v>
                </c:pt>
                <c:pt idx="12">
                  <c:v>2450143.31375909</c:v>
                </c:pt>
                <c:pt idx="13">
                  <c:v>2280982.99477138</c:v>
                </c:pt>
                <c:pt idx="14">
                  <c:v>2242096.24627864</c:v>
                </c:pt>
                <c:pt idx="15">
                  <c:v>2153627.78998115</c:v>
                </c:pt>
                <c:pt idx="16">
                  <c:v>1975395.61242665</c:v>
                </c:pt>
                <c:pt idx="17">
                  <c:v>1725366.2591809</c:v>
                </c:pt>
                <c:pt idx="18">
                  <c:v>1430218.0961204</c:v>
                </c:pt>
                <c:pt idx="19">
                  <c:v>1135015.66649056</c:v>
                </c:pt>
                <c:pt idx="20">
                  <c:v>912352.666736612</c:v>
                </c:pt>
                <c:pt idx="21">
                  <c:v>745008.096883536</c:v>
                </c:pt>
                <c:pt idx="22">
                  <c:v>649338.991037068</c:v>
                </c:pt>
                <c:pt idx="23">
                  <c:v>580729.547453719</c:v>
                </c:pt>
              </c:numCache>
            </c:numRef>
          </c:val>
          <c:smooth val="1"/>
        </c:ser>
        <c:ser>
          <c:idx val="1"/>
          <c:order val="1"/>
          <c:tx>
            <c:strRef>
              <c:f>"Weighted pipeline"</c:f>
              <c:strCache>
                <c:ptCount val="1"/>
                <c:pt idx="0">
                  <c:v>Weighted pipeline</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Assumptions!$E$95:$AB$95</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Pipeline!$E$12:$AB$12</c:f>
              <c:numCache>
                <c:formatCode>#,##0;\(#,##0\);\-</c:formatCode>
                <c:ptCount val="24"/>
                <c:pt idx="0">
                  <c:v>3167500</c:v>
                </c:pt>
                <c:pt idx="1">
                  <c:v>3167500</c:v>
                </c:pt>
                <c:pt idx="2">
                  <c:v>3167500</c:v>
                </c:pt>
                <c:pt idx="3">
                  <c:v>3167500</c:v>
                </c:pt>
                <c:pt idx="4">
                  <c:v>3167500</c:v>
                </c:pt>
                <c:pt idx="5">
                  <c:v>3167500</c:v>
                </c:pt>
                <c:pt idx="6">
                  <c:v>3167500</c:v>
                </c:pt>
                <c:pt idx="7">
                  <c:v>3167500</c:v>
                </c:pt>
                <c:pt idx="8">
                  <c:v>3167500</c:v>
                </c:pt>
                <c:pt idx="9">
                  <c:v>3167500</c:v>
                </c:pt>
                <c:pt idx="10">
                  <c:v>3167500</c:v>
                </c:pt>
                <c:pt idx="11">
                  <c:v>3106562.5</c:v>
                </c:pt>
                <c:pt idx="12">
                  <c:v>2972500</c:v>
                </c:pt>
                <c:pt idx="13">
                  <c:v>2810615.234375</c:v>
                </c:pt>
                <c:pt idx="14">
                  <c:v>2676328.125</c:v>
                </c:pt>
                <c:pt idx="15">
                  <c:v>2543738.06423611</c:v>
                </c:pt>
                <c:pt idx="16">
                  <c:v>2352638.88888889</c:v>
                </c:pt>
                <c:pt idx="17">
                  <c:v>2121153.046875</c:v>
                </c:pt>
                <c:pt idx="18">
                  <c:v>1878922.98611111</c:v>
                </c:pt>
                <c:pt idx="19">
                  <c:v>1658800.01748765</c:v>
                </c:pt>
                <c:pt idx="20">
                  <c:v>1488669.84511662</c:v>
                </c:pt>
                <c:pt idx="21">
                  <c:v>1321628.59876093</c:v>
                </c:pt>
                <c:pt idx="22">
                  <c:v>1091496.40123907</c:v>
                </c:pt>
                <c:pt idx="23">
                  <c:v>820550.154883382</c:v>
                </c:pt>
              </c:numCache>
            </c:numRef>
          </c:val>
          <c:smooth val="1"/>
        </c:ser>
        <c:hiLowLines>
          <c:spPr>
            <a:ln w="0">
              <a:noFill/>
            </a:ln>
          </c:spPr>
        </c:hiLowLines>
        <c:marker val="0"/>
        <c:axId val="71062853"/>
        <c:axId val="71532973"/>
      </c:lineChart>
      <c:catAx>
        <c:axId val="71062853"/>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1532973"/>
        <c:crosses val="autoZero"/>
        <c:auto val="1"/>
        <c:lblAlgn val="ctr"/>
        <c:lblOffset val="100"/>
        <c:noMultiLvlLbl val="0"/>
      </c:catAx>
      <c:valAx>
        <c:axId val="71532973"/>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1062853"/>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38</xdr:row>
      <xdr:rowOff>160920</xdr:rowOff>
    </xdr:from>
    <xdr:to>
      <xdr:col>4</xdr:col>
      <xdr:colOff>730080</xdr:colOff>
      <xdr:row>53</xdr:row>
      <xdr:rowOff>2880</xdr:rowOff>
    </xdr:to>
    <xdr:graphicFrame>
      <xdr:nvGraphicFramePr>
        <xdr:cNvPr id="0" name="Chart 1"/>
        <xdr:cNvGraphicFramePr/>
      </xdr:nvGraphicFramePr>
      <xdr:xfrm>
        <a:off x="0" y="7429680"/>
        <a:ext cx="79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54</xdr:row>
      <xdr:rowOff>160560</xdr:rowOff>
    </xdr:from>
    <xdr:to>
      <xdr:col>4</xdr:col>
      <xdr:colOff>730080</xdr:colOff>
      <xdr:row>69</xdr:row>
      <xdr:rowOff>2880</xdr:rowOff>
    </xdr:to>
    <xdr:graphicFrame>
      <xdr:nvGraphicFramePr>
        <xdr:cNvPr id="1" name="Chart 2"/>
        <xdr:cNvGraphicFramePr/>
      </xdr:nvGraphicFramePr>
      <xdr:xfrm>
        <a:off x="0" y="10477440"/>
        <a:ext cx="7919640" cy="269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70</xdr:row>
      <xdr:rowOff>160560</xdr:rowOff>
    </xdr:from>
    <xdr:to>
      <xdr:col>4</xdr:col>
      <xdr:colOff>730080</xdr:colOff>
      <xdr:row>85</xdr:row>
      <xdr:rowOff>2880</xdr:rowOff>
    </xdr:to>
    <xdr:graphicFrame>
      <xdr:nvGraphicFramePr>
        <xdr:cNvPr id="2" name="Chart 3"/>
        <xdr:cNvGraphicFramePr/>
      </xdr:nvGraphicFramePr>
      <xdr:xfrm>
        <a:off x="0" y="13525560"/>
        <a:ext cx="7919640" cy="269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86</xdr:row>
      <xdr:rowOff>160920</xdr:rowOff>
    </xdr:from>
    <xdr:to>
      <xdr:col>4</xdr:col>
      <xdr:colOff>730080</xdr:colOff>
      <xdr:row>101</xdr:row>
      <xdr:rowOff>2880</xdr:rowOff>
    </xdr:to>
    <xdr:graphicFrame>
      <xdr:nvGraphicFramePr>
        <xdr:cNvPr id="3" name="Chart 4"/>
        <xdr:cNvGraphicFramePr/>
      </xdr:nvGraphicFramePr>
      <xdr:xfrm>
        <a:off x="0" y="16573680"/>
        <a:ext cx="7919640" cy="2699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final.xlsx" TargetMode="External"/><Relationship Id="rId2" Type="http://schemas.openxmlformats.org/officeDocument/2006/relationships/hyperlink" Target="final.xlsx" TargetMode="External"/><Relationship Id="rId3" Type="http://schemas.openxmlformats.org/officeDocument/2006/relationships/hyperlink" Target="final.xlsx" TargetMode="External"/><Relationship Id="rId4" Type="http://schemas.openxmlformats.org/officeDocument/2006/relationships/hyperlink" Target="final.xlsx" TargetMode="External"/><Relationship Id="rId5" Type="http://schemas.openxmlformats.org/officeDocument/2006/relationships/hyperlink" Target="final.xlsx" TargetMode="External"/><Relationship Id="rId6" Type="http://schemas.openxmlformats.org/officeDocument/2006/relationships/hyperlink" Target="final.xlsx" TargetMode="External"/><Relationship Id="rId7" Type="http://schemas.openxmlformats.org/officeDocument/2006/relationships/hyperlink" Target="final.xlsx" TargetMode="External"/><Relationship Id="rId8" Type="http://schemas.openxmlformats.org/officeDocument/2006/relationships/hyperlink" Target="final.xlsx" TargetMode="External"/><Relationship Id="rId9" Type="http://schemas.openxmlformats.org/officeDocument/2006/relationships/hyperlink" Target="final.xlsx" TargetMode="External"/><Relationship Id="rId10" Type="http://schemas.openxmlformats.org/officeDocument/2006/relationships/hyperlink" Target="final.xlsx" TargetMode="External"/><Relationship Id="rId11" Type="http://schemas.openxmlformats.org/officeDocument/2006/relationships/hyperlink" Target="final.xlsx" TargetMode="External"/><Relationship Id="rId12" Type="http://schemas.openxmlformats.org/officeDocument/2006/relationships/hyperlink" Target="final.xlsx" TargetMode="External"/><Relationship Id="rId13" Type="http://schemas.openxmlformats.org/officeDocument/2006/relationships/hyperlink" Target="final.xlsx" TargetMode="External"/><Relationship Id="rId14" Type="http://schemas.openxmlformats.org/officeDocument/2006/relationships/hyperlink" Target="final.xlsx" TargetMode="External"/><Relationship Id="rId15" Type="http://schemas.openxmlformats.org/officeDocument/2006/relationships/hyperlink" Target="final.xlsx" TargetMode="External"/><Relationship Id="rId16" Type="http://schemas.openxmlformats.org/officeDocument/2006/relationships/hyperlink" Target="final.xlsx" TargetMode="External"/><Relationship Id="rId17" Type="http://schemas.openxmlformats.org/officeDocument/2006/relationships/hyperlink" Target="final.xlsx" TargetMode="External"/><Relationship Id="rId18" Type="http://schemas.openxmlformats.org/officeDocument/2006/relationships/hyperlink" Target="final.xlsx" TargetMode="External"/><Relationship Id="rId19" Type="http://schemas.openxmlformats.org/officeDocument/2006/relationships/hyperlink" Target="final.xlsx" TargetMode="External"/><Relationship Id="rId20" Type="http://schemas.openxmlformats.org/officeDocument/2006/relationships/hyperlink" Target="final.xlsx" TargetMode="External"/><Relationship Id="rId21" Type="http://schemas.openxmlformats.org/officeDocument/2006/relationships/hyperlink" Target="final.xlsx" TargetMode="External"/><Relationship Id="rId22" Type="http://schemas.openxmlformats.org/officeDocument/2006/relationships/hyperlink" Target="final.xlsx" TargetMode="External"/><Relationship Id="rId23" Type="http://schemas.openxmlformats.org/officeDocument/2006/relationships/hyperlink" Target="final.xlsx" TargetMode="External"/><Relationship Id="rId24" Type="http://schemas.openxmlformats.org/officeDocument/2006/relationships/hyperlink" Target="final.xlsx" TargetMode="External"/><Relationship Id="rId25" Type="http://schemas.openxmlformats.org/officeDocument/2006/relationships/hyperlink" Target="final.xlsx" TargetMode="External"/><Relationship Id="rId26" Type="http://schemas.openxmlformats.org/officeDocument/2006/relationships/hyperlink" Target="final.xlsx" TargetMode="External"/><Relationship Id="rId27" Type="http://schemas.openxmlformats.org/officeDocument/2006/relationships/hyperlink" Target="final.xlsx" TargetMode="External"/><Relationship Id="rId28" Type="http://schemas.openxmlformats.org/officeDocument/2006/relationships/hyperlink" Target="final.xlsx" TargetMode="External"/><Relationship Id="rId29" Type="http://schemas.openxmlformats.org/officeDocument/2006/relationships/hyperlink" Target="final.xlsx" TargetMode="External"/><Relationship Id="rId30" Type="http://schemas.openxmlformats.org/officeDocument/2006/relationships/hyperlink" Target="final.xlsx" TargetMode="External"/><Relationship Id="rId31" Type="http://schemas.openxmlformats.org/officeDocument/2006/relationships/hyperlink" Target="final.xlsx" TargetMode="Externa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5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96"/>
    <col collapsed="false" customWidth="true" hidden="false" outlineLevel="0" max="5" min="4" style="0" width="12"/>
  </cols>
  <sheetData>
    <row r="2" customFormat="false" ht="24.45" hidden="false" customHeight="false" outlineLevel="0" collapsed="false">
      <c r="B2" s="1" t="str">
        <f aca="false">Assumptions!$C$6</f>
        <v>Tarnlea Build &amp; Retrofit Ltd (fictional demonstration company)</v>
      </c>
    </row>
    <row r="3" customFormat="false" ht="17.35" hidden="false" customHeight="false" outlineLevel="0" collapsed="false">
      <c r="B3" s="2" t="s">
        <v>0</v>
      </c>
    </row>
    <row r="4" customFormat="false" ht="15" hidden="false" customHeight="false" outlineLevel="0" collapsed="false">
      <c r="B4" s="3" t="s">
        <v>1</v>
      </c>
    </row>
    <row r="6" customFormat="false" ht="69.75" hidden="false" customHeight="true" outlineLevel="0" collapsed="false">
      <c r="B6" s="4" t="s">
        <v>2</v>
      </c>
      <c r="C6" s="4"/>
      <c r="D6" s="4"/>
      <c r="E6" s="4"/>
    </row>
    <row r="8" customFormat="false" ht="15" hidden="false" customHeight="false" outlineLevel="0" collapsed="false">
      <c r="B8" s="5" t="s">
        <v>3</v>
      </c>
      <c r="C8" s="6" t="n">
        <f aca="false">Assumptions!$C$9</f>
        <v>46265</v>
      </c>
    </row>
    <row r="9" customFormat="false" ht="15" hidden="false" customHeight="false" outlineLevel="0" collapsed="false">
      <c r="B9" s="5" t="s">
        <v>4</v>
      </c>
      <c r="C9" s="7" t="str">
        <f aca="false">"Sep-26 to Dec-27 ("&amp;Assumptions!$C$12&amp;" scenario selected)"</f>
        <v>Sep-26 to Dec-27 (Base scenario selected)</v>
      </c>
    </row>
    <row r="10" customFormat="false" ht="15" hidden="false" customHeight="false" outlineLevel="0" collapsed="false">
      <c r="B10" s="5" t="s">
        <v>5</v>
      </c>
      <c r="C10" s="8" t="s">
        <v>6</v>
      </c>
    </row>
    <row r="11" customFormat="false" ht="15" hidden="false" customHeight="false" outlineLevel="0" collapsed="false">
      <c r="B11" s="5" t="s">
        <v>7</v>
      </c>
      <c r="C11" s="7" t="str">
        <f aca="false">Checks!E49</f>
        <v>OK</v>
      </c>
    </row>
    <row r="12" customFormat="false" ht="15" hidden="false" customHeight="false" outlineLevel="0" collapsed="false">
      <c r="B12" s="5" t="s">
        <v>8</v>
      </c>
      <c r="C12" s="9" t="n">
        <f aca="false">PL!$C$13</f>
        <v>9197434.24316899</v>
      </c>
    </row>
    <row r="13" customFormat="false" ht="15" hidden="false" customHeight="false" outlineLevel="0" collapsed="false">
      <c r="B13" s="5" t="s">
        <v>9</v>
      </c>
      <c r="C13" s="9" t="n">
        <f aca="false">PL!$C$53</f>
        <v>424278.315480134</v>
      </c>
    </row>
    <row r="14" customFormat="false" ht="15" hidden="false" customHeight="false" outlineLevel="0" collapsed="false">
      <c r="B14" s="5" t="s">
        <v>10</v>
      </c>
      <c r="C14" s="9" t="n">
        <f aca="false">INDEX(Pipeline!$E$11:$AB$11,Assumptions!$C$10)</f>
        <v>5341427.57</v>
      </c>
    </row>
    <row r="15" customFormat="false" ht="15" hidden="false" customHeight="false" outlineLevel="0" collapsed="false">
      <c r="B15" s="5" t="s">
        <v>11</v>
      </c>
      <c r="C15" s="9" t="n">
        <f aca="false">INDEX(BS!$E$9:$AB$9,Assumptions!$C$10)</f>
        <v>634504.37266392</v>
      </c>
    </row>
    <row r="16" customFormat="false" ht="15" hidden="false" customHeight="false" outlineLevel="0" collapsed="false">
      <c r="B16" s="5" t="s">
        <v>12</v>
      </c>
      <c r="C16" s="9" t="n">
        <f aca="false">Cash_13W!C67</f>
        <v>230046.39174337</v>
      </c>
    </row>
    <row r="17" customFormat="false" ht="23.85" hidden="false" customHeight="false" outlineLevel="0" collapsed="false">
      <c r="B17" s="5" t="s">
        <v>13</v>
      </c>
      <c r="C17" s="8" t="s">
        <v>14</v>
      </c>
    </row>
    <row r="19" customFormat="false" ht="15" hidden="false" customHeight="false" outlineLevel="0" collapsed="false">
      <c r="B19" s="10" t="s">
        <v>15</v>
      </c>
      <c r="C19" s="10" t="s">
        <v>16</v>
      </c>
      <c r="D19" s="10" t="s">
        <v>17</v>
      </c>
    </row>
    <row r="20" customFormat="false" ht="15" hidden="false" customHeight="false" outlineLevel="0" collapsed="false">
      <c r="B20" s="11" t="s">
        <v>18</v>
      </c>
      <c r="C20" s="12" t="s">
        <v>19</v>
      </c>
      <c r="D20" s="13" t="s">
        <v>20</v>
      </c>
    </row>
    <row r="21" customFormat="false" ht="15" hidden="false" customHeight="false" outlineLevel="0" collapsed="false">
      <c r="B21" s="11" t="s">
        <v>21</v>
      </c>
      <c r="C21" s="12" t="s">
        <v>22</v>
      </c>
      <c r="D21" s="13" t="s">
        <v>20</v>
      </c>
    </row>
    <row r="22" customFormat="false" ht="15" hidden="false" customHeight="false" outlineLevel="0" collapsed="false">
      <c r="B22" s="11" t="s">
        <v>23</v>
      </c>
      <c r="C22" s="12" t="s">
        <v>24</v>
      </c>
      <c r="D22" s="13" t="s">
        <v>25</v>
      </c>
    </row>
    <row r="23" customFormat="false" ht="15" hidden="false" customHeight="false" outlineLevel="0" collapsed="false">
      <c r="B23" s="11" t="s">
        <v>26</v>
      </c>
      <c r="C23" s="12" t="s">
        <v>27</v>
      </c>
      <c r="D23" s="13" t="s">
        <v>20</v>
      </c>
    </row>
    <row r="24" customFormat="false" ht="15" hidden="false" customHeight="false" outlineLevel="0" collapsed="false">
      <c r="B24" s="11" t="s">
        <v>28</v>
      </c>
      <c r="C24" s="12" t="s">
        <v>29</v>
      </c>
      <c r="D24" s="13" t="s">
        <v>20</v>
      </c>
    </row>
    <row r="25" customFormat="false" ht="15" hidden="false" customHeight="false" outlineLevel="0" collapsed="false">
      <c r="B25" s="11" t="s">
        <v>30</v>
      </c>
      <c r="C25" s="12" t="s">
        <v>31</v>
      </c>
      <c r="D25" s="13" t="s">
        <v>32</v>
      </c>
    </row>
    <row r="26" customFormat="false" ht="15" hidden="false" customHeight="false" outlineLevel="0" collapsed="false">
      <c r="B26" s="11" t="s">
        <v>33</v>
      </c>
      <c r="C26" s="12" t="s">
        <v>34</v>
      </c>
      <c r="D26" s="13" t="s">
        <v>32</v>
      </c>
    </row>
    <row r="27" customFormat="false" ht="15" hidden="false" customHeight="false" outlineLevel="0" collapsed="false">
      <c r="B27" s="11" t="s">
        <v>35</v>
      </c>
      <c r="C27" s="12" t="s">
        <v>36</v>
      </c>
      <c r="D27" s="13" t="s">
        <v>32</v>
      </c>
    </row>
    <row r="28" customFormat="false" ht="15" hidden="false" customHeight="false" outlineLevel="0" collapsed="false">
      <c r="B28" s="11" t="s">
        <v>37</v>
      </c>
      <c r="C28" s="12" t="s">
        <v>38</v>
      </c>
      <c r="D28" s="13" t="s">
        <v>39</v>
      </c>
    </row>
    <row r="29" customFormat="false" ht="15" hidden="false" customHeight="false" outlineLevel="0" collapsed="false">
      <c r="B29" s="11" t="s">
        <v>40</v>
      </c>
      <c r="C29" s="12" t="s">
        <v>41</v>
      </c>
      <c r="D29" s="13" t="s">
        <v>39</v>
      </c>
    </row>
    <row r="30" customFormat="false" ht="15" hidden="false" customHeight="false" outlineLevel="0" collapsed="false">
      <c r="B30" s="11" t="s">
        <v>42</v>
      </c>
      <c r="C30" s="12" t="s">
        <v>43</v>
      </c>
      <c r="D30" s="13" t="s">
        <v>39</v>
      </c>
    </row>
    <row r="31" customFormat="false" ht="15" hidden="false" customHeight="false" outlineLevel="0" collapsed="false">
      <c r="B31" s="11" t="s">
        <v>44</v>
      </c>
      <c r="C31" s="12" t="s">
        <v>45</v>
      </c>
      <c r="D31" s="13" t="s">
        <v>39</v>
      </c>
    </row>
    <row r="32" customFormat="false" ht="15" hidden="false" customHeight="false" outlineLevel="0" collapsed="false">
      <c r="B32" s="11" t="s">
        <v>46</v>
      </c>
      <c r="C32" s="12" t="s">
        <v>47</v>
      </c>
      <c r="D32" s="13" t="s">
        <v>48</v>
      </c>
    </row>
    <row r="33" customFormat="false" ht="15" hidden="false" customHeight="false" outlineLevel="0" collapsed="false">
      <c r="B33" s="11" t="s">
        <v>49</v>
      </c>
      <c r="C33" s="12" t="s">
        <v>50</v>
      </c>
      <c r="D33" s="13" t="s">
        <v>48</v>
      </c>
    </row>
    <row r="34" customFormat="false" ht="15" hidden="false" customHeight="false" outlineLevel="0" collapsed="false">
      <c r="B34" s="11" t="s">
        <v>51</v>
      </c>
      <c r="C34" s="12" t="s">
        <v>52</v>
      </c>
      <c r="D34" s="13" t="s">
        <v>48</v>
      </c>
    </row>
    <row r="35" customFormat="false" ht="15" hidden="false" customHeight="false" outlineLevel="0" collapsed="false">
      <c r="B35" s="11" t="s">
        <v>53</v>
      </c>
      <c r="C35" s="12" t="s">
        <v>54</v>
      </c>
      <c r="D35" s="13" t="s">
        <v>48</v>
      </c>
    </row>
    <row r="36" customFormat="false" ht="15" hidden="false" customHeight="false" outlineLevel="0" collapsed="false">
      <c r="B36" s="11" t="s">
        <v>55</v>
      </c>
      <c r="C36" s="12" t="s">
        <v>56</v>
      </c>
      <c r="D36" s="13" t="s">
        <v>48</v>
      </c>
    </row>
    <row r="37" customFormat="false" ht="15" hidden="false" customHeight="false" outlineLevel="0" collapsed="false">
      <c r="B37" s="11" t="s">
        <v>57</v>
      </c>
      <c r="C37" s="12" t="s">
        <v>58</v>
      </c>
      <c r="D37" s="13" t="s">
        <v>48</v>
      </c>
    </row>
    <row r="38" customFormat="false" ht="15" hidden="false" customHeight="false" outlineLevel="0" collapsed="false">
      <c r="B38" s="11" t="s">
        <v>59</v>
      </c>
      <c r="C38" s="12" t="s">
        <v>60</v>
      </c>
      <c r="D38" s="13" t="s">
        <v>48</v>
      </c>
    </row>
    <row r="39" customFormat="false" ht="15" hidden="false" customHeight="false" outlineLevel="0" collapsed="false">
      <c r="B39" s="11" t="s">
        <v>61</v>
      </c>
      <c r="C39" s="12" t="s">
        <v>62</v>
      </c>
      <c r="D39" s="13" t="s">
        <v>48</v>
      </c>
    </row>
    <row r="40" customFormat="false" ht="15" hidden="false" customHeight="false" outlineLevel="0" collapsed="false">
      <c r="B40" s="11" t="s">
        <v>63</v>
      </c>
      <c r="C40" s="12" t="s">
        <v>64</v>
      </c>
      <c r="D40" s="13" t="s">
        <v>48</v>
      </c>
    </row>
    <row r="41" customFormat="false" ht="15" hidden="false" customHeight="false" outlineLevel="0" collapsed="false">
      <c r="B41" s="11" t="s">
        <v>65</v>
      </c>
      <c r="C41" s="12" t="s">
        <v>66</v>
      </c>
      <c r="D41" s="13" t="s">
        <v>48</v>
      </c>
    </row>
    <row r="42" customFormat="false" ht="15" hidden="false" customHeight="false" outlineLevel="0" collapsed="false">
      <c r="B42" s="11" t="s">
        <v>67</v>
      </c>
      <c r="C42" s="12" t="s">
        <v>68</v>
      </c>
      <c r="D42" s="13" t="s">
        <v>48</v>
      </c>
    </row>
    <row r="43" customFormat="false" ht="15" hidden="false" customHeight="false" outlineLevel="0" collapsed="false">
      <c r="B43" s="11" t="s">
        <v>69</v>
      </c>
      <c r="C43" s="12" t="s">
        <v>70</v>
      </c>
      <c r="D43" s="13" t="s">
        <v>48</v>
      </c>
    </row>
    <row r="44" customFormat="false" ht="15" hidden="false" customHeight="false" outlineLevel="0" collapsed="false">
      <c r="B44" s="11" t="s">
        <v>71</v>
      </c>
      <c r="C44" s="12" t="s">
        <v>72</v>
      </c>
      <c r="D44" s="13" t="s">
        <v>48</v>
      </c>
    </row>
    <row r="45" customFormat="false" ht="15" hidden="false" customHeight="false" outlineLevel="0" collapsed="false">
      <c r="B45" s="11" t="s">
        <v>73</v>
      </c>
      <c r="C45" s="12" t="s">
        <v>74</v>
      </c>
      <c r="D45" s="13" t="s">
        <v>48</v>
      </c>
    </row>
    <row r="46" customFormat="false" ht="15" hidden="false" customHeight="false" outlineLevel="0" collapsed="false">
      <c r="B46" s="11" t="s">
        <v>75</v>
      </c>
      <c r="C46" s="12" t="s">
        <v>76</v>
      </c>
      <c r="D46" s="13" t="s">
        <v>48</v>
      </c>
    </row>
    <row r="47" customFormat="false" ht="15" hidden="false" customHeight="false" outlineLevel="0" collapsed="false">
      <c r="B47" s="11" t="s">
        <v>77</v>
      </c>
      <c r="C47" s="12" t="s">
        <v>78</v>
      </c>
      <c r="D47" s="13" t="s">
        <v>79</v>
      </c>
    </row>
    <row r="48" customFormat="false" ht="15" hidden="false" customHeight="false" outlineLevel="0" collapsed="false">
      <c r="B48" s="11" t="s">
        <v>80</v>
      </c>
      <c r="C48" s="12" t="s">
        <v>81</v>
      </c>
      <c r="D48" s="13" t="s">
        <v>79</v>
      </c>
    </row>
    <row r="49" customFormat="false" ht="15" hidden="false" customHeight="false" outlineLevel="0" collapsed="false">
      <c r="B49" s="11" t="s">
        <v>82</v>
      </c>
      <c r="C49" s="12" t="s">
        <v>83</v>
      </c>
      <c r="D49" s="13" t="s">
        <v>79</v>
      </c>
    </row>
    <row r="50" customFormat="false" ht="15" hidden="false" customHeight="false" outlineLevel="0" collapsed="false">
      <c r="B50" s="11" t="s">
        <v>84</v>
      </c>
      <c r="C50" s="12" t="s">
        <v>85</v>
      </c>
      <c r="D50" s="13" t="s">
        <v>79</v>
      </c>
    </row>
    <row r="52" customFormat="false" ht="15" hidden="false" customHeight="false" outlineLevel="0" collapsed="false">
      <c r="B52" s="5" t="s">
        <v>86</v>
      </c>
    </row>
    <row r="53" customFormat="false" ht="15" hidden="false" customHeight="false" outlineLevel="0" collapsed="false">
      <c r="B53" s="14" t="s">
        <v>87</v>
      </c>
    </row>
    <row r="54" customFormat="false" ht="15" hidden="false" customHeight="false" outlineLevel="0" collapsed="false">
      <c r="B54" s="15" t="s">
        <v>88</v>
      </c>
    </row>
    <row r="55" customFormat="false" ht="15" hidden="false" customHeight="false" outlineLevel="0" collapsed="false">
      <c r="B55" s="16" t="s">
        <v>89</v>
      </c>
    </row>
    <row r="56" customFormat="false" ht="15" hidden="false" customHeight="false" outlineLevel="0" collapsed="false">
      <c r="B56" s="17" t="s">
        <v>90</v>
      </c>
    </row>
    <row r="57" customFormat="false" ht="15" hidden="false" customHeight="false" outlineLevel="0" collapsed="false">
      <c r="B57" s="18" t="s">
        <v>91</v>
      </c>
    </row>
  </sheetData>
  <mergeCells count="1">
    <mergeCell ref="B6:E6"/>
  </mergeCells>
  <hyperlinks>
    <hyperlink ref="B20" r:id="rId1" location="'Cover'!A1" display="Cover"/>
    <hyperlink ref="B21" r:id="rId2" location="'Guide'!A1" display="Guide"/>
    <hyperlink ref="B22" r:id="rId3" location="'Checks'!A1" display="Checks"/>
    <hyperlink ref="B23" r:id="rId4" location="'CFO_Report'!A1" display="CFO_Report"/>
    <hyperlink ref="B24" r:id="rId5" location="'KPIs'!A1" display="KPIs"/>
    <hyperlink ref="B25" r:id="rId6" location="'PL'!A1" display="PL"/>
    <hyperlink ref="B26" r:id="rId7" location="'BS'!A1" display="BS"/>
    <hyperlink ref="B27" r:id="rId8" location="'CF'!A1" display="CF"/>
    <hyperlink ref="B28" r:id="rId9" location="'BvA'!A1" display="BvA"/>
    <hyperlink ref="B29" r:id="rId10" location="'Scenarios'!A1" display="Scenarios"/>
    <hyperlink ref="B30" r:id="rId11" location="'Cash_13W'!A1" display="Cash_13W"/>
    <hyperlink ref="B31" r:id="rId12" location="'Project_Profitability'!A1" display="Project_Profitability"/>
    <hyperlink ref="B32" r:id="rId13" location="'WIP'!A1" display="WIP"/>
    <hyperlink ref="B33" r:id="rId14" location="'Residential'!A1" display="Residential"/>
    <hyperlink ref="B34" r:id="rId15" location="'Pipeline'!A1" display="Pipeline"/>
    <hyperlink ref="B35" r:id="rId16" location="'Variations'!A1" display="Variations"/>
    <hyperlink ref="B36" r:id="rId17" location="'Commitments'!A1" display="Commitments"/>
    <hyperlink ref="B37" r:id="rId18" location="'Retentions'!A1" display="Retentions"/>
    <hyperlink ref="B38" r:id="rId19" location="'Receivables'!A1" display="Receivables"/>
    <hyperlink ref="B39" r:id="rId20" location="'AR_Aging'!A1" display="AR_Aging"/>
    <hyperlink ref="B40" r:id="rId21" location="'AP_Aging'!A1" display="AP_Aging"/>
    <hyperlink ref="B41" r:id="rId22" location="'Payables'!A1" display="Payables"/>
    <hyperlink ref="B42" r:id="rId23" location="'VAT_RCT'!A1" display="VAT_RCT"/>
    <hyperlink ref="B43" r:id="rId24" location="'Resources'!A1" display="Resources"/>
    <hyperlink ref="B44" r:id="rId25" location="'Overheads'!A1" display="Overheads"/>
    <hyperlink ref="B45" r:id="rId26" location="'Fixed_Assets'!A1" display="Fixed_Assets"/>
    <hyperlink ref="B46" r:id="rId27" location="'Debt'!A1" display="Debt"/>
    <hyperlink ref="B47" r:id="rId28" location="'Project_Register'!A1" display="Project_Register"/>
    <hyperlink ref="B48" r:id="rId29" location="'Assumptions'!A1" display="Assumptions"/>
    <hyperlink ref="B49" r:id="rId30" location="'Inputs_Actuals'!A1" display="Inputs_Actuals"/>
    <hyperlink ref="B50" r:id="rId31" location="'Budget_FY26'!A1" display="Budget_FY26"/>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5"/>
    <col collapsed="false" customWidth="true" hidden="false" outlineLevel="0" max="2" min="2" style="0" width="30"/>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92</v>
      </c>
    </row>
    <row r="4" customFormat="false" ht="15" hidden="false" customHeight="false" outlineLevel="0" collapsed="false">
      <c r="A4" s="21" t="s">
        <v>93</v>
      </c>
      <c r="B4" s="22"/>
    </row>
    <row r="5" customFormat="false" ht="75" hidden="false" customHeight="true" outlineLevel="0" collapsed="false">
      <c r="A5" s="23" t="s">
        <v>94</v>
      </c>
      <c r="B5" s="23"/>
    </row>
    <row r="6" customFormat="false" ht="45" hidden="false" customHeight="true" outlineLevel="0" collapsed="false">
      <c r="A6" s="23" t="s">
        <v>95</v>
      </c>
      <c r="B6" s="23"/>
    </row>
    <row r="8" customFormat="false" ht="15" hidden="false" customHeight="false" outlineLevel="0" collapsed="false">
      <c r="A8" s="21" t="s">
        <v>96</v>
      </c>
      <c r="B8" s="22"/>
    </row>
    <row r="9" customFormat="false" ht="45" hidden="false" customHeight="true" outlineLevel="0" collapsed="false">
      <c r="A9" s="23" t="s">
        <v>97</v>
      </c>
      <c r="B9" s="23"/>
    </row>
    <row r="10" customFormat="false" ht="60" hidden="false" customHeight="true" outlineLevel="0" collapsed="false">
      <c r="A10" s="23" t="s">
        <v>98</v>
      </c>
      <c r="B10" s="23"/>
    </row>
    <row r="11" customFormat="false" ht="30" hidden="false" customHeight="true" outlineLevel="0" collapsed="false">
      <c r="A11" s="23" t="s">
        <v>99</v>
      </c>
      <c r="B11" s="23"/>
    </row>
    <row r="12" customFormat="false" ht="30" hidden="false" customHeight="true" outlineLevel="0" collapsed="false">
      <c r="A12" s="23" t="s">
        <v>100</v>
      </c>
      <c r="B12" s="23"/>
    </row>
    <row r="13" customFormat="false" ht="30" hidden="false" customHeight="true" outlineLevel="0" collapsed="false">
      <c r="A13" s="23" t="s">
        <v>101</v>
      </c>
      <c r="B13" s="23"/>
    </row>
    <row r="14" customFormat="false" ht="30" hidden="false" customHeight="true" outlineLevel="0" collapsed="false">
      <c r="A14" s="23" t="s">
        <v>102</v>
      </c>
      <c r="B14" s="23"/>
    </row>
    <row r="15" customFormat="false" ht="30" hidden="false" customHeight="true" outlineLevel="0" collapsed="false">
      <c r="A15" s="23" t="s">
        <v>103</v>
      </c>
      <c r="B15" s="23"/>
    </row>
    <row r="17" customFormat="false" ht="15" hidden="false" customHeight="false" outlineLevel="0" collapsed="false">
      <c r="A17" s="21" t="s">
        <v>104</v>
      </c>
      <c r="B17" s="22"/>
    </row>
    <row r="18" customFormat="false" ht="30" hidden="false" customHeight="true" outlineLevel="0" collapsed="false">
      <c r="A18" s="23" t="s">
        <v>105</v>
      </c>
      <c r="B18" s="23"/>
    </row>
    <row r="19" customFormat="false" ht="45" hidden="false" customHeight="true" outlineLevel="0" collapsed="false">
      <c r="A19" s="23" t="s">
        <v>106</v>
      </c>
      <c r="B19" s="23"/>
    </row>
    <row r="20" customFormat="false" ht="30" hidden="false" customHeight="true" outlineLevel="0" collapsed="false">
      <c r="A20" s="23" t="s">
        <v>107</v>
      </c>
      <c r="B20" s="23"/>
    </row>
    <row r="21" customFormat="false" ht="30" hidden="false" customHeight="true" outlineLevel="0" collapsed="false">
      <c r="A21" s="23" t="s">
        <v>108</v>
      </c>
      <c r="B21" s="23"/>
    </row>
    <row r="22" customFormat="false" ht="30" hidden="false" customHeight="true" outlineLevel="0" collapsed="false">
      <c r="A22" s="23" t="s">
        <v>109</v>
      </c>
      <c r="B22" s="23"/>
    </row>
    <row r="24" customFormat="false" ht="15" hidden="false" customHeight="false" outlineLevel="0" collapsed="false">
      <c r="A24" s="21" t="s">
        <v>110</v>
      </c>
      <c r="B24" s="22"/>
    </row>
    <row r="25" customFormat="false" ht="60" hidden="false" customHeight="true" outlineLevel="0" collapsed="false">
      <c r="A25" s="23" t="s">
        <v>111</v>
      </c>
      <c r="B25" s="23"/>
    </row>
    <row r="26" customFormat="false" ht="30" hidden="false" customHeight="true" outlineLevel="0" collapsed="false">
      <c r="A26" s="23" t="s">
        <v>112</v>
      </c>
      <c r="B26" s="23"/>
    </row>
    <row r="27" customFormat="false" ht="30" hidden="false" customHeight="true" outlineLevel="0" collapsed="false">
      <c r="A27" s="23" t="s">
        <v>113</v>
      </c>
      <c r="B27" s="23"/>
    </row>
    <row r="28" customFormat="false" ht="30" hidden="false" customHeight="true" outlineLevel="0" collapsed="false">
      <c r="A28" s="23" t="s">
        <v>114</v>
      </c>
      <c r="B28" s="23"/>
    </row>
    <row r="29" customFormat="false" ht="45" hidden="false" customHeight="true" outlineLevel="0" collapsed="false">
      <c r="A29" s="23" t="s">
        <v>115</v>
      </c>
      <c r="B29" s="23"/>
    </row>
    <row r="31" customFormat="false" ht="15" hidden="false" customHeight="false" outlineLevel="0" collapsed="false">
      <c r="A31" s="21" t="s">
        <v>116</v>
      </c>
      <c r="B31" s="22"/>
    </row>
    <row r="32" customFormat="false" ht="30" hidden="false" customHeight="true" outlineLevel="0" collapsed="false">
      <c r="A32" s="23" t="s">
        <v>117</v>
      </c>
      <c r="B32" s="23"/>
    </row>
    <row r="33" customFormat="false" ht="30" hidden="false" customHeight="true" outlineLevel="0" collapsed="false">
      <c r="A33" s="23" t="s">
        <v>118</v>
      </c>
      <c r="B33" s="23"/>
    </row>
    <row r="34" customFormat="false" ht="30" hidden="false" customHeight="true" outlineLevel="0" collapsed="false">
      <c r="A34" s="23" t="s">
        <v>119</v>
      </c>
      <c r="B34" s="23"/>
    </row>
    <row r="35" customFormat="false" ht="30" hidden="false" customHeight="true" outlineLevel="0" collapsed="false">
      <c r="A35" s="23" t="s">
        <v>120</v>
      </c>
      <c r="B35" s="23"/>
    </row>
    <row r="37" customFormat="false" ht="15" hidden="false" customHeight="false" outlineLevel="0" collapsed="false">
      <c r="A37" s="21" t="s">
        <v>121</v>
      </c>
      <c r="B37" s="22"/>
    </row>
    <row r="38" customFormat="false" ht="45" hidden="false" customHeight="true" outlineLevel="0" collapsed="false">
      <c r="A38" s="23" t="s">
        <v>122</v>
      </c>
      <c r="B38" s="23"/>
    </row>
    <row r="39" customFormat="false" ht="30" hidden="false" customHeight="true" outlineLevel="0" collapsed="false">
      <c r="A39" s="23" t="s">
        <v>123</v>
      </c>
      <c r="B39" s="23"/>
    </row>
    <row r="40" customFormat="false" ht="30" hidden="false" customHeight="true" outlineLevel="0" collapsed="false">
      <c r="A40" s="23" t="s">
        <v>124</v>
      </c>
      <c r="B40" s="23"/>
    </row>
    <row r="41" customFormat="false" ht="30" hidden="false" customHeight="true" outlineLevel="0" collapsed="false">
      <c r="A41" s="23" t="s">
        <v>125</v>
      </c>
      <c r="B41" s="23"/>
    </row>
    <row r="42" customFormat="false" ht="30" hidden="false" customHeight="true" outlineLevel="0" collapsed="false">
      <c r="A42" s="23" t="s">
        <v>126</v>
      </c>
      <c r="B42" s="23"/>
    </row>
    <row r="44" customFormat="false" ht="15" hidden="false" customHeight="false" outlineLevel="0" collapsed="false">
      <c r="A44" s="21" t="s">
        <v>127</v>
      </c>
      <c r="B44" s="22"/>
    </row>
    <row r="45" customFormat="false" ht="45" hidden="false" customHeight="true" outlineLevel="0" collapsed="false">
      <c r="A45" s="23" t="s">
        <v>128</v>
      </c>
      <c r="B45" s="23"/>
    </row>
    <row r="47" customFormat="false" ht="15" hidden="false" customHeight="false" outlineLevel="0" collapsed="false">
      <c r="A47" s="21" t="s">
        <v>129</v>
      </c>
      <c r="B47" s="22"/>
    </row>
    <row r="48" customFormat="false" ht="15" hidden="false" customHeight="true" outlineLevel="0" collapsed="false">
      <c r="A48" s="23" t="s">
        <v>130</v>
      </c>
      <c r="B48" s="23"/>
    </row>
    <row r="49" customFormat="false" ht="30" hidden="false" customHeight="true" outlineLevel="0" collapsed="false">
      <c r="A49" s="23" t="s">
        <v>131</v>
      </c>
      <c r="B49" s="23"/>
    </row>
    <row r="50" customFormat="false" ht="30" hidden="false" customHeight="true" outlineLevel="0" collapsed="false">
      <c r="A50" s="23" t="s">
        <v>132</v>
      </c>
      <c r="B50" s="23"/>
    </row>
    <row r="51" customFormat="false" ht="30" hidden="false" customHeight="true" outlineLevel="0" collapsed="false">
      <c r="A51" s="23" t="s">
        <v>133</v>
      </c>
      <c r="B51" s="23"/>
    </row>
    <row r="52" customFormat="false" ht="30" hidden="false" customHeight="true" outlineLevel="0" collapsed="false">
      <c r="A52" s="23" t="s">
        <v>134</v>
      </c>
      <c r="B52" s="23"/>
    </row>
    <row r="53" customFormat="false" ht="30" hidden="false" customHeight="true" outlineLevel="0" collapsed="false">
      <c r="A53" s="23" t="s">
        <v>135</v>
      </c>
      <c r="B53" s="23"/>
    </row>
    <row r="55" customFormat="false" ht="15" hidden="false" customHeight="false" outlineLevel="0" collapsed="false">
      <c r="A55" s="21" t="s">
        <v>136</v>
      </c>
      <c r="B55" s="22"/>
    </row>
    <row r="56" customFormat="false" ht="30" hidden="false" customHeight="true" outlineLevel="0" collapsed="false">
      <c r="A56" s="23" t="s">
        <v>137</v>
      </c>
      <c r="B56" s="23"/>
    </row>
    <row r="57" customFormat="false" ht="30" hidden="false" customHeight="true" outlineLevel="0" collapsed="false">
      <c r="A57" s="23" t="s">
        <v>138</v>
      </c>
      <c r="B57" s="23"/>
    </row>
    <row r="58" customFormat="false" ht="30" hidden="false" customHeight="true" outlineLevel="0" collapsed="false">
      <c r="A58" s="23" t="s">
        <v>139</v>
      </c>
      <c r="B58" s="23"/>
    </row>
    <row r="59" customFormat="false" ht="15" hidden="false" customHeight="true" outlineLevel="0" collapsed="false">
      <c r="A59" s="23" t="s">
        <v>140</v>
      </c>
      <c r="B59" s="23"/>
    </row>
    <row r="60" customFormat="false" ht="30" hidden="false" customHeight="true" outlineLevel="0" collapsed="false">
      <c r="A60" s="23" t="s">
        <v>141</v>
      </c>
      <c r="B60" s="23"/>
    </row>
    <row r="61" customFormat="false" ht="15" hidden="false" customHeight="true" outlineLevel="0" collapsed="false">
      <c r="A61" s="23" t="s">
        <v>142</v>
      </c>
      <c r="B61" s="23"/>
    </row>
    <row r="62" customFormat="false" ht="30" hidden="false" customHeight="true" outlineLevel="0" collapsed="false">
      <c r="A62" s="23" t="s">
        <v>143</v>
      </c>
      <c r="B62" s="23"/>
    </row>
  </sheetData>
  <mergeCells count="42">
    <mergeCell ref="A5:B5"/>
    <mergeCell ref="A6:B6"/>
    <mergeCell ref="A9:B9"/>
    <mergeCell ref="A10:B10"/>
    <mergeCell ref="A11:B11"/>
    <mergeCell ref="A12:B12"/>
    <mergeCell ref="A13:B13"/>
    <mergeCell ref="A14:B14"/>
    <mergeCell ref="A15:B15"/>
    <mergeCell ref="A18:B18"/>
    <mergeCell ref="A19:B19"/>
    <mergeCell ref="A20:B20"/>
    <mergeCell ref="A21:B21"/>
    <mergeCell ref="A22:B22"/>
    <mergeCell ref="A25:B25"/>
    <mergeCell ref="A26:B26"/>
    <mergeCell ref="A27:B27"/>
    <mergeCell ref="A28:B28"/>
    <mergeCell ref="A29:B29"/>
    <mergeCell ref="A32:B32"/>
    <mergeCell ref="A33:B33"/>
    <mergeCell ref="A34:B34"/>
    <mergeCell ref="A35:B35"/>
    <mergeCell ref="A38:B38"/>
    <mergeCell ref="A39:B39"/>
    <mergeCell ref="A40:B40"/>
    <mergeCell ref="A41:B41"/>
    <mergeCell ref="A42:B42"/>
    <mergeCell ref="A45:B45"/>
    <mergeCell ref="A48:B48"/>
    <mergeCell ref="A49:B49"/>
    <mergeCell ref="A50:B50"/>
    <mergeCell ref="A51:B51"/>
    <mergeCell ref="A52:B52"/>
    <mergeCell ref="A53:B53"/>
    <mergeCell ref="A56:B56"/>
    <mergeCell ref="A57:B57"/>
    <mergeCell ref="A58:B58"/>
    <mergeCell ref="A59:B59"/>
    <mergeCell ref="A60:B60"/>
    <mergeCell ref="A61:B61"/>
    <mergeCell ref="A62:B6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0"/>
    <col collapsed="false" customWidth="true" hidden="false" outlineLevel="0" max="2" min="2" style="0" width="70"/>
    <col collapsed="false" customWidth="true" hidden="false" outlineLevel="0" max="3" min="3" style="0" width="16"/>
    <col collapsed="false" customWidth="true" hidden="false" outlineLevel="0" max="5" min="4" style="0" width="10"/>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144</v>
      </c>
    </row>
    <row r="3" customFormat="false" ht="15" hidden="false" customHeight="false" outlineLevel="0" collapsed="false">
      <c r="A3" s="24" t="s">
        <v>145</v>
      </c>
    </row>
    <row r="5" customFormat="false" ht="15" hidden="false" customHeight="false" outlineLevel="0" collapsed="false">
      <c r="A5" s="25" t="s">
        <v>146</v>
      </c>
      <c r="B5" s="26" t="s">
        <v>147</v>
      </c>
      <c r="C5" s="26" t="s">
        <v>148</v>
      </c>
      <c r="D5" s="26" t="s">
        <v>149</v>
      </c>
      <c r="E5" s="26" t="s">
        <v>150</v>
      </c>
    </row>
    <row r="6" customFormat="false" ht="15" hidden="false" customHeight="false" outlineLevel="0" collapsed="false">
      <c r="A6" s="21" t="s">
        <v>151</v>
      </c>
      <c r="B6" s="22"/>
      <c r="C6" s="22"/>
      <c r="D6" s="22"/>
      <c r="E6" s="22"/>
    </row>
    <row r="7" customFormat="false" ht="15" hidden="false" customHeight="false" outlineLevel="0" collapsed="false">
      <c r="A7" s="27" t="s">
        <v>152</v>
      </c>
      <c r="B7" s="13" t="s">
        <v>153</v>
      </c>
      <c r="C7" s="28" t="n">
        <f aca="false">SUMPRODUCT(ABS(BS!$E$43:$AB$43))</f>
        <v>0.24</v>
      </c>
      <c r="D7" s="29" t="n">
        <v>0.5</v>
      </c>
      <c r="E7" s="30" t="str">
        <f aca="false">IF(ABS(C7)&lt;=D7,"OK","CHECK")</f>
        <v>OK</v>
      </c>
    </row>
    <row r="8" customFormat="false" ht="15" hidden="false" customHeight="false" outlineLevel="0" collapsed="false">
      <c r="A8" s="27" t="s">
        <v>154</v>
      </c>
      <c r="B8" s="13" t="s">
        <v>155</v>
      </c>
      <c r="C8" s="28" t="n">
        <f aca="false">SUMPRODUCT(ABS(CF!$E$67:$AB$67))</f>
        <v>0</v>
      </c>
      <c r="D8" s="29" t="n">
        <v>0.5</v>
      </c>
      <c r="E8" s="30" t="str">
        <f aca="false">IF(ABS(C8)&lt;=D8,"OK","CHECK")</f>
        <v>OK</v>
      </c>
    </row>
    <row r="9" customFormat="false" ht="15" hidden="false" customHeight="false" outlineLevel="0" collapsed="false">
      <c r="A9" s="27" t="s">
        <v>156</v>
      </c>
      <c r="B9" s="13" t="s">
        <v>157</v>
      </c>
      <c r="C9" s="28" t="n">
        <f aca="false">SUMPRODUCT(ABS(CF!$E$43:$AB$43-BS!$E$9:$AB$9))</f>
        <v>0</v>
      </c>
      <c r="D9" s="29" t="n">
        <v>0.5</v>
      </c>
      <c r="E9" s="30" t="str">
        <f aca="false">IF(ABS(C9)&lt;=D9,"OK","CHECK")</f>
        <v>OK</v>
      </c>
    </row>
    <row r="10" customFormat="false" ht="15" hidden="false" customHeight="false" outlineLevel="0" collapsed="false">
      <c r="A10" s="27" t="s">
        <v>158</v>
      </c>
      <c r="B10" s="13" t="s">
        <v>159</v>
      </c>
      <c r="C10" s="28" t="n">
        <f aca="false">BS!AB40-(Inputs_Actuals!$C$145+SUM(BS!$E$38:$AB$38)-SUM(BS!$E$39:$AB$39))</f>
        <v>0</v>
      </c>
      <c r="D10" s="29" t="n">
        <v>0.5</v>
      </c>
      <c r="E10" s="30" t="str">
        <f aca="false">IF(ABS(C10)&lt;=D10,"OK","CHECK")</f>
        <v>OK</v>
      </c>
    </row>
    <row r="11" customFormat="false" ht="15" hidden="false" customHeight="false" outlineLevel="0" collapsed="false">
      <c r="A11" s="27" t="s">
        <v>160</v>
      </c>
      <c r="B11" s="13" t="s">
        <v>161</v>
      </c>
      <c r="C11" s="28" t="n">
        <f aca="false">SUMPRODUCT(ABS(CF!$E$13:$AB$13-PL!$E$53:$AB$53))</f>
        <v>0</v>
      </c>
      <c r="D11" s="29" t="n">
        <v>0.5</v>
      </c>
      <c r="E11" s="30" t="str">
        <f aca="false">IF(ABS(C11)&lt;=D11,"OK","CHECK")</f>
        <v>OK</v>
      </c>
    </row>
    <row r="12" customFormat="false" ht="15" hidden="false" customHeight="false" outlineLevel="0" collapsed="false">
      <c r="A12" s="27" t="s">
        <v>162</v>
      </c>
      <c r="B12" s="13" t="s">
        <v>163</v>
      </c>
      <c r="C12" s="28" t="n">
        <f aca="false">(Inputs_Actuals!$C$120+(SUM(Project_Register!$AF$7:$AF$21)+Inputs_Actuals!$C$121+Inputs_Actuals!$C$123)+Inputs_Actuals!$C$122+(SUM(Project_Register!$AW$7:$AW$21)+Inputs_Actuals!$C$126+Inputs_Actuals!$C$127)+(SUMPRODUCT((Project_Register!$AD$7:$AD$21-Project_Register!$AE$7:$AE$21&gt;0)*(Project_Register!$AD$7:$AD$21-Project_Register!$AE$7:$AE$21))+MAX(0,Inputs_Actuals!$C$124)+MAX(0,Inputs_Actuals!$C$125))+Inputs_Actuals!$C$128+Inputs_Actuals!$C$129-Inputs_Actuals!$C$130+Inputs_Actuals!$C$131-Inputs_Actuals!$C$132+Inputs_Actuals!$C$133-Inputs_Actuals!$C$134)-(Inputs_Actuals!$C$135+SUM(Project_Register!$AX$7:$AX$21)+Inputs_Actuals!$C$136+Inputs_Actuals!$C$137+Inputs_Actuals!$C$138+Inputs_Actuals!$C$139+Inputs_Actuals!$C$140+Inputs_Actuals!$C$141+(SUMPRODUCT((Project_Register!$AE$7:$AE$21-Project_Register!$AD$7:$AD$21&gt;0)*(Project_Register!$AE$7:$AE$21-Project_Register!$AD$7:$AD$21))+MAX(0,-Inputs_Actuals!$C$124)+MAX(0,-Inputs_Actuals!$C$125))+Inputs_Actuals!$C$142+Inputs_Actuals!$C$143)-Inputs_Actuals!$C$144-Inputs_Actuals!$C$145</f>
        <v>0.00650000059977174</v>
      </c>
      <c r="D12" s="29" t="n">
        <v>0.5</v>
      </c>
      <c r="E12" s="30" t="str">
        <f aca="false">IF(ABS(C12)&lt;=D12,"OK","CHECK")</f>
        <v>OK</v>
      </c>
    </row>
    <row r="13" customFormat="false" ht="15" hidden="false" customHeight="false" outlineLevel="0" collapsed="false">
      <c r="A13" s="21" t="s">
        <v>164</v>
      </c>
      <c r="B13" s="22"/>
      <c r="C13" s="22"/>
      <c r="D13" s="22"/>
      <c r="E13" s="22"/>
    </row>
    <row r="14" customFormat="false" ht="15" hidden="false" customHeight="false" outlineLevel="0" collapsed="false">
      <c r="A14" s="27" t="s">
        <v>165</v>
      </c>
      <c r="B14" s="13" t="s">
        <v>166</v>
      </c>
      <c r="C14" s="28" t="n">
        <f aca="false">SUMPRODUCT(ABS(WIP!$E$49:$AB$49))+SUMPRODUCT(ABS(WIP!$E$92:$AB$92))+SUMPRODUCT(ABS(WIP!$E$135:$AB$135))+SUMPRODUCT(ABS(WIP!$E$178:$AB$178))+SUMPRODUCT(ABS(WIP!$E$221:$AB$221))+SUMPRODUCT(ABS(WIP!$E$264:$AB$264))</f>
        <v>0</v>
      </c>
      <c r="D14" s="29" t="n">
        <v>0.5</v>
      </c>
      <c r="E14" s="30" t="str">
        <f aca="false">IF(ABS(C14)&lt;=D14,"OK","CHECK")</f>
        <v>OK</v>
      </c>
    </row>
    <row r="15" customFormat="false" ht="15" hidden="false" customHeight="false" outlineLevel="0" collapsed="false">
      <c r="A15" s="27" t="s">
        <v>167</v>
      </c>
      <c r="B15" s="13" t="s">
        <v>168</v>
      </c>
      <c r="C15" s="28" t="n">
        <f aca="false">IF(Project_Register!$AK$7&lt;=24,ABS(SUMIFS(WIP!$E$17:$AB$17,Assumptions!$E$97:$AB$97,"F")-(Project_Register!$AT$7-Project_Register!$AQ$7)),0)+IF(Project_Register!$AK$8&lt;=24,ABS(SUMIFS(WIP!$E$60:$AB$60,Assumptions!$E$97:$AB$97,"F")-(Project_Register!$AT$8-Project_Register!$AQ$8)),0)+IF(Project_Register!$AK$9&lt;=24,ABS(SUMIFS(WIP!$E$103:$AB$103,Assumptions!$E$97:$AB$97,"F")-(Project_Register!$AT$9-Project_Register!$AQ$9)),0)+IF(Project_Register!$AK$10&lt;=24,ABS(SUMIFS(WIP!$E$146:$AB$146,Assumptions!$E$97:$AB$97,"F")-(Project_Register!$AT$10-Project_Register!$AQ$10)),0)+IF(Project_Register!$AK$11&lt;=24,ABS(SUMIFS(WIP!$E$189:$AB$189,Assumptions!$E$97:$AB$97,"F")-(Project_Register!$AT$11-Project_Register!$AQ$11)),0)+IF(Project_Register!$AK$12&lt;=24,ABS(SUMIFS(WIP!$E$232:$AB$232,Assumptions!$E$97:$AB$97,"F")-(Project_Register!$AT$12-Project_Register!$AQ$12)),0)+IF(Project_Register!$AK$13&lt;=24,ABS(SUMIFS(WIP!$E$275:$AB$275,Assumptions!$E$97:$AB$97,"F")-(Project_Register!$AT$13-Project_Register!$AQ$13)),0)+IF(Project_Register!$AK$14&lt;=24,ABS(SUMIFS(WIP!$E$317:$AB$317,Assumptions!$E$97:$AB$97,"F")-(Project_Register!$AT$14-Project_Register!$AQ$14)),0)+IF(Project_Register!$AK$15&lt;=24,ABS(SUMIFS(WIP!$E$359:$AB$359,Assumptions!$E$97:$AB$97,"F")-(Project_Register!$AT$15-Project_Register!$AQ$15)),0)+IF(Project_Register!$AK$16&lt;=24,ABS(SUMIFS(WIP!$E$401:$AB$401,Assumptions!$E$97:$AB$97,"F")-(Project_Register!$AT$16-Project_Register!$AQ$16)),0)+IF(Project_Register!$AK$17&lt;=24,ABS(SUMIFS(WIP!$E$443:$AB$443,Assumptions!$E$97:$AB$97,"F")-(Project_Register!$AT$17-Project_Register!$AQ$17)),0)+IF(Project_Register!$AK$18&lt;=24,ABS(SUMIFS(WIP!$E$485:$AB$485,Assumptions!$E$97:$AB$97,"F")-(Project_Register!$AT$18-Project_Register!$AQ$18)),0)+IF(Project_Register!$AK$19&lt;=24,ABS(SUMIFS(WIP!$E$527:$AB$527,Assumptions!$E$97:$AB$97,"F")-(Project_Register!$AT$19-Project_Register!$AQ$19)),0)+IF(Project_Register!$AK$20&lt;=24,ABS(SUMIFS(WIP!$E$569:$AB$569,Assumptions!$E$97:$AB$97,"F")-(Project_Register!$AT$20-Project_Register!$AQ$20)),0)+IF(Project_Register!$AK$21&lt;=24,ABS(SUMIFS(WIP!$E$611:$AB$611,Assumptions!$E$97:$AB$97,"F")-(Project_Register!$AT$21-Project_Register!$AQ$21)),0)</f>
        <v>0</v>
      </c>
      <c r="D15" s="29" t="n">
        <v>0.5</v>
      </c>
      <c r="E15" s="30" t="str">
        <f aca="false">IF(ABS(C15)&lt;=D15,"OK","CHECK")</f>
        <v>OK</v>
      </c>
    </row>
    <row r="16" customFormat="false" ht="15" hidden="false" customHeight="false" outlineLevel="0" collapsed="false">
      <c r="A16" s="27" t="s">
        <v>169</v>
      </c>
      <c r="B16" s="13" t="s">
        <v>170</v>
      </c>
      <c r="C16" s="28" t="n">
        <f aca="false">(INDEX(WIP!$E$24:$AB$24,Assumptions!$C$10)-Project_Register!$AO$7+INDEX(WIP!$E$67:$AB$67,Assumptions!$C$10)-Project_Register!$AO$8+INDEX(WIP!$E$110:$AB$110,Assumptions!$C$10)-Project_Register!$AO$9+INDEX(WIP!$E$153:$AB$153,Assumptions!$C$10)-Project_Register!$AO$10+INDEX(WIP!$E$196:$AB$196,Assumptions!$C$10)-Project_Register!$AO$11+INDEX(WIP!$E$239:$AB$239,Assumptions!$C$10)-Project_Register!$AO$12+INDEX(WIP!$E$282:$AB$282,Assumptions!$C$10)-Project_Register!$AO$13+INDEX(WIP!$E$324:$AB$324,Assumptions!$C$10)-Project_Register!$AO$14+INDEX(WIP!$E$366:$AB$366,Assumptions!$C$10)-Project_Register!$AO$15+INDEX(WIP!$E$408:$AB$408,Assumptions!$C$10)-Project_Register!$AO$16+INDEX(WIP!$E$450:$AB$450,Assumptions!$C$10)-Project_Register!$AO$17+INDEX(WIP!$E$492:$AB$492,Assumptions!$C$10)-Project_Register!$AO$18+INDEX(WIP!$E$534:$AB$534,Assumptions!$C$10)-Project_Register!$AO$19+INDEX(WIP!$E$576:$AB$576,Assumptions!$C$10)-Project_Register!$AO$20+INDEX(WIP!$E$618:$AB$618,Assumptions!$C$10)-Project_Register!$AO$21)-Variations!I22</f>
        <v>0</v>
      </c>
      <c r="D16" s="29" t="n">
        <v>0.5</v>
      </c>
      <c r="E16" s="30" t="str">
        <f aca="false">IF(ABS(C16)&lt;=D16,"OK","CHECK")</f>
        <v>OK</v>
      </c>
    </row>
    <row r="17" customFormat="false" ht="15" hidden="false" customHeight="false" outlineLevel="0" collapsed="false">
      <c r="A17" s="27" t="s">
        <v>171</v>
      </c>
      <c r="B17" s="13" t="s">
        <v>172</v>
      </c>
      <c r="C17" s="28" t="n">
        <f aca="false">MAX(0,MAX(MAX(WIP!$E$20:$AB$20),MAX(WIP!$E$63:$AB$63),MAX(WIP!$E$106:$AB$106),MAX(WIP!$E$149:$AB$149),MAX(WIP!$E$192:$AB$192),MAX(WIP!$E$235:$AB$235),MAX(WIP!$E$278:$AB$278),MAX(WIP!$E$320:$AB$320),MAX(WIP!$E$362:$AB$362),MAX(WIP!$E$404:$AB$404),MAX(WIP!$E$446:$AB$446),MAX(WIP!$E$488:$AB$488),MAX(WIP!$E$530:$AB$530),MAX(WIP!$E$572:$AB$572),MAX(WIP!$E$614:$AB$614))-1)+MAX(0,-MIN(MIN(WIP!$E$20:$AB$20),MIN(WIP!$E$63:$AB$63),MIN(WIP!$E$106:$AB$106),MIN(WIP!$E$149:$AB$149),MIN(WIP!$E$192:$AB$192),MIN(WIP!$E$235:$AB$235),MIN(WIP!$E$278:$AB$278),MIN(WIP!$E$320:$AB$320),MIN(WIP!$E$362:$AB$362),MIN(WIP!$E$404:$AB$404),MIN(WIP!$E$446:$AB$446),MIN(WIP!$E$488:$AB$488),MIN(WIP!$E$530:$AB$530),MIN(WIP!$E$572:$AB$572),MIN(WIP!$E$614:$AB$614)))</f>
        <v>0</v>
      </c>
      <c r="D17" s="29" t="n">
        <v>0.0001</v>
      </c>
      <c r="E17" s="30" t="str">
        <f aca="false">IF(ABS(C17)&lt;=D17,"OK","CHECK")</f>
        <v>OK</v>
      </c>
    </row>
    <row r="18" customFormat="false" ht="15" hidden="false" customHeight="false" outlineLevel="0" collapsed="false">
      <c r="A18" s="27" t="s">
        <v>173</v>
      </c>
      <c r="B18" s="13" t="s">
        <v>174</v>
      </c>
      <c r="C18" s="28" t="n">
        <f aca="false">ROUND(Assumptions!$C$46+Assumptions!$C$47+Assumptions!$C$48-1,6)</f>
        <v>0</v>
      </c>
      <c r="D18" s="29" t="n">
        <v>1E-006</v>
      </c>
      <c r="E18" s="30" t="str">
        <f aca="false">IF(ABS(C18)&lt;=D18,"OK","CHECK")</f>
        <v>OK</v>
      </c>
    </row>
    <row r="19" customFormat="false" ht="15" hidden="false" customHeight="false" outlineLevel="0" collapsed="false">
      <c r="A19" s="27" t="s">
        <v>175</v>
      </c>
      <c r="B19" s="13"/>
      <c r="C19" s="28" t="n">
        <f aca="false">ROUND(Assumptions!$C$49+Assumptions!$C$50+Assumptions!$C$51+Assumptions!$C$52+Assumptions!$C$53-1,6)</f>
        <v>0</v>
      </c>
      <c r="D19" s="29" t="n">
        <v>1E-006</v>
      </c>
      <c r="E19" s="30" t="str">
        <f aca="false">IF(ABS(C19)&lt;=D19,"OK","CHECK")</f>
        <v>OK</v>
      </c>
    </row>
    <row r="20" customFormat="false" ht="15" hidden="false" customHeight="false" outlineLevel="0" collapsed="false">
      <c r="A20" s="27" t="s">
        <v>176</v>
      </c>
      <c r="B20" s="13" t="s">
        <v>177</v>
      </c>
      <c r="C20" s="28" t="n">
        <f aca="false">ROUND(Assumptions!$C$54+Assumptions!$C$55+Assumptions!$C$56-1,6)</f>
        <v>0</v>
      </c>
      <c r="D20" s="29" t="n">
        <v>1E-006</v>
      </c>
      <c r="E20" s="30" t="str">
        <f aca="false">IF(ABS(C20)&lt;=D20,"OK","CHECK")</f>
        <v>OK</v>
      </c>
    </row>
    <row r="21" customFormat="false" ht="15" hidden="false" customHeight="false" outlineLevel="0" collapsed="false">
      <c r="A21" s="27" t="s">
        <v>178</v>
      </c>
      <c r="B21" s="13" t="s">
        <v>179</v>
      </c>
      <c r="C21" s="28" t="n">
        <f aca="false">ROUND(Assumptions!$C$58+Assumptions!$C$59+Assumptions!$C$60-1,6)</f>
        <v>0</v>
      </c>
      <c r="D21" s="29" t="n">
        <v>1E-006</v>
      </c>
      <c r="E21" s="30" t="str">
        <f aca="false">IF(ABS(C21)&lt;=D21,"OK","CHECK")</f>
        <v>OK</v>
      </c>
    </row>
    <row r="22" customFormat="false" ht="15" hidden="false" customHeight="false" outlineLevel="0" collapsed="false">
      <c r="A22" s="27" t="s">
        <v>180</v>
      </c>
      <c r="B22" s="13"/>
      <c r="C22" s="28" t="n">
        <f aca="false">ROUND(Assumptions!$C$62+Assumptions!$C$63+Assumptions!$C$64+Assumptions!$C$65+Assumptions!$C$66-1,6)+ROUND(Assumptions!$C$67+Assumptions!$C$68+Assumptions!$C$69+Assumptions!$C$70+Assumptions!$C$71-1,6)</f>
        <v>0</v>
      </c>
      <c r="D22" s="29" t="n">
        <v>1E-006</v>
      </c>
      <c r="E22" s="30" t="str">
        <f aca="false">IF(ABS(C22)&lt;=D22,"OK","CHECK")</f>
        <v>OK</v>
      </c>
    </row>
    <row r="23" customFormat="false" ht="15" hidden="false" customHeight="false" outlineLevel="0" collapsed="false">
      <c r="A23" s="27" t="s">
        <v>181</v>
      </c>
      <c r="B23" s="13" t="s">
        <v>182</v>
      </c>
      <c r="C23" s="28" t="n">
        <f aca="false">MIN(Project_Register!$AB$7:$AB$21)</f>
        <v>0.0499999999999999</v>
      </c>
      <c r="D23" s="29" t="n">
        <v>0</v>
      </c>
      <c r="E23" s="30" t="str">
        <f aca="false">IF(C23&gt;=-D23,"OK","CHECK")</f>
        <v>OK</v>
      </c>
    </row>
    <row r="24" customFormat="false" ht="15" hidden="false" customHeight="false" outlineLevel="0" collapsed="false">
      <c r="A24" s="27" t="s">
        <v>183</v>
      </c>
      <c r="B24" s="13" t="s">
        <v>184</v>
      </c>
      <c r="C24" s="28" t="n">
        <f aca="false">MIN(Commitments!G28:G33)</f>
        <v>94307.6</v>
      </c>
      <c r="D24" s="29" t="n">
        <v>0</v>
      </c>
      <c r="E24" s="30" t="str">
        <f aca="false">IF(C24&gt;=-D24,"OK","CHECK")</f>
        <v>OK</v>
      </c>
    </row>
    <row r="25" customFormat="false" ht="15" hidden="false" customHeight="false" outlineLevel="0" collapsed="false">
      <c r="A25" s="27" t="s">
        <v>185</v>
      </c>
      <c r="B25" s="13" t="s">
        <v>186</v>
      </c>
      <c r="C25" s="28" t="n">
        <f aca="false">Project_Profitability!$O$25</f>
        <v>0</v>
      </c>
      <c r="D25" s="29" t="n">
        <v>0.5</v>
      </c>
      <c r="E25" s="30" t="str">
        <f aca="false">IF(ABS(C25)&lt;=D25,"OK","CHECK")</f>
        <v>OK</v>
      </c>
    </row>
    <row r="26" customFormat="false" ht="15" hidden="false" customHeight="false" outlineLevel="0" collapsed="false">
      <c r="A26" s="21" t="s">
        <v>187</v>
      </c>
      <c r="B26" s="22"/>
      <c r="C26" s="22"/>
      <c r="D26" s="22"/>
      <c r="E26" s="22"/>
    </row>
    <row r="27" customFormat="false" ht="15" hidden="false" customHeight="false" outlineLevel="0" collapsed="false">
      <c r="A27" s="27" t="s">
        <v>188</v>
      </c>
      <c r="B27" s="13" t="s">
        <v>189</v>
      </c>
      <c r="C27" s="28" t="n">
        <f aca="false">AR_Aging!H24</f>
        <v>0</v>
      </c>
      <c r="D27" s="29" t="n">
        <v>0.5</v>
      </c>
      <c r="E27" s="30" t="str">
        <f aca="false">IF(ABS(C27)&lt;=D27,"OK","CHECK")</f>
        <v>OK</v>
      </c>
    </row>
    <row r="28" customFormat="false" ht="15" hidden="false" customHeight="false" outlineLevel="0" collapsed="false">
      <c r="A28" s="27" t="s">
        <v>190</v>
      </c>
      <c r="B28" s="13" t="s">
        <v>189</v>
      </c>
      <c r="C28" s="28" t="n">
        <f aca="false">AR_Aging!H25</f>
        <v>-0</v>
      </c>
      <c r="D28" s="29" t="n">
        <v>0.5</v>
      </c>
      <c r="E28" s="30" t="str">
        <f aca="false">IF(ABS(C28)&lt;=D28,"OK","CHECK")</f>
        <v>OK</v>
      </c>
    </row>
    <row r="29" customFormat="false" ht="15" hidden="false" customHeight="false" outlineLevel="0" collapsed="false">
      <c r="A29" s="27" t="s">
        <v>191</v>
      </c>
      <c r="B29" s="13" t="s">
        <v>189</v>
      </c>
      <c r="C29" s="28" t="n">
        <f aca="false">AR_Aging!H26</f>
        <v>0</v>
      </c>
      <c r="D29" s="29" t="n">
        <v>0.5</v>
      </c>
      <c r="E29" s="30" t="str">
        <f aca="false">IF(ABS(C29)&lt;=D29,"OK","CHECK")</f>
        <v>OK</v>
      </c>
    </row>
    <row r="30" customFormat="false" ht="15" hidden="false" customHeight="false" outlineLevel="0" collapsed="false">
      <c r="A30" s="27" t="s">
        <v>192</v>
      </c>
      <c r="B30" s="13" t="s">
        <v>189</v>
      </c>
      <c r="C30" s="28" t="n">
        <f aca="false">AR_Aging!H27</f>
        <v>0</v>
      </c>
      <c r="D30" s="29" t="n">
        <v>0.5</v>
      </c>
      <c r="E30" s="30" t="str">
        <f aca="false">IF(ABS(C30)&lt;=D30,"OK","CHECK")</f>
        <v>OK</v>
      </c>
    </row>
    <row r="31" customFormat="false" ht="15" hidden="false" customHeight="false" outlineLevel="0" collapsed="false">
      <c r="A31" s="27" t="s">
        <v>193</v>
      </c>
      <c r="B31" s="13" t="s">
        <v>189</v>
      </c>
      <c r="C31" s="28" t="n">
        <f aca="false">AR_Aging!H28</f>
        <v>0</v>
      </c>
      <c r="D31" s="29" t="n">
        <v>0.5</v>
      </c>
      <c r="E31" s="30" t="str">
        <f aca="false">IF(ABS(C31)&lt;=D31,"OK","CHECK")</f>
        <v>OK</v>
      </c>
    </row>
    <row r="32" customFormat="false" ht="15" hidden="false" customHeight="false" outlineLevel="0" collapsed="false">
      <c r="A32" s="27" t="s">
        <v>194</v>
      </c>
      <c r="B32" s="13"/>
      <c r="C32" s="28" t="n">
        <f aca="false">AP_Aging!H31</f>
        <v>-0</v>
      </c>
      <c r="D32" s="29" t="n">
        <v>0.5</v>
      </c>
      <c r="E32" s="30" t="str">
        <f aca="false">IF(ABS(C32)&lt;=D32,"OK","CHECK")</f>
        <v>OK</v>
      </c>
    </row>
    <row r="33" customFormat="false" ht="15" hidden="false" customHeight="false" outlineLevel="0" collapsed="false">
      <c r="A33" s="27" t="s">
        <v>195</v>
      </c>
      <c r="B33" s="13"/>
      <c r="C33" s="28" t="n">
        <f aca="false">AP_Aging!H32</f>
        <v>0</v>
      </c>
      <c r="D33" s="29" t="n">
        <v>0.5</v>
      </c>
      <c r="E33" s="30" t="str">
        <f aca="false">IF(ABS(C33)&lt;=D33,"OK","CHECK")</f>
        <v>OK</v>
      </c>
    </row>
    <row r="34" customFormat="false" ht="15" hidden="false" customHeight="false" outlineLevel="0" collapsed="false">
      <c r="A34" s="27" t="s">
        <v>196</v>
      </c>
      <c r="B34" s="13"/>
      <c r="C34" s="28" t="n">
        <f aca="false">AP_Aging!H33</f>
        <v>0</v>
      </c>
      <c r="D34" s="29" t="n">
        <v>0.5</v>
      </c>
      <c r="E34" s="30" t="str">
        <f aca="false">IF(ABS(C34)&lt;=D34,"OK","CHECK")</f>
        <v>OK</v>
      </c>
    </row>
    <row r="35" customFormat="false" ht="15" hidden="false" customHeight="false" outlineLevel="0" collapsed="false">
      <c r="A35" s="27" t="s">
        <v>197</v>
      </c>
      <c r="B35" s="13"/>
      <c r="C35" s="28" t="n">
        <f aca="false">AP_Aging!H34</f>
        <v>0</v>
      </c>
      <c r="D35" s="29" t="n">
        <v>0.5</v>
      </c>
      <c r="E35" s="30" t="str">
        <f aca="false">IF(ABS(C35)&lt;=D35,"OK","CHECK")</f>
        <v>OK</v>
      </c>
    </row>
    <row r="36" customFormat="false" ht="15" hidden="false" customHeight="false" outlineLevel="0" collapsed="false">
      <c r="A36" s="21" t="s">
        <v>198</v>
      </c>
      <c r="B36" s="22"/>
      <c r="C36" s="22"/>
      <c r="D36" s="22"/>
      <c r="E36" s="22"/>
    </row>
    <row r="37" customFormat="false" ht="15" hidden="false" customHeight="false" outlineLevel="0" collapsed="false">
      <c r="A37" s="27" t="s">
        <v>199</v>
      </c>
      <c r="B37" s="13" t="s">
        <v>200</v>
      </c>
      <c r="C37" s="28" t="n">
        <f aca="false">Cash_13W!C79</f>
        <v>0</v>
      </c>
      <c r="D37" s="29" t="n">
        <v>0.5</v>
      </c>
      <c r="E37" s="30" t="str">
        <f aca="false">IF(ABS(C37)&lt;=D37,"OK","CHECK")</f>
        <v>OK</v>
      </c>
    </row>
    <row r="38" customFormat="false" ht="15" hidden="false" customHeight="false" outlineLevel="0" collapsed="false">
      <c r="A38" s="27" t="s">
        <v>201</v>
      </c>
      <c r="B38" s="13" t="s">
        <v>202</v>
      </c>
      <c r="C38" s="28" t="n">
        <f aca="false">Scenarios!G33</f>
        <v>0</v>
      </c>
      <c r="D38" s="29" t="n">
        <v>0.5</v>
      </c>
      <c r="E38" s="30" t="str">
        <f aca="false">IF(ABS(C38)&lt;=D38,"OK","CHECK")</f>
        <v>OK</v>
      </c>
    </row>
    <row r="39" customFormat="false" ht="15" hidden="false" customHeight="false" outlineLevel="0" collapsed="false">
      <c r="A39" s="27" t="s">
        <v>203</v>
      </c>
      <c r="B39" s="13" t="s">
        <v>204</v>
      </c>
      <c r="C39" s="28" t="n">
        <f aca="false">BvA!I56</f>
        <v>0</v>
      </c>
      <c r="D39" s="29" t="n">
        <v>0.5</v>
      </c>
      <c r="E39" s="30" t="str">
        <f aca="false">IF(ABS(C39)&lt;=D39,"OK","CHECK")</f>
        <v>OK</v>
      </c>
    </row>
    <row r="40" customFormat="false" ht="15" hidden="false" customHeight="false" outlineLevel="0" collapsed="false">
      <c r="A40" s="21" t="s">
        <v>205</v>
      </c>
      <c r="B40" s="22"/>
      <c r="C40" s="22"/>
      <c r="D40" s="22"/>
      <c r="E40" s="22"/>
    </row>
    <row r="41" customFormat="false" ht="15" hidden="false" customHeight="false" outlineLevel="0" collapsed="false">
      <c r="A41" s="27" t="s">
        <v>206</v>
      </c>
      <c r="B41" s="13"/>
      <c r="C41" s="28" t="n">
        <f aca="false">MIN(BS!$E$10:$AB$10)</f>
        <v>277981.8962375</v>
      </c>
      <c r="D41" s="29" t="n">
        <v>0</v>
      </c>
      <c r="E41" s="30" t="str">
        <f aca="false">IF(C41&gt;=-D41,"OK","CHECK")</f>
        <v>OK</v>
      </c>
    </row>
    <row r="42" customFormat="false" ht="15" hidden="false" customHeight="false" outlineLevel="0" collapsed="false">
      <c r="A42" s="27" t="s">
        <v>207</v>
      </c>
      <c r="B42" s="13"/>
      <c r="C42" s="28" t="n">
        <f aca="false">MIN(BS!$E$11:$AB$11)</f>
        <v>108387.05</v>
      </c>
      <c r="D42" s="29" t="n">
        <v>0</v>
      </c>
      <c r="E42" s="30" t="str">
        <f aca="false">IF(C42&gt;=-D42,"OK","CHECK")</f>
        <v>OK</v>
      </c>
    </row>
    <row r="43" customFormat="false" ht="15" hidden="false" customHeight="false" outlineLevel="0" collapsed="false">
      <c r="A43" s="27" t="s">
        <v>208</v>
      </c>
      <c r="B43" s="13"/>
      <c r="C43" s="28" t="n">
        <f aca="false">MIN(BS!$E$12:$AB$12)</f>
        <v>116889.7435</v>
      </c>
      <c r="D43" s="29" t="n">
        <v>0</v>
      </c>
      <c r="E43" s="30" t="str">
        <f aca="false">IF(C43&gt;=-D43,"OK","CHECK")</f>
        <v>OK</v>
      </c>
    </row>
    <row r="44" customFormat="false" ht="15" hidden="false" customHeight="false" outlineLevel="0" collapsed="false">
      <c r="A44" s="27" t="s">
        <v>209</v>
      </c>
      <c r="B44" s="13"/>
      <c r="C44" s="28" t="n">
        <f aca="false">MIN(Payables!$E$33:$AB$33)</f>
        <v>430174.3928</v>
      </c>
      <c r="D44" s="29" t="n">
        <v>0</v>
      </c>
      <c r="E44" s="30" t="str">
        <f aca="false">IF(C44&gt;=-D44,"OK","CHECK")</f>
        <v>OK</v>
      </c>
    </row>
    <row r="45" customFormat="false" ht="15" hidden="false" customHeight="false" outlineLevel="0" collapsed="false">
      <c r="A45" s="27" t="s">
        <v>210</v>
      </c>
      <c r="B45" s="13"/>
      <c r="C45" s="28" t="n">
        <f aca="false">MIN(Fixed_Assets!$E$35:$AB$35)</f>
        <v>168589.916666667</v>
      </c>
      <c r="D45" s="29" t="n">
        <v>0</v>
      </c>
      <c r="E45" s="30" t="str">
        <f aca="false">IF(C45&gt;=-D45,"OK","CHECK")</f>
        <v>OK</v>
      </c>
    </row>
    <row r="46" customFormat="false" ht="15" hidden="false" customHeight="false" outlineLevel="0" collapsed="false">
      <c r="A46" s="27" t="s">
        <v>211</v>
      </c>
      <c r="B46" s="13"/>
      <c r="C46" s="28" t="n">
        <f aca="false">MIN(Debt!$E$18:$AB$18)</f>
        <v>112831.25</v>
      </c>
      <c r="D46" s="29" t="n">
        <v>0</v>
      </c>
      <c r="E46" s="30" t="str">
        <f aca="false">IF(C46&gt;=-D46,"OK","CHECK")</f>
        <v>OK</v>
      </c>
    </row>
    <row r="47" customFormat="false" ht="15" hidden="false" customHeight="false" outlineLevel="0" collapsed="false">
      <c r="A47" s="27" t="s">
        <v>212</v>
      </c>
      <c r="B47" s="13"/>
      <c r="C47" s="28" t="n">
        <f aca="false">COUNTIF(Assumptions!$E$97:$AB$97,"A")-Assumptions!$C$10</f>
        <v>0</v>
      </c>
      <c r="D47" s="29" t="n">
        <v>0.5</v>
      </c>
      <c r="E47" s="30" t="str">
        <f aca="false">IF(ABS(C47)&lt;=D47,"OK","CHECK")</f>
        <v>OK</v>
      </c>
    </row>
    <row r="49" customFormat="false" ht="15" hidden="false" customHeight="false" outlineLevel="0" collapsed="false">
      <c r="A49" s="31" t="s">
        <v>213</v>
      </c>
      <c r="B49" s="32"/>
      <c r="C49" s="32"/>
      <c r="D49" s="32"/>
      <c r="E49" s="33" t="str">
        <f aca="false">IF(COUNTIF(E6:E47,"CHECK")=0,"OK","CHECK")</f>
        <v>OK</v>
      </c>
    </row>
    <row r="51" customFormat="false" ht="15" hidden="false" customHeight="false" outlineLevel="0" collapsed="false">
      <c r="A51" s="21" t="s">
        <v>214</v>
      </c>
      <c r="B51" s="22"/>
      <c r="C51" s="22"/>
      <c r="D51" s="22"/>
      <c r="E51" s="22"/>
    </row>
    <row r="52" customFormat="false" ht="15" hidden="false" customHeight="false" outlineLevel="0" collapsed="false">
      <c r="A52" s="0" t="s">
        <v>215</v>
      </c>
      <c r="B52" s="13" t="s">
        <v>216</v>
      </c>
      <c r="C52" s="34" t="n">
        <f aca="false">MIN(BS!M9:AB9)</f>
        <v>418470.368426663</v>
      </c>
    </row>
    <row r="53" customFormat="false" ht="15" hidden="false" customHeight="false" outlineLevel="0" collapsed="false">
      <c r="A53" s="0" t="s">
        <v>217</v>
      </c>
      <c r="B53" s="13"/>
      <c r="C53" s="34" t="n">
        <f aca="false">Cash_13W!C67</f>
        <v>230046.39174337</v>
      </c>
    </row>
    <row r="54" customFormat="false" ht="15" hidden="false" customHeight="false" outlineLevel="0" collapsed="false">
      <c r="A54" s="0" t="s">
        <v>218</v>
      </c>
      <c r="B54" s="13" t="s">
        <v>219</v>
      </c>
      <c r="C54" s="35" t="n">
        <f aca="false">MAX(Debt!$E$28:$AB$28)</f>
        <v>0.882666666666667</v>
      </c>
    </row>
    <row r="55" customFormat="false" ht="15" hidden="false" customHeight="false" outlineLevel="0" collapsed="false">
      <c r="A55" s="0" t="s">
        <v>220</v>
      </c>
      <c r="B55" s="13" t="s">
        <v>221</v>
      </c>
      <c r="C55" s="35" t="n">
        <f aca="false">MIN(Resources!M33:AB33)</f>
        <v>0.616163846013596</v>
      </c>
    </row>
    <row r="56" customFormat="false" ht="15" hidden="false" customHeight="false" outlineLevel="0" collapsed="false">
      <c r="A56" s="0" t="s">
        <v>222</v>
      </c>
      <c r="B56" s="13" t="s">
        <v>223</v>
      </c>
      <c r="C56" s="34" t="n">
        <f aca="false">MAX(WIP!$E$706:$AB$706)</f>
        <v>0</v>
      </c>
    </row>
    <row r="57" customFormat="false" ht="15" hidden="false" customHeight="false" outlineLevel="0" collapsed="false">
      <c r="A57" s="0" t="s">
        <v>224</v>
      </c>
      <c r="B57" s="13" t="s">
        <v>225</v>
      </c>
      <c r="C57" s="34" t="n">
        <f aca="false">INDEX(KPIs!$E$31:$AB$31,Assumptions!$C$10)</f>
        <v>168400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20"/>
    <col collapsed="false" customWidth="true" hidden="false" outlineLevel="0" max="5" min="3" style="0" width="13"/>
    <col collapsed="false" customWidth="true" hidden="false" outlineLevel="0" max="6" min="6" style="0" width="44"/>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B2" s="20" t="s">
        <v>226</v>
      </c>
    </row>
    <row r="3" customFormat="false" ht="15" hidden="false" customHeight="false" outlineLevel="0" collapsed="false">
      <c r="B3" s="24" t="str">
        <f aca="false">"Reporting month: "&amp;TEXT(Assumptions!$C$9,"mmm-yy")&amp;" actuals, "&amp;Assumptions!$C$12&amp;" scenario for the outlook. Amounts in EUR. Every figure is a live link to the model; the narrative recalculates with the inputs."</f>
        <v>Reporting month: Aug-26 actuals, Base scenario for the outlook. Amounts in EUR. Every figure is a live link to the model; the narrative recalculates with the inputs.</v>
      </c>
    </row>
    <row r="4" customFormat="false" ht="15" hidden="false" customHeight="false" outlineLevel="0" collapsed="false">
      <c r="B4" s="36" t="s">
        <v>227</v>
      </c>
    </row>
    <row r="6" customFormat="false" ht="15" hidden="false" customHeight="false" outlineLevel="0" collapsed="false">
      <c r="B6" s="37" t="s">
        <v>228</v>
      </c>
      <c r="C6" s="38"/>
      <c r="D6" s="38"/>
      <c r="E6" s="38"/>
      <c r="F6" s="38"/>
    </row>
    <row r="7" customFormat="false" ht="48" hidden="false" customHeight="true" outlineLevel="0" collapsed="false">
      <c r="B7" s="39" t="str">
        <f aca="false">"Year to date revenue is EUR "&amp;TEXT((BvA!B14)/1000,"#,##0")&amp;"k, "&amp;TEXT((ABS(BvA!E14)),"0.0%")&amp;" "&amp;IF(BvA!D14&lt;0,"below","above")&amp;" budget, and EBITDA is EUR "&amp;TEXT((BvA!B41)/1000,"#,##0")&amp;"k against EUR "&amp;TEXT((BvA!C41)/1000,"#,##0")&amp;"k budgeted. Three causes account for it: volume (three contracts started two months later than budgeted and retrofit starts ran "&amp;TEXT((ABS(BvA!E7)),"0%")&amp;" behind), margin fade on the CF-2601 office fit-out, and idle site labour in the first half (EUR "&amp;TEXT((ABS(BvA!B25))/1000,"#,##0")&amp;"k of site payroll not recovered on jobs)."</f>
        <v>Year to date revenue is EUR 5,127k, 19.5% below budget, and EBITDA is EUR 45k against EUR 333k budgeted. Three causes account for it: volume (three contracts started two months later than budgeted and retrofit starts ran 22% behind), margin fade on the CF-2601 office fit-out, and idle site labour in the first half (EUR 77k of site payroll not recovered on jobs).</v>
      </c>
    </row>
    <row r="8" customFormat="false" ht="48" hidden="false" customHeight="true" outlineLevel="0" collapsed="false">
      <c r="B8" s="39" t="str">
        <f aca="false">"Full-year outlook ("&amp;Assumptions!$C$12&amp;"): revenue EUR "&amp;TEXT((BvA!F14)/1000,"#,##0")&amp;"k ("&amp;TEXT((BvA!I14),"0.0%")&amp;" vs budget), gross margin "&amp;TEXT((BvA!F24),"0.0%")&amp;", EBITDA EUR "&amp;TEXT((BvA!F41)/1000,"#,##0")&amp;"k ("&amp;TEXT((BvA!F42),"0.0%")&amp;"). It needs EUR "&amp;TEXT((BvA!F14-BvA!B14)/1000,"#,##0")&amp;"k of revenue in the last four months, EUR "&amp;TEXT(((BvA!F14-BvA!B14)/4)/1000,"#,##0")&amp;"k a month against EUR "&amp;TEXT((BvA!B14/Assumptions!$C$10)/1000,"#,##0")&amp;"k a month so far: the four live contracts peak together and the site team runs at full utilisation with agency support."</f>
        <v>Full-year outlook (Base): revenue EUR 9,197k (-8.4% vs budget), gross margin 18.3%, EBITDA EUR 424k (4.6%). It needs EUR 4,070k of revenue in the last four months, EUR 1,018k a month against EUR 641k a month so far: the four live contracts peak together and the site team runs at full utilisation with agency support.</v>
      </c>
    </row>
    <row r="9" customFormat="false" ht="48" hidden="false" customHeight="true" outlineLevel="0" collapsed="false">
      <c r="B9" s="39" t="str">
        <f aca="false">"Cash is EUR "&amp;TEXT((INDEX(BS!$E$9:$AB$9,Assumptions!$C$10))/1000,"#,##0")&amp;"k at "&amp;TEXT(Assumptions!$C$9,"mmm-yy")&amp;". The 13-week low is EUR "&amp;TEXT((Cash_13W!C67)/1000,"#,##0")&amp;"k in the week ending "&amp;TEXT(Cash_13W!C68,"dd-mmm")&amp;", when PAYE, RCT, VAT and the FY2026 preliminary tax fall due in the same week as the subcontractor payment run: "&amp;IF(Cash_13W!C69&gt;=0,"EUR "&amp;TEXT((Cash_13W!C69)/1000,"#,##0")&amp;"k above the EUR "&amp;TEXT((Assumptions!$C$13)/1000,"#,##0")&amp;"k buffer, with the overdraft undrawn.","EUR "&amp;TEXT((ABS(Cash_13W!C69))/1000,"#,##0")&amp;"k below the buffer: draw the overdraft before that week.")&amp;" In the Downside case "&amp;IF(Scenarios!D22&lt;0,"cash goes EUR "&amp;TEXT((ABS(Scenarios!D22))/1000,"#,##0")&amp;"k overdrawn","cash falls to EUR "&amp;TEXT((Scenarios!D22)/1000,"#,##0")&amp;"k")&amp;" in "&amp;TEXT(Scenarios!D23,"mmm-yy")&amp;", a EUR "&amp;TEXT((ABS(MIN(0,Scenarios!D24)))/1000,"#,##0")&amp;"k shortfall against the buffer that the EUR "&amp;TEXT((Assumptions!$C$14)/1000,"#,##0")&amp;"k overdraft only just covers."</f>
        <v>Cash is EUR 635k at Aug-26. The 13-week low is EUR 230k in the week ending 27-Nov, when PAYE, RCT, VAT and the FY2026 preliminary tax fall due in the same week as the subcontractor payment run: EUR 30k above the EUR 200k buffer, with the overdraft undrawn. In the Downside case cash goes EUR 27k overdrawn in Nov-26, a EUR 227k shortfall against the buffer that the EUR 250k overdraft only just covers.</v>
      </c>
    </row>
    <row r="10" customFormat="false" ht="48" hidden="false" customHeight="true" outlineLevel="0" collapsed="false">
      <c r="B10" s="39" t="str">
        <f aca="false">"FY2027 "&amp;Assumptions!$C$12&amp;": revenue EUR "&amp;TEXT((PL!$D$13)/1000,"#,##0")&amp;"k and EBITDA EUR "&amp;TEXT((PL!$D$53)/1000,"#,##0")&amp;"k ("&amp;TEXT((PL!$D$54),"0.0%")&amp;"), down from FY2026 because overheads rise EUR "&amp;TEXT((PL!$C$51-PL!$D$51)/1000,"#,##0")&amp;"k (two office hires and inflation) and the planned site hires land in a first-quarter trough, with utilisation at "&amp;TEXT((MIN(Resources!Q33:T33)),"0%")&amp;". Hiring should follow secured work, not precede it."</f>
        <v>FY2027 Base: revenue EUR 9,703k and EBITDA EUR 264k (2.7%), down from FY2026 because overheads rise EUR 194k (two office hires and inflation) and the planned site hires land in a first-quarter trough, with utilisation at 62%. Hiring should follow secured work, not precede it.</v>
      </c>
    </row>
    <row r="11" customFormat="false" ht="15" hidden="false" customHeight="false" outlineLevel="0" collapsed="false">
      <c r="B11" s="37" t="s">
        <v>229</v>
      </c>
      <c r="C11" s="38"/>
      <c r="D11" s="38"/>
      <c r="E11" s="38"/>
      <c r="F11" s="38"/>
    </row>
    <row r="12" customFormat="false" ht="48" hidden="false" customHeight="true" outlineLevel="0" collapsed="false">
      <c r="B12" s="39" t="str">
        <f aca="false">"The gross profit shortfall of EUR "&amp;TEXT((ABS(BvA!H56))/1000,"#,##0")&amp;"k splits into EUR "&amp;TEXT((ABS(BvA!F56))/1000,"#,##0")&amp;"k of volume and EUR "&amp;TEXT((ABS(BvA!G56))/1000,"#,##0")&amp;"k of margin. Retrofit is the largest volume gap: "&amp;TEXT((BvA!B7),"0")&amp;" homes started against "&amp;TEXT((BvA!C7),"0")&amp;" budgeted (the retrofit coordinator post was vacant from March to May, so surveys and grant applications backed up), worth EUR "&amp;TEXT((ABS(BvA!F52))/1000,"#,##0")&amp;"k of gross profit. Commercial fit-out and council revenue are behind because CF-2602, CF-2603 and PS-2601 started later than the budget assumed."</f>
        <v>The gross profit shortfall of EUR 267k splits into EUR 214k of volume and EUR 53k of margin. Retrofit is the largest volume gap: 22 homes started against 28 budgeted (the retrofit coordinator post was vacant from March to May, so surveys and grant applications backed up), worth EUR 98k of gross profit. Commercial fit-out and council revenue are behind because CF-2602, CF-2603 and PS-2601 started later than the budget assumed.</v>
      </c>
    </row>
    <row r="13" customFormat="false" ht="33.75" hidden="false" customHeight="true" outlineLevel="0" collapsed="false">
      <c r="B13" s="39" t="str">
        <f aca="false">"Margins: commercial fit-out earned "&amp;TEXT((BvA!B22),"0.0%")&amp;" against "&amp;TEXT((BvA!C22),"0.0%")&amp;" budgeted (EUR "&amp;TEXT((ABS(BvA!G54))/1000,"#,##0")&amp;"k of margin, almost all CF-2601); council retrofit earned "&amp;TEXT((BvA!B23),"0.0%")&amp;" against "&amp;TEXT((BvA!C23),"0.0%")&amp;" (PS-2502 closed out below budget cost); retrofit "&amp;TEXT((BvA!B20),"0.0%")&amp;" against "&amp;TEXT((BvA!C20),"0.0%")&amp;", where the vacancy months also carried lower margins; renovation held its budget margin."</f>
        <v>Margins: commercial fit-out earned 12.0% against 14.8% budgeted (EUR 44k of margin, almost all CF-2601); council retrofit earned 15.4% against 13.0% (PS-2502 closed out below budget cost); retrofit 21.9% against 24.5%, where the vacancy months also carried lower margins; renovation held its budget margin.</v>
      </c>
    </row>
    <row r="14" customFormat="false" ht="48" hidden="false" customHeight="true" outlineLevel="0" collapsed="false">
      <c r="B14" s="39" t="str">
        <f aca="false">"Site labour: own labour charged to jobs fell short of site payroll by EUR "&amp;TEXT((ABS(BvA!B25))/1000,"#,##0")&amp;"k year to date. Utilisation was "&amp;TEXT((MIN(Resources!F33:H33)),"0%")&amp;" to "&amp;TEXT((MAX(Resources!F33:H33)),"0%")&amp;" from February to April while named work ran down, then 100% from July with agency operatives. Overheads are EUR "&amp;TEXT((BvA!D40)/1000,"#,##0")&amp;"k better than budget, mostly the coordinator vacancy, after a EUR "&amp;TEXT((ABS(BvA!B39)),"#,##0")&amp;" specific provision against the disputed CF-2311 retention."</f>
        <v>Site labour: own labour charged to jobs fell short of site payroll by EUR 77k year to date. Utilisation was 61% to 65% from February to April while named work ran down, then 100% from July with agency operatives. Overheads are EUR 40k better than budget, mostly the coordinator vacancy, after a EUR 9,500 specific provision against the disputed CF-2311 retention.</v>
      </c>
    </row>
    <row r="15" customFormat="false" ht="15" hidden="false" customHeight="false" outlineLevel="0" collapsed="false">
      <c r="B15" s="37" t="s">
        <v>230</v>
      </c>
      <c r="C15" s="38"/>
      <c r="D15" s="38"/>
      <c r="E15" s="38"/>
      <c r="F15" s="38"/>
    </row>
    <row r="16" customFormat="false" ht="61.5" hidden="false" customHeight="true" outlineLevel="0" collapsed="false">
      <c r="B16" s="39" t="str">
        <f aca="false">"CF-2601 (office fit-out, Dublin 4) is the contract to manage. Tender margin "&amp;TEXT((Project_Register!$P$9),"0.0%")&amp;"; estimated cost at completion is now EUR "&amp;TEXT((Commitments!I28)/1000,"#,##0")&amp;"k, EUR "&amp;TEXT((Commitments!J28)/1000,"#,##0")&amp;"k above the tender budget, after the mechanical and electrical subcontractor was replaced in May and the client changed the design twice. EUR "&amp;TEXT((Variations!E28)/1000,"#,##0")&amp;"k of variations are claimed and undecided; policy recognises half. Forecast final margin is "&amp;TEXT((Project_Profitability!R8),"0.0%")&amp;" in the "&amp;Assumptions!$C$12&amp;" case, and EUR "&amp;TEXT((ABS(Project_Profitability!X8))/1000,"#,##0")&amp;"k of the cost incurred has not yet come back in cash (work not yet certified, unpaid certificates and retention)."</f>
        <v>CF-2601 (office fit-out, Dublin 4) is the contract to manage. Tender margin 13.7%; estimated cost at completion is now EUR 1,190k, EUR 172k above the tender budget, after the mechanical and electrical subcontractor was replaced in May and the client changed the design twice. EUR 118k of variations are claimed and undecided; policy recognises half. Forecast final margin is 7.7% in the Base case, and EUR 385k of the cost incurred has not yet come back in cash (work not yet certified, unpaid certificates and retention).</v>
      </c>
    </row>
    <row r="17" customFormat="false" ht="33.75" hidden="false" customHeight="true" outlineLevel="0" collapsed="false">
      <c r="B17" s="39" t="str">
        <f aca="false">"Across all contracts EUR "&amp;TEXT((Variations!E32)/1000,"#,##0")&amp;"k of variations are undecided. The policy constraint recognises EUR "&amp;TEXT((Variations!F32)/1000,"#,##0")&amp;"k; the "&amp;Assumptions!$C$12&amp;" case expects EUR "&amp;TEXT((Variations!G32)/1000,"#,##0")&amp;"k to be agreed, a EUR "&amp;TEXT((Variations!I32)/1000,"#,##0")&amp;"k "&amp;IF(Variations!I32&gt;=0,"upside","downside")&amp;" to revenue when the decisions land. The scenario range is EUR "&amp;TEXT((Scenarios!E31-Scenarios!D31)/1000,"#,##0")&amp;"k of revenue between Upside and Downside, almost all of it profit."</f>
        <v>Across all contracts EUR 168k of variations are undecided. The policy constraint recognises EUR 84k; the Base case expects EUR 109k to be agreed, a EUR 25k upside to revenue when the decisions land. The scenario range is EUR 84k of revenue between Upside and Downside, almost all of it profit.</v>
      </c>
    </row>
    <row r="18" customFormat="false" ht="48" hidden="false" customHeight="true" outlineLevel="0" collapsed="false">
      <c r="B18" s="39" t="str">
        <f aca="false">"Cost to complete is under control on paper: EUR "&amp;TEXT((Commitments!F34)/1000,"#,##0")&amp;"k remains on live and signed contracts, of which EUR "&amp;TEXT((Commitments!E34)/1000,"#,##0")&amp;"k is already committed on orders ("&amp;TEXT((Commitments!H34),"0%")&amp;"; "&amp;TEXT((Commitments!H28),"0%")&amp;" on CF-2601). No contract has more on order than its cost to complete, so the forecasts carry every known commitment. The uncommitted EUR "&amp;TEXT((Commitments!G28)/1000,"#,##0")&amp;"k on CF-2601 is where further fade would come from: it should be bought before October."</f>
        <v>Cost to complete is under control on paper: EUR 4,118k remains on live and signed contracts, of which EUR 1,531k is already committed on orders (37%; 67% on CF-2601). No contract has more on order than its cost to complete, so the forecasts carry every known commitment. The uncommitted EUR 112k on CF-2601 is where further fade would come from: it should be bought before October.</v>
      </c>
    </row>
    <row r="19" customFormat="false" ht="33.75" hidden="false" customHeight="true" outlineLevel="0" collapsed="false">
      <c r="B19" s="39" t="str">
        <f aca="false">"Allocated profitability (FY2026 outlook, after labour variance, fleet and overhead absorption): CF-2601 contributes EUR "&amp;TEXT((Project_Profitability!O8)/1000,"#,##0")&amp;"k, the retrofit programme EUR "&amp;TEXT((Project_Profitability!O21)/1000,"#,##0")&amp;"k and the renovation programme EUR "&amp;TEXT((Project_Profitability!O22)/1000,"#,##0")&amp;"k. The residential programmes earn "&amp;TEXT(((Project_Profitability!O21+Project_Profitability!O22)/PL!$C$53),"0%")&amp;" of EBITDA on "&amp;TEXT(((Project_Profitability!G21+Project_Profitability!G22)/PL!$C$13),"0%")&amp;" of revenue."</f>
        <v>Allocated profitability (FY2026 outlook, after labour variance, fleet and overhead absorption): CF-2601 contributes EUR -73k, the retrofit programme EUR 173k and the renovation programme EUR 216k. The residential programmes earn 92% of EBITDA on 45% of revenue.</v>
      </c>
    </row>
    <row r="20" customFormat="false" ht="15" hidden="false" customHeight="false" outlineLevel="0" collapsed="false">
      <c r="B20" s="37" t="s">
        <v>231</v>
      </c>
      <c r="C20" s="38"/>
      <c r="D20" s="38"/>
      <c r="E20" s="38"/>
      <c r="F20" s="38"/>
    </row>
    <row r="21" customFormat="false" ht="48" hidden="false" customHeight="true" outlineLevel="0" collapsed="false">
      <c r="B21" s="39" t="str">
        <f aca="false">"Working capital tied up in contracts is EUR "&amp;TEXT((INDEX(BS!$E$45:$AB$45,Assumptions!$C$10))/1000,"#,##0")&amp;"k at "&amp;TEXT(Assumptions!$C$9,"mmm-yy")&amp;": contract assets EUR "&amp;TEXT((INDEX(BS!$E$13:$AB$13,Assumptions!$C$10))/1000,"#,##0")&amp;"k (work done, not yet certified: CF-2601 EUR "&amp;TEXT((Project_Profitability!U8)/1000,"#,##0")&amp;"k and PS-2601 EUR "&amp;TEXT((Project_Profitability!U11)/1000,"#,##0")&amp;"k), trade receivables EUR "&amp;TEXT((INDEX(BS!$E$10:$AB$10,Assumptions!$C$10))/1000,"#,##0")&amp;"k ("&amp;TEXT((INDEX(Receivables!$E$19:$AB$19,Assumptions!$C$10)),"0")&amp;" days), retentions EUR "&amp;TEXT((INDEX(BS!$E$12:$AB$12,Assumptions!$C$10))/1000,"#,##0")&amp;"k and SEAI grant claims EUR "&amp;TEXT((INDEX(BS!$E$11:$AB$11,Assumptions!$C$10))/1000,"#,##0")&amp;"k ("&amp;TEXT((INDEX(Residential!$E$38:$AB$38,Assumptions!$C$10)),"0")&amp;" days). It is funded by EUR "&amp;TEXT((INDEX(BS!$E$18:$AB$18,Assumptions!$C$10)+INDEX(BS!$E$20:$AB$20,Assumptions!$C$10)+INDEX(BS!$E$21:$AB$21,Assumptions!$C$10)+INDEX(BS!$E$22:$AB$22,Assumptions!$C$10))/1000,"#,##0")&amp;"k of payables, with materials suppliers carried at about "&amp;TEXT((Assumptions!$C$77),"0")&amp;" days."</f>
        <v>Working capital tied up in contracts is EUR 580k at Aug-26: contract assets EUR 722k (work done, not yet certified: CF-2601 EUR 202k and PS-2601 EUR 177k), trade receivables EUR 639k (28 days), retentions EUR 154k and SEAI grant claims EUR 108k (60 days). It is funded by EUR 967k of payables, with materials suppliers carried at about 46 days.</v>
      </c>
    </row>
    <row r="22" customFormat="false" ht="48" hidden="false" customHeight="true" outlineLevel="0" collapsed="false">
      <c r="B22" s="39" t="str">
        <f aca="false">"The 13 weeks from 12-Sep: opening cash EUR "&amp;TEXT((Cash_13W!C60)/1000,"#,##0")&amp;"k, receipts EUR "&amp;TEXT((Cash_13W!U43)/1000,"#,##0")&amp;"k, payments EUR "&amp;TEXT((ABS(Cash_13W!U57))/1000,"#,##0")&amp;"k, closing EUR "&amp;TEXT((Cash_13W!T61)/1000,"#,##0")&amp;"k on 11-Dec. EUR "&amp;TEXT((Cash_13W!C72)/1000,"#,##0")&amp;"k of tax leaves in the three weeks containing the 23rd (PAYE, RCT, VAT, corporation tax), which is why the 23-Sep and 23-Nov weeks are the pinch points. The forecast reconciles to the December balance sheet to the euro."</f>
        <v>The 13 weeks from 12-Sep: opening cash EUR 704k, receipts EUR 2,976k, payments EUR 3,174k, closing EUR 507k on 11-Dec. EUR 320k of tax leaves in the three weeks containing the 23rd (PAYE, RCT, VAT, corporation tax), which is why the 23-Sep and 23-Nov weeks are the pinch points. The forecast reconciles to the December balance sheet to the euro.</v>
      </c>
    </row>
    <row r="23" customFormat="false" ht="33.75" hidden="false" customHeight="true" outlineLevel="0" collapsed="false">
      <c r="B23" s="39" t="str">
        <f aca="false">"Retentions: EUR "&amp;TEXT((INDEX(Retentions!$E$11:$AB$11,Assumptions!$C$10))/1000,"#,##0")&amp;"k is held by current clients and releases on practical completion and after the defects periods; the legacy CF-2311 retention of EUR "&amp;TEXT((INDEX(Retentions!$E$19:$AB$19,Assumptions!$C$10))/1000,"#,##0")&amp;"k has been overdue since the defects period ended in March 2025. A EUR "&amp;TEXT((INDEX(Retentions!$E$25:$AB$25,Assumptions!$C$10)),"#,##0")&amp;" provision is held; the "&amp;Assumptions!$C$12&amp;" case settles it in "&amp;TEXT(Assumptions!$F$129,"mmm-yy")&amp;" at "&amp;TEXT((Assumptions!$F$128),"0%")&amp;" recovery."</f>
        <v>Retentions: EUR 107k is held by current clients and releases on practical completion and after the defects periods; the legacy CF-2311 retention of EUR 38k has been overdue since the defects period ended in March 2025. A EUR 9,500 provision is held; the Base case settles it in Nov-26 at 75% recovery.</v>
      </c>
    </row>
    <row r="24" customFormat="false" ht="15" hidden="false" customHeight="false" outlineLevel="0" collapsed="false">
      <c r="B24" s="37" t="s">
        <v>232</v>
      </c>
      <c r="C24" s="38"/>
      <c r="D24" s="38"/>
      <c r="E24" s="38"/>
      <c r="F24" s="38"/>
    </row>
    <row r="25" customFormat="false" ht="48" hidden="false" customHeight="true" outlineLevel="0" collapsed="false">
      <c r="B25" s="39" t="str">
        <f aca="false">"Secured work in hand is EUR "&amp;TEXT((INDEX(Pipeline!$E$11:$AB$11,Assumptions!$C$10))/1000,"#,##0")&amp;"k at "&amp;TEXT(Assumptions!$C$9,"mmm-yy")&amp;", "&amp;TEXT((INDEX(Pipeline!$E$14:$AB$14,Assumptions!$C$10)),"0.0")&amp;" months of revenue, falling to EUR "&amp;TEXT((Pipeline!$C$11)/1000,"#,##0")&amp;"k by December as the live contracts finish. FY2027 revenue therefore leans on the pipeline: EUR "&amp;TEXT(((WIP!$D$368+WIP!$D$410+WIP!$D$452+WIP!$D$494+WIP!$D$536+WIP!$D$578+WIP!$D$620))/1000,"#,##0")&amp;"k ("&amp;TEXT(((WIP!$D$368+WIP!$D$410+WIP!$D$452+WIP!$D$494+WIP!$D$536+WIP!$D$578+WIP!$D$620)/PL!$D$13),"0%")&amp;") of the "&amp;Assumptions!$C$12&amp;" FY2027 revenue comes from contracts not yet won, probability-weighted."</f>
        <v>Secured work in hand is EUR 5,341k at Aug-26, 6.5 months of revenue, falling to EUR 2,860k by December as the live contracts finish. FY2027 revenue therefore leans on the pipeline: EUR 2,286k (24%) of the Base FY2027 revenue comes from contracts not yet won, probability-weighted.</v>
      </c>
    </row>
    <row r="26" customFormat="false" ht="48" hidden="false" customHeight="true" outlineLevel="0" collapsed="false">
      <c r="B26" s="39" t="str">
        <f aca="false">"Capacity: own labour demand exceeds the site team from July to November, costing EUR "&amp;TEXT((Resources!$C$35)/1000,"#,##0")&amp;"k of agency labour in FY2026, then falls away in the first quarter of 2027 while five hires join, taking utilisation to "&amp;TEXT((MIN(Resources!Q33:T33)),"0%")&amp;" and the FY2027 labour recovery variance to EUR "&amp;TEXT((PL!$D$33)/1000,"#,##0")&amp;"k. Performance bonds use "&amp;TEXT((INDEX(Debt!$E$28:$AB$28,Assumptions!$C$10)),"0%")&amp;" of the EUR "&amp;TEXT((Assumptions!$C$15)/1000,"#,##0")&amp;"k surety facility now and peak at "&amp;TEXT((MAX(Debt!$E$28:$AB$28)),"0%")&amp;": the facility, not the pipeline, becomes the constraint on new commercial awards."</f>
        <v>Capacity: own labour demand exceeds the site team from July to November, costing EUR 98k of agency labour in FY2026, then falls away in the first quarter of 2027 while five hires join, taking utilisation to 62% and the FY2027 labour recovery variance to EUR -81k. Performance bonds use 83% of the EUR 750k surety facility now and peak at 88%: the facility, not the pipeline, becomes the constraint on new commercial awards.</v>
      </c>
    </row>
    <row r="27" customFormat="false" ht="15" hidden="false" customHeight="false" outlineLevel="0" collapsed="false">
      <c r="B27" s="37" t="s">
        <v>233</v>
      </c>
      <c r="C27" s="38"/>
      <c r="D27" s="38"/>
      <c r="E27" s="38"/>
      <c r="F27" s="38"/>
    </row>
    <row r="28" customFormat="false" ht="48" hidden="false" customHeight="true" outlineLevel="0" collapsed="false">
      <c r="B28" s="39" t="str">
        <f aca="false">"Base: FY2027 revenue EUR "&amp;TEXT((Scenarios!C10)/1000,"#,##0")&amp;"k, EBITDA EUR "&amp;TEXT((Scenarios!C17)/1000,"#,##0")&amp;"k, lowest cash EUR "&amp;TEXT((Scenarios!C22)/1000,"#,##0")&amp;"k. Downside (fewer retrofit starts, two-month delays, 5% overrun on cost to complete, variations agreed at 35%, slower payment): FY2027 revenue EUR "&amp;TEXT((Scenarios!D10)/1000,"#,##0")&amp;"k, EBITDA EUR "&amp;TEXT((Scenarios!D17)/1000,"#,##0")&amp;"k, lowest cash EUR "&amp;TEXT((Scenarios!D22)/1000,"#,##0")&amp;"k. Upside: FY2027 revenue EUR "&amp;TEXT((Scenarios!E10)/1000,"#,##0")&amp;"k, EBITDA EUR "&amp;TEXT((Scenarios!E17)/1000,"#,##0")&amp;"k, lowest cash EUR "&amp;TEXT((Scenarios!E22)/1000,"#,##0")&amp;"k."</f>
        <v>Base: FY2027 revenue EUR 9,703k, EBITDA EUR 264k, lowest cash EUR 418k. Downside (fewer retrofit starts, two-month delays, 5% overrun on cost to complete, variations agreed at 35%, slower payment): FY2027 revenue EUR 7,972k, EBITDA EUR -181k, lowest cash EUR -27k. Upside: FY2027 revenue EUR 10,898k, EBITDA EUR 735k, lowest cash EUR 543k.</v>
      </c>
    </row>
    <row r="29" customFormat="false" ht="33.75" hidden="false" customHeight="true" outlineLevel="0" collapsed="false">
      <c r="B29" s="39" t="str">
        <f aca="false">"The Downside is survivable only with the overdraft in place and the hiring plan frozen: it turns FY2027 EBITDA negative and takes cash below zero in "&amp;TEXT(Scenarios!D23,"mmm-yy")&amp;". The triggers to act on are monthly: retrofit starts below "&amp;TEXT((Residential!$C$9*0.85),"0.0")&amp;" a month for two months, any contract margin fade above 2 points in a cost review, or SEAI days above 75."</f>
        <v>The Downside is survivable only with the overdraft in place and the hiring plan frozen: it turns FY2027 EBITDA negative and takes cash below zero in Nov-26. The triggers to act on are monthly: retrofit starts below 2.8 a month for two months, any contract margin fade above 2 points in a cost review, or SEAI days above 75.</v>
      </c>
    </row>
    <row r="30" customFormat="false" ht="15" hidden="false" customHeight="false" outlineLevel="0" collapsed="false">
      <c r="B30" s="37" t="s">
        <v>234</v>
      </c>
      <c r="C30" s="38"/>
      <c r="D30" s="38"/>
      <c r="E30" s="38"/>
      <c r="F30" s="38"/>
    </row>
    <row r="31" customFormat="false" ht="15" hidden="false" customHeight="false" outlineLevel="0" collapsed="false">
      <c r="B31" s="40" t="s">
        <v>235</v>
      </c>
      <c r="C31" s="41" t="s">
        <v>236</v>
      </c>
      <c r="D31" s="41" t="s">
        <v>237</v>
      </c>
      <c r="E31" s="41" t="s">
        <v>238</v>
      </c>
      <c r="F31" s="41" t="s">
        <v>239</v>
      </c>
    </row>
    <row r="32" customFormat="false" ht="43.5" hidden="false" customHeight="true" outlineLevel="0" collapsed="false">
      <c r="B32" s="39" t="str">
        <f aca="false">"Cash pinch points: tax payments cluster on the 23rd and the subcontractor run on the 25th; the Downside breaches the buffer by EUR "&amp;TEXT((ABS(MIN(0,Scenarios!D24)))/1000,"#,##0")&amp;"k"</f>
        <v>Cash pinch points: tax payments cluster on the 23rd and the subcontractor run on the 25th; the Downside breaches the buffer by EUR 227k</v>
      </c>
      <c r="C32" s="42" t="n">
        <v>3</v>
      </c>
      <c r="D32" s="42" t="n">
        <v>4</v>
      </c>
      <c r="E32" s="43" t="n">
        <f aca="false">C32*D32</f>
        <v>12</v>
      </c>
      <c r="F32" s="44" t="s">
        <v>240</v>
      </c>
    </row>
    <row r="33" customFormat="false" ht="43.5" hidden="false" customHeight="true" outlineLevel="0" collapsed="false">
      <c r="B33" s="39" t="str">
        <f aca="false">"CF-2601 margin: cost at completion EUR "&amp;TEXT((Commitments!J28)/1000,"#,##0")&amp;"k over tender; EUR "&amp;TEXT((Variations!E28)/1000,"#,##0")&amp;"k of variations undecided"</f>
        <v>CF-2601 margin: cost at completion EUR 172k over tender; EUR 118k of variations undecided</v>
      </c>
      <c r="C33" s="42" t="n">
        <v>4</v>
      </c>
      <c r="D33" s="42" t="n">
        <v>3</v>
      </c>
      <c r="E33" s="43" t="n">
        <f aca="false">C33*D33</f>
        <v>12</v>
      </c>
      <c r="F33" s="44" t="s">
        <v>241</v>
      </c>
    </row>
    <row r="34" customFormat="false" ht="43.5" hidden="false" customHeight="true" outlineLevel="0" collapsed="false">
      <c r="B34" s="39" t="str">
        <f aca="false">"Order book cliff: secured work falls to EUR "&amp;TEXT((Pipeline!$C$11)/1000,"#,##0")&amp;"k by Dec-26; FY2027 depends on pipeline conversion"</f>
        <v>Order book cliff: secured work falls to EUR 2,860k by Dec-26; FY2027 depends on pipeline conversion</v>
      </c>
      <c r="C34" s="42" t="n">
        <v>3</v>
      </c>
      <c r="D34" s="42" t="n">
        <v>4</v>
      </c>
      <c r="E34" s="43" t="n">
        <f aca="false">C34*D34</f>
        <v>12</v>
      </c>
      <c r="F34" s="44" t="s">
        <v>242</v>
      </c>
    </row>
    <row r="35" customFormat="false" ht="43.5" hidden="false" customHeight="true" outlineLevel="0" collapsed="false">
      <c r="B35" s="39" t="str">
        <f aca="false">"Site capacity: 100% utilisation Jul to Nov then "&amp;TEXT((MIN(Resources!Q33:T33)),"0%")&amp;" in Q1-27 as hires join"</f>
        <v>Site capacity: 100% utilisation Jul to Nov then 62% in Q1-27 as hires join</v>
      </c>
      <c r="C35" s="42" t="n">
        <v>4</v>
      </c>
      <c r="D35" s="42" t="n">
        <v>3</v>
      </c>
      <c r="E35" s="43" t="n">
        <f aca="false">C35*D35</f>
        <v>12</v>
      </c>
      <c r="F35" s="44" t="s">
        <v>243</v>
      </c>
    </row>
    <row r="36" customFormat="false" ht="43.5" hidden="false" customHeight="true" outlineLevel="0" collapsed="false">
      <c r="B36" s="39" t="str">
        <f aca="false">"Bond capacity: surety facility peaks at "&amp;TEXT((MAX(Debt!$E$28:$AB$28)),"0%")&amp;" utilised; new awards need 10% bonds"</f>
        <v>Bond capacity: surety facility peaks at 88% utilised; new awards need 10% bonds</v>
      </c>
      <c r="C36" s="42" t="n">
        <v>3</v>
      </c>
      <c r="D36" s="42" t="n">
        <v>3</v>
      </c>
      <c r="E36" s="43" t="n">
        <f aca="false">C36*D36</f>
        <v>9</v>
      </c>
      <c r="F36" s="44" t="s">
        <v>244</v>
      </c>
    </row>
    <row r="37" customFormat="false" ht="43.5" hidden="false" customHeight="true" outlineLevel="0" collapsed="false">
      <c r="B37" s="39" t="str">
        <f aca="false">"SEAI grant claims: EUR "&amp;TEXT((INDEX(BS!$E$11:$AB$11,Assumptions!$C$10))/1000,"#,##0")&amp;"k outstanding at "&amp;TEXT((INDEX(Residential!$E$38:$AB$38,Assumptions!$C$10)),"0")&amp;" days; inspection queries delay payment"</f>
        <v>SEAI grant claims: EUR 108k outstanding at 60 days; inspection queries delay payment</v>
      </c>
      <c r="C37" s="42" t="n">
        <v>3</v>
      </c>
      <c r="D37" s="42" t="n">
        <v>3</v>
      </c>
      <c r="E37" s="43" t="n">
        <f aca="false">C37*D37</f>
        <v>9</v>
      </c>
      <c r="F37" s="44" t="s">
        <v>245</v>
      </c>
    </row>
    <row r="38" customFormat="false" ht="43.5" hidden="false" customHeight="true" outlineLevel="0" collapsed="false">
      <c r="B38" s="39" t="s">
        <v>246</v>
      </c>
      <c r="C38" s="42" t="n">
        <v>2</v>
      </c>
      <c r="D38" s="42" t="n">
        <v>3</v>
      </c>
      <c r="E38" s="43" t="n">
        <f aca="false">C38*D38</f>
        <v>6</v>
      </c>
      <c r="F38" s="44" t="s">
        <v>247</v>
      </c>
    </row>
    <row r="39" customFormat="false" ht="43.5" hidden="false" customHeight="true" outlineLevel="0" collapsed="false">
      <c r="B39" s="39" t="str">
        <f aca="false">"Disputed legacy retention CF-2311: EUR "&amp;TEXT((INDEX(Retentions!$E$19:$AB$19,Assumptions!$C$10))/1000,"#,##0")&amp;"k overdue since March 2025"</f>
        <v>Disputed legacy retention CF-2311: EUR 38k overdue since March 2025</v>
      </c>
      <c r="C39" s="42" t="n">
        <v>3</v>
      </c>
      <c r="D39" s="42" t="n">
        <v>2</v>
      </c>
      <c r="E39" s="43" t="n">
        <f aca="false">C39*D39</f>
        <v>6</v>
      </c>
      <c r="F39" s="44" t="s">
        <v>248</v>
      </c>
    </row>
    <row r="40" customFormat="false" ht="43.5" hidden="false" customHeight="true" outlineLevel="0" collapsed="false">
      <c r="B40" s="39" t="s">
        <v>249</v>
      </c>
      <c r="C40" s="42" t="n">
        <v>2</v>
      </c>
      <c r="D40" s="42" t="n">
        <v>4</v>
      </c>
      <c r="E40" s="43" t="n">
        <f aca="false">C40*D40</f>
        <v>8</v>
      </c>
      <c r="F40" s="44" t="s">
        <v>250</v>
      </c>
    </row>
    <row r="41" customFormat="false" ht="43.5" hidden="false" customHeight="true" outlineLevel="0" collapsed="false">
      <c r="B41" s="39" t="s">
        <v>251</v>
      </c>
      <c r="C41" s="42" t="n">
        <v>3</v>
      </c>
      <c r="D41" s="42" t="n">
        <v>3</v>
      </c>
      <c r="E41" s="43" t="n">
        <f aca="false">C41*D41</f>
        <v>9</v>
      </c>
      <c r="F41" s="44" t="s">
        <v>252</v>
      </c>
    </row>
    <row r="43" customFormat="false" ht="15" hidden="false" customHeight="false" outlineLevel="0" collapsed="false">
      <c r="B43" s="37" t="s">
        <v>253</v>
      </c>
      <c r="C43" s="38"/>
      <c r="D43" s="38"/>
      <c r="E43" s="38"/>
      <c r="F43" s="38"/>
    </row>
    <row r="44" customFormat="false" ht="15" hidden="false" customHeight="false" outlineLevel="0" collapsed="false">
      <c r="B44" s="40" t="s">
        <v>254</v>
      </c>
      <c r="C44" s="41" t="s">
        <v>255</v>
      </c>
      <c r="D44" s="41" t="s">
        <v>256</v>
      </c>
      <c r="E44" s="41" t="s">
        <v>150</v>
      </c>
      <c r="F44" s="41" t="s">
        <v>257</v>
      </c>
    </row>
    <row r="45" customFormat="false" ht="43.5" hidden="false" customHeight="true" outlineLevel="0" collapsed="false">
      <c r="B45" s="39" t="s">
        <v>258</v>
      </c>
      <c r="C45" s="44" t="s">
        <v>259</v>
      </c>
      <c r="D45" s="45" t="n">
        <v>46304</v>
      </c>
      <c r="E45" s="42" t="s">
        <v>260</v>
      </c>
      <c r="F45" s="44" t="s">
        <v>261</v>
      </c>
    </row>
    <row r="46" customFormat="false" ht="43.5" hidden="false" customHeight="true" outlineLevel="0" collapsed="false">
      <c r="B46" s="39" t="s">
        <v>262</v>
      </c>
      <c r="C46" s="44" t="s">
        <v>263</v>
      </c>
      <c r="D46" s="45" t="n">
        <v>46283</v>
      </c>
      <c r="E46" s="42" t="s">
        <v>260</v>
      </c>
      <c r="F46" s="44" t="s">
        <v>264</v>
      </c>
    </row>
    <row r="47" customFormat="false" ht="43.5" hidden="false" customHeight="true" outlineLevel="0" collapsed="false">
      <c r="B47" s="39" t="s">
        <v>265</v>
      </c>
      <c r="C47" s="44" t="s">
        <v>266</v>
      </c>
      <c r="D47" s="45" t="n">
        <v>46310</v>
      </c>
      <c r="E47" s="42" t="s">
        <v>260</v>
      </c>
      <c r="F47" s="44" t="s">
        <v>267</v>
      </c>
    </row>
    <row r="48" customFormat="false" ht="43.5" hidden="false" customHeight="true" outlineLevel="0" collapsed="false">
      <c r="B48" s="39" t="s">
        <v>268</v>
      </c>
      <c r="C48" s="44" t="s">
        <v>266</v>
      </c>
      <c r="D48" s="45" t="n">
        <v>46326</v>
      </c>
      <c r="E48" s="42" t="s">
        <v>260</v>
      </c>
      <c r="F48" s="44" t="s">
        <v>269</v>
      </c>
    </row>
    <row r="49" customFormat="false" ht="43.5" hidden="false" customHeight="true" outlineLevel="0" collapsed="false">
      <c r="B49" s="39" t="s">
        <v>270</v>
      </c>
      <c r="C49" s="44" t="s">
        <v>263</v>
      </c>
      <c r="D49" s="45" t="n">
        <v>46356</v>
      </c>
      <c r="E49" s="42" t="s">
        <v>260</v>
      </c>
      <c r="F49" s="44" t="s">
        <v>271</v>
      </c>
    </row>
    <row r="50" customFormat="false" ht="43.5" hidden="false" customHeight="true" outlineLevel="0" collapsed="false">
      <c r="B50" s="39" t="s">
        <v>272</v>
      </c>
      <c r="C50" s="44" t="s">
        <v>273</v>
      </c>
      <c r="D50" s="45" t="n">
        <v>46295</v>
      </c>
      <c r="E50" s="42" t="s">
        <v>274</v>
      </c>
      <c r="F50" s="44" t="s">
        <v>275</v>
      </c>
    </row>
    <row r="51" customFormat="false" ht="43.5" hidden="false" customHeight="true" outlineLevel="0" collapsed="false">
      <c r="B51" s="39" t="s">
        <v>276</v>
      </c>
      <c r="C51" s="44" t="s">
        <v>259</v>
      </c>
      <c r="D51" s="45" t="n">
        <v>46326</v>
      </c>
      <c r="E51" s="42" t="s">
        <v>260</v>
      </c>
      <c r="F51" s="44" t="s">
        <v>277</v>
      </c>
    </row>
    <row r="52" customFormat="false" ht="43.5" hidden="false" customHeight="true" outlineLevel="0" collapsed="false">
      <c r="B52" s="39" t="s">
        <v>278</v>
      </c>
      <c r="C52" s="44" t="s">
        <v>259</v>
      </c>
      <c r="D52" s="45" t="n">
        <v>46295</v>
      </c>
      <c r="E52" s="42" t="s">
        <v>274</v>
      </c>
      <c r="F52" s="44" t="s">
        <v>279</v>
      </c>
    </row>
    <row r="53" customFormat="false" ht="43.5" hidden="false" customHeight="true" outlineLevel="0" collapsed="false">
      <c r="B53" s="39" t="s">
        <v>280</v>
      </c>
      <c r="C53" s="44" t="s">
        <v>281</v>
      </c>
      <c r="D53" s="45" t="n">
        <v>46310</v>
      </c>
      <c r="E53" s="42" t="s">
        <v>260</v>
      </c>
      <c r="F53" s="44" t="s">
        <v>282</v>
      </c>
    </row>
    <row r="55" customFormat="false" ht="15" hidden="false" customHeight="false" outlineLevel="0" collapsed="false">
      <c r="B55" s="37" t="s">
        <v>283</v>
      </c>
      <c r="C55" s="38"/>
      <c r="D55" s="38"/>
      <c r="E55" s="38"/>
      <c r="F55" s="38"/>
    </row>
    <row r="56" customFormat="false" ht="16.5" hidden="false" customHeight="true" outlineLevel="0" collapsed="false">
      <c r="B56" s="39" t="s">
        <v>284</v>
      </c>
    </row>
    <row r="57" customFormat="false" ht="16.5" hidden="false" customHeight="true" outlineLevel="0" collapsed="false">
      <c r="B57" s="39" t="s">
        <v>285</v>
      </c>
    </row>
    <row r="58" customFormat="false" ht="16.5" hidden="false" customHeight="true" outlineLevel="0" collapsed="false">
      <c r="B58" s="39" t="s">
        <v>286</v>
      </c>
    </row>
    <row r="59" customFormat="false" ht="16.5" hidden="false" customHeight="true" outlineLevel="0" collapsed="false">
      <c r="B59" s="39" t="s">
        <v>287</v>
      </c>
    </row>
    <row r="60" customFormat="false" ht="16.5" hidden="false" customHeight="true" outlineLevel="0" collapsed="false">
      <c r="B60" s="39" t="s">
        <v>288</v>
      </c>
    </row>
    <row r="61" customFormat="false" ht="16.5" hidden="false" customHeight="true" outlineLevel="0" collapsed="false">
      <c r="B61" s="39" t="s">
        <v>289</v>
      </c>
    </row>
    <row r="63" customFormat="false" ht="15" hidden="false" customHeight="true" outlineLevel="0" collapsed="false">
      <c r="B63" s="46" t="str">
        <f aca="false">"Prepared by BriQs Group for the directors of "&amp;Assumptions!$C$6&amp;". Model status at the time of preparation: "&amp;Checks!E49&amp;"."</f>
        <v>Prepared by BriQs Group for the directors of Tarnlea Build &amp; Retrofit Ltd (fictional demonstration company). Model status at the time of preparation: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290</v>
      </c>
    </row>
    <row r="3" customFormat="false" ht="15" hidden="false" customHeight="false" outlineLevel="0" collapsed="false">
      <c r="A3" s="47" t="s">
        <v>291</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300</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301</v>
      </c>
      <c r="B9" s="56" t="s">
        <v>30</v>
      </c>
      <c r="C9" s="57" t="n">
        <f aca="false">SUM(E9:P9)</f>
        <v>9197434.24316899</v>
      </c>
      <c r="D9" s="57" t="n">
        <f aca="false">SUM(Q9:AB9)</f>
        <v>9703425.52294328</v>
      </c>
      <c r="E9" s="58" t="n">
        <f aca="false">PL!E13</f>
        <v>664034.2</v>
      </c>
      <c r="F9" s="58" t="n">
        <f aca="false">PL!F13</f>
        <v>566098.91</v>
      </c>
      <c r="G9" s="58" t="n">
        <f aca="false">PL!G13</f>
        <v>490939.1</v>
      </c>
      <c r="H9" s="58" t="n">
        <f aca="false">PL!H13</f>
        <v>453372.76</v>
      </c>
      <c r="I9" s="58" t="n">
        <f aca="false">PL!I13</f>
        <v>476711.55</v>
      </c>
      <c r="J9" s="58" t="n">
        <f aca="false">PL!J13</f>
        <v>646422.85</v>
      </c>
      <c r="K9" s="58" t="n">
        <f aca="false">PL!K13</f>
        <v>880782.99</v>
      </c>
      <c r="L9" s="58" t="n">
        <f aca="false">PL!L13</f>
        <v>949041.64</v>
      </c>
      <c r="M9" s="58" t="n">
        <f aca="false">PL!M13</f>
        <v>1074285.20958651</v>
      </c>
      <c r="N9" s="58" t="n">
        <f aca="false">PL!N13</f>
        <v>1074569.1441731</v>
      </c>
      <c r="O9" s="58" t="n">
        <f aca="false">PL!O13</f>
        <v>1008230.98924577</v>
      </c>
      <c r="P9" s="58" t="n">
        <f aca="false">PL!P13</f>
        <v>912944.900163607</v>
      </c>
      <c r="Q9" s="58" t="n">
        <f aca="false">PL!Q13</f>
        <v>822468.085884264</v>
      </c>
      <c r="R9" s="58" t="n">
        <f aca="false">PL!R13</f>
        <v>673862.17441346</v>
      </c>
      <c r="S9" s="58" t="n">
        <f aca="false">PL!S13</f>
        <v>581675.801172494</v>
      </c>
      <c r="T9" s="58" t="n">
        <f aca="false">PL!T13</f>
        <v>676204.411973833</v>
      </c>
      <c r="U9" s="58" t="n">
        <f aca="false">PL!U13</f>
        <v>851315.565964782</v>
      </c>
      <c r="V9" s="58" t="n">
        <f aca="false">PL!V13</f>
        <v>969743.588386608</v>
      </c>
      <c r="W9" s="58" t="n">
        <f aca="false">PL!W13</f>
        <v>1010443.71215389</v>
      </c>
      <c r="X9" s="58" t="n">
        <f aca="false">PL!X13</f>
        <v>972765.692532268</v>
      </c>
      <c r="Y9" s="58" t="n">
        <f aca="false">PL!Y13</f>
        <v>878268.839686541</v>
      </c>
      <c r="Z9" s="58" t="n">
        <f aca="false">PL!Z13</f>
        <v>803854.73968934</v>
      </c>
      <c r="AA9" s="58" t="n">
        <f aca="false">PL!AA13</f>
        <v>756126.725808716</v>
      </c>
      <c r="AB9" s="58" t="n">
        <f aca="false">PL!AB13</f>
        <v>706696.185277079</v>
      </c>
    </row>
    <row r="10" customFormat="false" ht="15" hidden="false" customHeight="false" outlineLevel="0" collapsed="false">
      <c r="A10" s="27" t="s">
        <v>302</v>
      </c>
      <c r="B10" s="56"/>
      <c r="D10" s="59" t="n">
        <f aca="false">IF(C9=0,0,D9/C9-1)</f>
        <v>0.0550143949275952</v>
      </c>
      <c r="Q10" s="60" t="n">
        <f aca="false">IF(E9=0,0,Q9/E9-1)</f>
        <v>0.238592960850908</v>
      </c>
      <c r="R10" s="60" t="n">
        <f aca="false">IF(F9=0,0,R9/F9-1)</f>
        <v>0.190361193971314</v>
      </c>
      <c r="S10" s="60" t="n">
        <f aca="false">IF(G9=0,0,S9/G9-1)</f>
        <v>0.184822722762342</v>
      </c>
      <c r="T10" s="60" t="n">
        <f aca="false">IF(H9=0,0,T9/H9-1)</f>
        <v>0.491497662924947</v>
      </c>
      <c r="U10" s="60" t="n">
        <f aca="false">IF(I9=0,0,U9/I9-1)</f>
        <v>0.785808558581771</v>
      </c>
      <c r="V10" s="60" t="n">
        <f aca="false">IF(J9=0,0,V9/J9-1)</f>
        <v>0.500169105078214</v>
      </c>
      <c r="W10" s="60" t="n">
        <f aca="false">IF(K9=0,0,W9/K9-1)</f>
        <v>0.147210747285084</v>
      </c>
      <c r="X10" s="60" t="n">
        <f aca="false">IF(L9=0,0,X9/L9-1)</f>
        <v>0.0249979047623954</v>
      </c>
      <c r="Y10" s="60" t="n">
        <f aca="false">IF(M9=0,0,Y9/M9-1)</f>
        <v>-0.182462132170113</v>
      </c>
      <c r="Z10" s="60" t="n">
        <f aca="false">IF(N9=0,0,Z9/N9-1)</f>
        <v>-0.251928324902793</v>
      </c>
      <c r="AA10" s="60" t="n">
        <f aca="false">IF(O9=0,0,AA9/O9-1)</f>
        <v>-0.250046136377585</v>
      </c>
      <c r="AB10" s="60" t="n">
        <f aca="false">IF(P9=0,0,AB9/P9-1)</f>
        <v>-0.225915840977442</v>
      </c>
    </row>
    <row r="11" customFormat="false" ht="15" hidden="false" customHeight="false" outlineLevel="0" collapsed="false">
      <c r="A11" s="27" t="s">
        <v>303</v>
      </c>
      <c r="B11" s="56" t="s">
        <v>30</v>
      </c>
      <c r="C11" s="59" t="n">
        <f aca="false">PL!C31</f>
        <v>0.182729564511449</v>
      </c>
      <c r="D11" s="59" t="n">
        <f aca="false">PL!D31</f>
        <v>0.186168299857649</v>
      </c>
      <c r="E11" s="61" t="n">
        <f aca="false">PL!E31</f>
        <v>0.191555043399873</v>
      </c>
      <c r="F11" s="61" t="n">
        <f aca="false">PL!F31</f>
        <v>0.227262228786132</v>
      </c>
      <c r="G11" s="61" t="n">
        <f aca="false">PL!G31</f>
        <v>0.22851905664063</v>
      </c>
      <c r="H11" s="61" t="n">
        <f aca="false">PL!H31</f>
        <v>0.236109685989957</v>
      </c>
      <c r="I11" s="61" t="n">
        <f aca="false">PL!I31</f>
        <v>0.132524584310995</v>
      </c>
      <c r="J11" s="61" t="n">
        <f aca="false">PL!J31</f>
        <v>0.140706969130191</v>
      </c>
      <c r="K11" s="61" t="n">
        <f aca="false">PL!K31</f>
        <v>0.172731230879016</v>
      </c>
      <c r="L11" s="61" t="n">
        <f aca="false">PL!L31</f>
        <v>0.171985140715217</v>
      </c>
      <c r="M11" s="61" t="n">
        <f aca="false">PL!M31</f>
        <v>0.170604159733615</v>
      </c>
      <c r="N11" s="61" t="n">
        <f aca="false">PL!N31</f>
        <v>0.180192740402796</v>
      </c>
      <c r="O11" s="61" t="n">
        <f aca="false">PL!O31</f>
        <v>0.185426601657314</v>
      </c>
      <c r="P11" s="61" t="n">
        <f aca="false">PL!P31</f>
        <v>0.188625396218399</v>
      </c>
      <c r="Q11" s="61" t="n">
        <f aca="false">PL!Q31</f>
        <v>0.182723251041375</v>
      </c>
      <c r="R11" s="61" t="n">
        <f aca="false">PL!R31</f>
        <v>0.18759778659112</v>
      </c>
      <c r="S11" s="61" t="n">
        <f aca="false">PL!S31</f>
        <v>0.194293768263128</v>
      </c>
      <c r="T11" s="61" t="n">
        <f aca="false">PL!T31</f>
        <v>0.189182008620952</v>
      </c>
      <c r="U11" s="61" t="n">
        <f aca="false">PL!U31</f>
        <v>0.182138516233527</v>
      </c>
      <c r="V11" s="61" t="n">
        <f aca="false">PL!V31</f>
        <v>0.179434865461384</v>
      </c>
      <c r="W11" s="61" t="n">
        <f aca="false">PL!W31</f>
        <v>0.179050256798266</v>
      </c>
      <c r="X11" s="61" t="n">
        <f aca="false">PL!X31</f>
        <v>0.180873373707143</v>
      </c>
      <c r="Y11" s="61" t="n">
        <f aca="false">PL!Y31</f>
        <v>0.186346000119702</v>
      </c>
      <c r="Z11" s="61" t="n">
        <f aca="false">PL!Z31</f>
        <v>0.191752521192566</v>
      </c>
      <c r="AA11" s="61" t="n">
        <f aca="false">PL!AA31</f>
        <v>0.194765739247774</v>
      </c>
      <c r="AB11" s="61" t="n">
        <f aca="false">PL!AB31</f>
        <v>0.195031508574703</v>
      </c>
    </row>
    <row r="12" customFormat="false" ht="15" hidden="false" customHeight="false" outlineLevel="0" collapsed="false">
      <c r="A12" s="27" t="s">
        <v>304</v>
      </c>
      <c r="B12" s="56" t="s">
        <v>30</v>
      </c>
      <c r="C12" s="59" t="n">
        <f aca="false">PL!C37</f>
        <v>0.16422806899674</v>
      </c>
      <c r="D12" s="59" t="n">
        <f aca="false">PL!D37</f>
        <v>0.159171508326782</v>
      </c>
      <c r="E12" s="61" t="n">
        <f aca="false">PL!E37</f>
        <v>0.157161434606832</v>
      </c>
      <c r="F12" s="61" t="n">
        <f aca="false">PL!F37</f>
        <v>0.155888778340873</v>
      </c>
      <c r="G12" s="61" t="n">
        <f aca="false">PL!G37</f>
        <v>0.128863126811452</v>
      </c>
      <c r="H12" s="61" t="n">
        <f aca="false">PL!H37</f>
        <v>0.134400967318813</v>
      </c>
      <c r="I12" s="61" t="n">
        <f aca="false">PL!I37</f>
        <v>0.0714920269920039</v>
      </c>
      <c r="J12" s="61" t="n">
        <f aca="false">PL!J37</f>
        <v>0.10956952558221</v>
      </c>
      <c r="K12" s="61" t="n">
        <f aca="false">PL!K37</f>
        <v>0.172387440179788</v>
      </c>
      <c r="L12" s="61" t="n">
        <f aca="false">PL!L37</f>
        <v>0.191963976944152</v>
      </c>
      <c r="M12" s="61" t="n">
        <f aca="false">PL!M37</f>
        <v>0.172911035106288</v>
      </c>
      <c r="N12" s="61" t="n">
        <f aca="false">PL!N37</f>
        <v>0.18307952958504</v>
      </c>
      <c r="O12" s="61" t="n">
        <f aca="false">PL!O37</f>
        <v>0.194984006167892</v>
      </c>
      <c r="P12" s="61" t="n">
        <f aca="false">PL!P37</f>
        <v>0.19241774012003</v>
      </c>
      <c r="Q12" s="61" t="n">
        <f aca="false">PL!Q37</f>
        <v>0.165071659606205</v>
      </c>
      <c r="R12" s="61" t="n">
        <f aca="false">PL!R37</f>
        <v>0.12922247518623</v>
      </c>
      <c r="S12" s="61" t="n">
        <f aca="false">PL!S37</f>
        <v>0.101445527224475</v>
      </c>
      <c r="T12" s="61" t="n">
        <f aca="false">PL!T37</f>
        <v>0.12195353783652</v>
      </c>
      <c r="U12" s="61" t="n">
        <f aca="false">PL!U37</f>
        <v>0.159865717825907</v>
      </c>
      <c r="V12" s="61" t="n">
        <f aca="false">PL!V37</f>
        <v>0.178725444633127</v>
      </c>
      <c r="W12" s="61" t="n">
        <f aca="false">PL!W37</f>
        <v>0.18477877589826</v>
      </c>
      <c r="X12" s="61" t="n">
        <f aca="false">PL!X37</f>
        <v>0.18156792914881</v>
      </c>
      <c r="Y12" s="61" t="n">
        <f aca="false">PL!Y37</f>
        <v>0.173340938174484</v>
      </c>
      <c r="Z12" s="61" t="n">
        <f aca="false">PL!Z37</f>
        <v>0.166087259301775</v>
      </c>
      <c r="AA12" s="61" t="n">
        <f aca="false">PL!AA37</f>
        <v>0.158946770905492</v>
      </c>
      <c r="AB12" s="61" t="n">
        <f aca="false">PL!AB37</f>
        <v>0.14364182304467</v>
      </c>
    </row>
    <row r="13" customFormat="false" ht="15" hidden="false" customHeight="false" outlineLevel="0" collapsed="false">
      <c r="A13" s="27" t="s">
        <v>305</v>
      </c>
      <c r="B13" s="56" t="s">
        <v>30</v>
      </c>
      <c r="C13" s="59" t="n">
        <f aca="false">PL!C52</f>
        <v>0.11809799573253</v>
      </c>
      <c r="D13" s="59" t="n">
        <f aca="false">PL!D52</f>
        <v>0.131969169544528</v>
      </c>
      <c r="E13" s="61" t="n">
        <f aca="false">PL!E52</f>
        <v>0.131604955989717</v>
      </c>
      <c r="F13" s="61" t="n">
        <f aca="false">PL!F52</f>
        <v>0.153306093629468</v>
      </c>
      <c r="G13" s="61" t="n">
        <f aca="false">PL!G52</f>
        <v>0.175923653259641</v>
      </c>
      <c r="H13" s="61" t="n">
        <f aca="false">PL!H52</f>
        <v>0.193117680544666</v>
      </c>
      <c r="I13" s="61" t="n">
        <f aca="false">PL!I52</f>
        <v>0.183191448091968</v>
      </c>
      <c r="J13" s="61" t="n">
        <f aca="false">PL!J52</f>
        <v>0.152894760243495</v>
      </c>
      <c r="K13" s="61" t="n">
        <f aca="false">PL!K52</f>
        <v>0.102009652419226</v>
      </c>
      <c r="L13" s="61" t="n">
        <f aca="false">PL!L52</f>
        <v>0.0916701127746794</v>
      </c>
      <c r="M13" s="61" t="n">
        <f aca="false">PL!M52</f>
        <v>0.0849792176714455</v>
      </c>
      <c r="N13" s="61" t="n">
        <f aca="false">PL!N52</f>
        <v>0.0850177647125427</v>
      </c>
      <c r="O13" s="61" t="n">
        <f aca="false">PL!O52</f>
        <v>0.0955121075366911</v>
      </c>
      <c r="P13" s="61" t="n">
        <f aca="false">PL!P52</f>
        <v>0.105308582496166</v>
      </c>
      <c r="Q13" s="61" t="n">
        <f aca="false">PL!Q52</f>
        <v>0.130077023659397</v>
      </c>
      <c r="R13" s="61" t="n">
        <f aca="false">PL!R52</f>
        <v>0.158762733284128</v>
      </c>
      <c r="S13" s="61" t="n">
        <f aca="false">PL!S52</f>
        <v>0.183495457638406</v>
      </c>
      <c r="T13" s="61" t="n">
        <f aca="false">PL!T52</f>
        <v>0.157640991558814</v>
      </c>
      <c r="U13" s="61" t="n">
        <f aca="false">PL!U52</f>
        <v>0.125243256746008</v>
      </c>
      <c r="V13" s="61" t="n">
        <f aca="false">PL!V52</f>
        <v>0.109948171121595</v>
      </c>
      <c r="W13" s="61" t="n">
        <f aca="false">PL!W52</f>
        <v>0.105570189330599</v>
      </c>
      <c r="X13" s="61" t="n">
        <f aca="false">PL!X52</f>
        <v>0.109703636568639</v>
      </c>
      <c r="Y13" s="61" t="n">
        <f aca="false">PL!Y52</f>
        <v>0.121636484380031</v>
      </c>
      <c r="Z13" s="61" t="n">
        <f aca="false">PL!Z52</f>
        <v>0.132724477942245</v>
      </c>
      <c r="AA13" s="61" t="n">
        <f aca="false">PL!AA52</f>
        <v>0.141070533583614</v>
      </c>
      <c r="AB13" s="61" t="n">
        <f aca="false">PL!AB52</f>
        <v>0.150605785367683</v>
      </c>
    </row>
    <row r="14" customFormat="false" ht="15" hidden="false" customHeight="false" outlineLevel="0" collapsed="false">
      <c r="A14" s="27" t="s">
        <v>306</v>
      </c>
      <c r="B14" s="56" t="s">
        <v>30</v>
      </c>
      <c r="C14" s="59" t="n">
        <f aca="false">PL!C54</f>
        <v>0.0461300732642095</v>
      </c>
      <c r="D14" s="59" t="n">
        <f aca="false">PL!D54</f>
        <v>0.0272023387822546</v>
      </c>
      <c r="E14" s="61" t="n">
        <f aca="false">PL!E54</f>
        <v>0.0255564786171152</v>
      </c>
      <c r="F14" s="61" t="n">
        <f aca="false">PL!F54</f>
        <v>0.00258268471140508</v>
      </c>
      <c r="G14" s="61" t="n">
        <f aca="false">PL!G54</f>
        <v>-0.0470605264481889</v>
      </c>
      <c r="H14" s="61" t="n">
        <f aca="false">PL!H54</f>
        <v>-0.0587167132258525</v>
      </c>
      <c r="I14" s="61" t="n">
        <f aca="false">PL!I54</f>
        <v>-0.111699421099964</v>
      </c>
      <c r="J14" s="61" t="n">
        <f aca="false">PL!J54</f>
        <v>-0.043325234661285</v>
      </c>
      <c r="K14" s="61" t="n">
        <f aca="false">PL!K54</f>
        <v>0.0703777877605621</v>
      </c>
      <c r="L14" s="61" t="n">
        <f aca="false">PL!L54</f>
        <v>0.100293864169473</v>
      </c>
      <c r="M14" s="61" t="n">
        <f aca="false">PL!M54</f>
        <v>0.0879318174348428</v>
      </c>
      <c r="N14" s="61" t="n">
        <f aca="false">PL!N54</f>
        <v>0.0980617648724972</v>
      </c>
      <c r="O14" s="61" t="n">
        <f aca="false">PL!O54</f>
        <v>0.0994718986312012</v>
      </c>
      <c r="P14" s="61" t="n">
        <f aca="false">PL!P54</f>
        <v>0.0871091576238638</v>
      </c>
      <c r="Q14" s="61" t="n">
        <f aca="false">PL!Q54</f>
        <v>0.0349946359468079</v>
      </c>
      <c r="R14" s="61" t="n">
        <f aca="false">PL!R54</f>
        <v>-0.0295402580978981</v>
      </c>
      <c r="S14" s="61" t="n">
        <f aca="false">PL!S54</f>
        <v>-0.0820499304139312</v>
      </c>
      <c r="T14" s="61" t="n">
        <f aca="false">PL!T54</f>
        <v>-0.0356874537222939</v>
      </c>
      <c r="U14" s="61" t="n">
        <f aca="false">PL!U54</f>
        <v>0.0346224610798992</v>
      </c>
      <c r="V14" s="61" t="n">
        <f aca="false">PL!V54</f>
        <v>0.0687772735115326</v>
      </c>
      <c r="W14" s="61" t="n">
        <f aca="false">PL!W54</f>
        <v>0.079208586567661</v>
      </c>
      <c r="X14" s="61" t="n">
        <f aca="false">PL!X54</f>
        <v>0.0718642925801714</v>
      </c>
      <c r="Y14" s="61" t="n">
        <f aca="false">PL!Y54</f>
        <v>0.0517044537944525</v>
      </c>
      <c r="Z14" s="61" t="n">
        <f aca="false">PL!Z54</f>
        <v>0.03336278135953</v>
      </c>
      <c r="AA14" s="61" t="n">
        <f aca="false">PL!AA54</f>
        <v>0.017876237321878</v>
      </c>
      <c r="AB14" s="61" t="n">
        <f aca="false">PL!AB54</f>
        <v>-0.00696396232301294</v>
      </c>
    </row>
    <row r="15" customFormat="false" ht="15" hidden="false" customHeight="false" outlineLevel="0" collapsed="false">
      <c r="A15" s="27" t="s">
        <v>307</v>
      </c>
      <c r="B15" s="56" t="s">
        <v>30</v>
      </c>
      <c r="C15" s="57" t="n">
        <f aca="false">SUM(E15:P15)</f>
        <v>424278.315480134</v>
      </c>
      <c r="D15" s="57" t="n">
        <f aca="false">SUM(Q15:AB15)</f>
        <v>263955.868423479</v>
      </c>
      <c r="E15" s="58" t="n">
        <f aca="false">PL!E53</f>
        <v>16970.3758333332</v>
      </c>
      <c r="F15" s="58" t="n">
        <f aca="false">PL!F53</f>
        <v>1462.05500000008</v>
      </c>
      <c r="G15" s="58" t="n">
        <f aca="false">PL!G53</f>
        <v>-23103.8525</v>
      </c>
      <c r="H15" s="58" t="n">
        <f aca="false">PL!H53</f>
        <v>-26620.5583333332</v>
      </c>
      <c r="I15" s="58" t="n">
        <f aca="false">PL!I53</f>
        <v>-53248.4041666667</v>
      </c>
      <c r="J15" s="58" t="n">
        <f aca="false">PL!J53</f>
        <v>-28006.4216666666</v>
      </c>
      <c r="K15" s="58" t="n">
        <f aca="false">PL!K53</f>
        <v>61987.5583333333</v>
      </c>
      <c r="L15" s="58" t="n">
        <f aca="false">PL!L53</f>
        <v>95183.0533333334</v>
      </c>
      <c r="M15" s="58" t="n">
        <f aca="false">PL!M53</f>
        <v>94463.850922313</v>
      </c>
      <c r="N15" s="58" t="n">
        <f aca="false">PL!N53</f>
        <v>105374.146755143</v>
      </c>
      <c r="O15" s="58" t="n">
        <f aca="false">PL!O53</f>
        <v>100290.650759091</v>
      </c>
      <c r="P15" s="58" t="n">
        <f aca="false">PL!P53</f>
        <v>79525.8612102542</v>
      </c>
      <c r="Q15" s="58" t="n">
        <f aca="false">PL!Q53</f>
        <v>28781.9712433877</v>
      </c>
      <c r="R15" s="58" t="n">
        <f aca="false">PL!R53</f>
        <v>-19906.0625545844</v>
      </c>
      <c r="S15" s="58" t="n">
        <f aca="false">PL!S53</f>
        <v>-47726.4590096708</v>
      </c>
      <c r="T15" s="58" t="n">
        <f aca="false">PL!T53</f>
        <v>-24132.0136591271</v>
      </c>
      <c r="U15" s="58" t="n">
        <f aca="false">PL!U53</f>
        <v>29474.6400493281</v>
      </c>
      <c r="V15" s="58" t="n">
        <f aca="false">PL!V53</f>
        <v>66696.3200145209</v>
      </c>
      <c r="W15" s="58" t="n">
        <f aca="false">PL!W53</f>
        <v>80035.8182458901</v>
      </c>
      <c r="X15" s="58" t="n">
        <f aca="false">PL!X53</f>
        <v>69907.1183400919</v>
      </c>
      <c r="Y15" s="58" t="n">
        <f aca="false">PL!Y53</f>
        <v>45410.4106406802</v>
      </c>
      <c r="Z15" s="58" t="n">
        <f aca="false">PL!Z53</f>
        <v>26818.8299250774</v>
      </c>
      <c r="AA15" s="58" t="n">
        <f aca="false">PL!AA53</f>
        <v>13516.7007959712</v>
      </c>
      <c r="AB15" s="58" t="n">
        <f aca="false">PL!AB53</f>
        <v>-4921.40560808656</v>
      </c>
    </row>
    <row r="16" customFormat="false" ht="15" hidden="false" customHeight="false" outlineLevel="0" collapsed="false">
      <c r="A16" s="21" t="s">
        <v>308</v>
      </c>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row>
    <row r="17" customFormat="false" ht="15" hidden="false" customHeight="false" outlineLevel="0" collapsed="false">
      <c r="A17" s="27" t="s">
        <v>309</v>
      </c>
      <c r="B17" s="56" t="s">
        <v>51</v>
      </c>
      <c r="C17" s="57" t="n">
        <f aca="false">P17</f>
        <v>2859805.72827531</v>
      </c>
      <c r="D17" s="57" t="n">
        <f aca="false">AB17</f>
        <v>580729.547453719</v>
      </c>
      <c r="E17" s="58" t="n">
        <f aca="false">Pipeline!E11</f>
        <v>712548.03</v>
      </c>
      <c r="F17" s="58" t="n">
        <f aca="false">Pipeline!F11</f>
        <v>1693908.01</v>
      </c>
      <c r="G17" s="58" t="n">
        <f aca="false">Pipeline!G11</f>
        <v>1689957.66</v>
      </c>
      <c r="H17" s="58" t="n">
        <f aca="false">Pipeline!H11</f>
        <v>2833344.6</v>
      </c>
      <c r="I17" s="58" t="n">
        <f aca="false">Pipeline!I11</f>
        <v>3714487.05</v>
      </c>
      <c r="J17" s="58" t="n">
        <f aca="false">Pipeline!J11</f>
        <v>3426439.2</v>
      </c>
      <c r="K17" s="58" t="n">
        <f aca="false">Pipeline!K11</f>
        <v>3463790.21</v>
      </c>
      <c r="L17" s="58" t="n">
        <f aca="false">Pipeline!L11</f>
        <v>5341427.57</v>
      </c>
      <c r="M17" s="58" t="n">
        <f aca="false">Pipeline!M11</f>
        <v>4685945.13879178</v>
      </c>
      <c r="N17" s="58" t="n">
        <f aca="false">Pipeline!N11</f>
        <v>4025273.43912993</v>
      </c>
      <c r="O17" s="58" t="n">
        <f aca="false">Pipeline!O11</f>
        <v>3391635.86246332</v>
      </c>
      <c r="P17" s="58" t="n">
        <f aca="false">Pipeline!P11</f>
        <v>2859805.72827531</v>
      </c>
      <c r="Q17" s="58" t="n">
        <f aca="false">Pipeline!Q11</f>
        <v>2450143.31375909</v>
      </c>
      <c r="R17" s="58" t="n">
        <f aca="false">Pipeline!R11</f>
        <v>2280982.99477138</v>
      </c>
      <c r="S17" s="58" t="n">
        <f aca="false">Pipeline!S11</f>
        <v>2242096.24627864</v>
      </c>
      <c r="T17" s="58" t="n">
        <f aca="false">Pipeline!T11</f>
        <v>2153627.78998115</v>
      </c>
      <c r="U17" s="58" t="n">
        <f aca="false">Pipeline!U11</f>
        <v>1975395.61242665</v>
      </c>
      <c r="V17" s="58" t="n">
        <f aca="false">Pipeline!V11</f>
        <v>1725366.2591809</v>
      </c>
      <c r="W17" s="58" t="n">
        <f aca="false">Pipeline!W11</f>
        <v>1430218.0961204</v>
      </c>
      <c r="X17" s="58" t="n">
        <f aca="false">Pipeline!X11</f>
        <v>1135015.66649056</v>
      </c>
      <c r="Y17" s="58" t="n">
        <f aca="false">Pipeline!Y11</f>
        <v>912352.666736612</v>
      </c>
      <c r="Z17" s="58" t="n">
        <f aca="false">Pipeline!Z11</f>
        <v>745008.096883536</v>
      </c>
      <c r="AA17" s="58" t="n">
        <f aca="false">Pipeline!AA11</f>
        <v>649338.991037068</v>
      </c>
      <c r="AB17" s="58" t="n">
        <f aca="false">Pipeline!AB11</f>
        <v>580729.547453719</v>
      </c>
    </row>
    <row r="18" customFormat="false" ht="15" hidden="false" customHeight="false" outlineLevel="0" collapsed="false">
      <c r="A18" s="27" t="s">
        <v>310</v>
      </c>
      <c r="B18" s="56" t="s">
        <v>51</v>
      </c>
      <c r="C18" s="62" t="n">
        <f aca="false">P18</f>
        <v>2.8638676151175</v>
      </c>
      <c r="D18" s="62" t="n">
        <f aca="false">AB18</f>
        <v>0.768608911710662</v>
      </c>
      <c r="E18" s="63" t="n">
        <f aca="false">Pipeline!E14</f>
        <v>1.07305923399729</v>
      </c>
      <c r="F18" s="63" t="n">
        <f aca="false">Pipeline!F14</f>
        <v>2.75402392835358</v>
      </c>
      <c r="G18" s="63" t="n">
        <f aca="false">Pipeline!G14</f>
        <v>2.94576424541769</v>
      </c>
      <c r="H18" s="63" t="n">
        <f aca="false">Pipeline!H14</f>
        <v>5.62763055509727</v>
      </c>
      <c r="I18" s="63" t="n">
        <f aca="false">Pipeline!I14</f>
        <v>7.84185613803505</v>
      </c>
      <c r="J18" s="63" t="n">
        <f aca="false">Pipeline!J14</f>
        <v>6.52031139522386</v>
      </c>
      <c r="K18" s="63" t="n">
        <f aca="false">Pipeline!K14</f>
        <v>5.18552844635976</v>
      </c>
      <c r="L18" s="63" t="n">
        <f aca="false">Pipeline!L14</f>
        <v>6.47119596866788</v>
      </c>
      <c r="M18" s="63" t="n">
        <f aca="false">Pipeline!M14</f>
        <v>4.84066932481345</v>
      </c>
      <c r="N18" s="63" t="n">
        <f aca="false">Pipeline!N14</f>
        <v>3.89807157558397</v>
      </c>
      <c r="O18" s="63" t="n">
        <f aca="false">Pipeline!O14</f>
        <v>3.22288011945346</v>
      </c>
      <c r="P18" s="63" t="n">
        <f aca="false">Pipeline!P14</f>
        <v>2.8638676151175</v>
      </c>
      <c r="Q18" s="63" t="n">
        <f aca="false">Pipeline!Q14</f>
        <v>2.67907571371047</v>
      </c>
      <c r="R18" s="63" t="n">
        <f aca="false">Pipeline!R14</f>
        <v>2.84025216239885</v>
      </c>
      <c r="S18" s="63" t="n">
        <f aca="false">Pipeline!S14</f>
        <v>3.23689562968694</v>
      </c>
      <c r="T18" s="63" t="n">
        <f aca="false">Pipeline!T14</f>
        <v>3.34458849769557</v>
      </c>
      <c r="U18" s="63" t="n">
        <f aca="false">Pipeline!U14</f>
        <v>2.80969026013197</v>
      </c>
      <c r="V18" s="63" t="n">
        <f aca="false">Pipeline!V14</f>
        <v>2.07270824247015</v>
      </c>
      <c r="W18" s="63" t="n">
        <f aca="false">Pipeline!W14</f>
        <v>1.51532754535292</v>
      </c>
      <c r="X18" s="63" t="n">
        <f aca="false">Pipeline!X14</f>
        <v>1.15309895127334</v>
      </c>
      <c r="Y18" s="63" t="n">
        <f aca="false">Pipeline!Y14</f>
        <v>0.956518892146902</v>
      </c>
      <c r="Z18" s="63" t="n">
        <f aca="false">Pipeline!Z14</f>
        <v>0.841852168487701</v>
      </c>
      <c r="AA18" s="63" t="n">
        <f aca="false">Pipeline!AA14</f>
        <v>0.798940522623547</v>
      </c>
      <c r="AB18" s="63" t="n">
        <f aca="false">Pipeline!AB14</f>
        <v>0.768608911710662</v>
      </c>
    </row>
    <row r="19" customFormat="false" ht="15" hidden="false" customHeight="false" outlineLevel="0" collapsed="false">
      <c r="A19" s="27" t="s">
        <v>311</v>
      </c>
      <c r="B19" s="56" t="s">
        <v>51</v>
      </c>
      <c r="C19" s="57" t="n">
        <f aca="false">P19</f>
        <v>3106562.5</v>
      </c>
      <c r="D19" s="57" t="n">
        <f aca="false">AB19</f>
        <v>820550.154883382</v>
      </c>
      <c r="E19" s="58" t="n">
        <f aca="false">Pipeline!E12</f>
        <v>3167500</v>
      </c>
      <c r="F19" s="58" t="n">
        <f aca="false">Pipeline!F12</f>
        <v>3167500</v>
      </c>
      <c r="G19" s="58" t="n">
        <f aca="false">Pipeline!G12</f>
        <v>3167500</v>
      </c>
      <c r="H19" s="58" t="n">
        <f aca="false">Pipeline!H12</f>
        <v>3167500</v>
      </c>
      <c r="I19" s="58" t="n">
        <f aca="false">Pipeline!I12</f>
        <v>3167500</v>
      </c>
      <c r="J19" s="58" t="n">
        <f aca="false">Pipeline!J12</f>
        <v>3167500</v>
      </c>
      <c r="K19" s="58" t="n">
        <f aca="false">Pipeline!K12</f>
        <v>3167500</v>
      </c>
      <c r="L19" s="58" t="n">
        <f aca="false">Pipeline!L12</f>
        <v>3167500</v>
      </c>
      <c r="M19" s="58" t="n">
        <f aca="false">Pipeline!M12</f>
        <v>3167500</v>
      </c>
      <c r="N19" s="58" t="n">
        <f aca="false">Pipeline!N12</f>
        <v>3167500</v>
      </c>
      <c r="O19" s="58" t="n">
        <f aca="false">Pipeline!O12</f>
        <v>3167500</v>
      </c>
      <c r="P19" s="58" t="n">
        <f aca="false">Pipeline!P12</f>
        <v>3106562.5</v>
      </c>
      <c r="Q19" s="58" t="n">
        <f aca="false">Pipeline!Q12</f>
        <v>2972500</v>
      </c>
      <c r="R19" s="58" t="n">
        <f aca="false">Pipeline!R12</f>
        <v>2810615.234375</v>
      </c>
      <c r="S19" s="58" t="n">
        <f aca="false">Pipeline!S12</f>
        <v>2676328.125</v>
      </c>
      <c r="T19" s="58" t="n">
        <f aca="false">Pipeline!T12</f>
        <v>2543738.06423611</v>
      </c>
      <c r="U19" s="58" t="n">
        <f aca="false">Pipeline!U12</f>
        <v>2352638.88888889</v>
      </c>
      <c r="V19" s="58" t="n">
        <f aca="false">Pipeline!V12</f>
        <v>2121153.046875</v>
      </c>
      <c r="W19" s="58" t="n">
        <f aca="false">Pipeline!W12</f>
        <v>1878922.98611111</v>
      </c>
      <c r="X19" s="58" t="n">
        <f aca="false">Pipeline!X12</f>
        <v>1658800.01748765</v>
      </c>
      <c r="Y19" s="58" t="n">
        <f aca="false">Pipeline!Y12</f>
        <v>1488669.84511662</v>
      </c>
      <c r="Z19" s="58" t="n">
        <f aca="false">Pipeline!Z12</f>
        <v>1321628.59876093</v>
      </c>
      <c r="AA19" s="58" t="n">
        <f aca="false">Pipeline!AA12</f>
        <v>1091496.40123907</v>
      </c>
      <c r="AB19" s="58" t="n">
        <f aca="false">Pipeline!AB12</f>
        <v>820550.154883382</v>
      </c>
    </row>
    <row r="20" customFormat="false" ht="15" hidden="false" customHeight="false" outlineLevel="0" collapsed="false">
      <c r="A20" s="27" t="s">
        <v>312</v>
      </c>
      <c r="B20" s="56" t="s">
        <v>51</v>
      </c>
      <c r="E20" s="64" t="n">
        <f aca="false">Pipeline!E19</f>
        <v>0.370136056245296</v>
      </c>
      <c r="F20" s="64" t="n">
        <f aca="false">Pipeline!F19</f>
        <v>1.34713551446477</v>
      </c>
      <c r="G20" s="64" t="n">
        <f aca="false">Pipeline!G19</f>
        <v>1.21143493450516</v>
      </c>
      <c r="H20" s="64" t="n">
        <f aca="false">Pipeline!H19</f>
        <v>2.2572647571892</v>
      </c>
      <c r="I20" s="64" t="n">
        <f aca="false">Pipeline!I19</f>
        <v>2.35508294687418</v>
      </c>
      <c r="J20" s="64" t="n">
        <f aca="false">Pipeline!J19</f>
        <v>2.05085779629444</v>
      </c>
      <c r="K20" s="64" t="n">
        <f aca="false">Pipeline!K19</f>
        <v>1.27054289398626</v>
      </c>
      <c r="L20" s="64" t="n">
        <f aca="false">Pipeline!L19</f>
        <v>1.59805836531331</v>
      </c>
      <c r="M20" s="64" t="n">
        <f aca="false">Pipeline!M19</f>
        <v>1.39773837857188</v>
      </c>
      <c r="N20" s="64" t="n">
        <f aca="false">Pipeline!N19</f>
        <v>1.1551708740701</v>
      </c>
      <c r="O20" s="64" t="n">
        <f aca="false">Pipeline!O19</f>
        <v>0.499724734703192</v>
      </c>
      <c r="P20" s="64" t="n">
        <f aca="false">Pipeline!P19</f>
        <v>0.492644770006051</v>
      </c>
      <c r="Q20" s="64" t="n">
        <f aca="false">Pipeline!Q19</f>
        <v>0.728805875663512</v>
      </c>
      <c r="R20" s="64" t="n">
        <f aca="false">Pipeline!R19</f>
        <v>0.657292098940314</v>
      </c>
      <c r="S20" s="64" t="n">
        <f aca="false">Pipeline!S19</f>
        <v>0.994974096952692</v>
      </c>
      <c r="T20" s="64" t="n">
        <f aca="false">Pipeline!T19</f>
        <v>0.826437799521831</v>
      </c>
      <c r="U20" s="64" t="n">
        <f aca="false">Pipeline!U19</f>
        <v>0.908228657696056</v>
      </c>
      <c r="V20" s="64" t="n">
        <f aca="false">Pipeline!V19</f>
        <v>0.642847043760302</v>
      </c>
      <c r="W20" s="64" t="n">
        <f aca="false">Pipeline!W19</f>
        <v>0.7089090808504</v>
      </c>
      <c r="X20" s="64" t="n">
        <f aca="false">Pipeline!X19</f>
        <v>0.72020590260816</v>
      </c>
      <c r="Y20" s="64" t="n">
        <f aca="false">Pipeline!Y19</f>
        <v>1.0400154032352</v>
      </c>
      <c r="Z20" s="64" t="n">
        <f aca="false">Pipeline!Z19</f>
        <v>0.974950222108796</v>
      </c>
      <c r="AA20" s="64" t="n">
        <f aca="false">Pipeline!AA19</f>
        <v>0.917571919800555</v>
      </c>
      <c r="AB20" s="64" t="n">
        <f aca="false">Pipeline!AB19</f>
        <v>0.558939133151886</v>
      </c>
    </row>
    <row r="21" customFormat="false" ht="15" hidden="false" customHeight="false" outlineLevel="0" collapsed="false">
      <c r="A21" s="21" t="s">
        <v>313</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row>
    <row r="22" customFormat="false" ht="15" hidden="false" customHeight="false" outlineLevel="0" collapsed="false">
      <c r="A22" s="27" t="s">
        <v>314</v>
      </c>
      <c r="B22" s="56" t="s">
        <v>69</v>
      </c>
      <c r="C22" s="65" t="n">
        <f aca="false">P22</f>
        <v>29</v>
      </c>
      <c r="D22" s="65" t="n">
        <f aca="false">AB22</f>
        <v>32</v>
      </c>
      <c r="E22" s="66" t="n">
        <f aca="false">Resources!E21</f>
        <v>25</v>
      </c>
      <c r="F22" s="66" t="n">
        <f aca="false">Resources!F21</f>
        <v>25</v>
      </c>
      <c r="G22" s="66" t="n">
        <f aca="false">Resources!G21</f>
        <v>25</v>
      </c>
      <c r="H22" s="66" t="n">
        <f aca="false">Resources!H21</f>
        <v>24</v>
      </c>
      <c r="I22" s="66" t="n">
        <f aca="false">Resources!I21</f>
        <v>24</v>
      </c>
      <c r="J22" s="66" t="n">
        <f aca="false">Resources!J21</f>
        <v>26</v>
      </c>
      <c r="K22" s="66" t="n">
        <f aca="false">Resources!K21</f>
        <v>27</v>
      </c>
      <c r="L22" s="66" t="n">
        <f aca="false">Resources!L21</f>
        <v>27</v>
      </c>
      <c r="M22" s="66" t="n">
        <f aca="false">Resources!M21</f>
        <v>27</v>
      </c>
      <c r="N22" s="66" t="n">
        <f aca="false">Resources!N21</f>
        <v>27</v>
      </c>
      <c r="O22" s="66" t="n">
        <f aca="false">Resources!O21</f>
        <v>29</v>
      </c>
      <c r="P22" s="66" t="n">
        <f aca="false">Resources!P21</f>
        <v>29</v>
      </c>
      <c r="Q22" s="66" t="n">
        <f aca="false">Resources!Q21</f>
        <v>29</v>
      </c>
      <c r="R22" s="66" t="n">
        <f aca="false">Resources!R21</f>
        <v>30</v>
      </c>
      <c r="S22" s="66" t="n">
        <f aca="false">Resources!S21</f>
        <v>31</v>
      </c>
      <c r="T22" s="66" t="n">
        <f aca="false">Resources!T21</f>
        <v>32</v>
      </c>
      <c r="U22" s="66" t="n">
        <f aca="false">Resources!U21</f>
        <v>32</v>
      </c>
      <c r="V22" s="66" t="n">
        <f aca="false">Resources!V21</f>
        <v>32</v>
      </c>
      <c r="W22" s="66" t="n">
        <f aca="false">Resources!W21</f>
        <v>32</v>
      </c>
      <c r="X22" s="66" t="n">
        <f aca="false">Resources!X21</f>
        <v>32</v>
      </c>
      <c r="Y22" s="66" t="n">
        <f aca="false">Resources!Y21</f>
        <v>32</v>
      </c>
      <c r="Z22" s="66" t="n">
        <f aca="false">Resources!Z21</f>
        <v>32</v>
      </c>
      <c r="AA22" s="66" t="n">
        <f aca="false">Resources!AA21</f>
        <v>32</v>
      </c>
      <c r="AB22" s="66" t="n">
        <f aca="false">Resources!AB21</f>
        <v>32</v>
      </c>
    </row>
    <row r="23" customFormat="false" ht="15" hidden="false" customHeight="false" outlineLevel="0" collapsed="false">
      <c r="A23" s="27" t="s">
        <v>315</v>
      </c>
      <c r="B23" s="56" t="s">
        <v>69</v>
      </c>
      <c r="C23" s="59" t="n">
        <f aca="false">Resources!C33</f>
        <v>0.856252361448182</v>
      </c>
      <c r="D23" s="59" t="n">
        <f aca="false">Resources!D33</f>
        <v>0.805544667662094</v>
      </c>
      <c r="E23" s="61" t="n">
        <f aca="false">Resources!E33</f>
        <v>0.779083037974684</v>
      </c>
      <c r="F23" s="61" t="n">
        <f aca="false">Resources!F33</f>
        <v>0.64841540687161</v>
      </c>
      <c r="G23" s="61" t="n">
        <f aca="false">Resources!G33</f>
        <v>0.61313938517179</v>
      </c>
      <c r="H23" s="61" t="n">
        <f aca="false">Resources!H33</f>
        <v>0.622117239300784</v>
      </c>
      <c r="I23" s="61" t="n">
        <f aca="false">Resources!I33</f>
        <v>0.744634192284509</v>
      </c>
      <c r="J23" s="61" t="n">
        <f aca="false">Resources!J33</f>
        <v>0.818265196828488</v>
      </c>
      <c r="K23" s="61" t="n">
        <f aca="false">Resources!K33</f>
        <v>1</v>
      </c>
      <c r="L23" s="61" t="n">
        <f aca="false">Resources!L33</f>
        <v>1</v>
      </c>
      <c r="M23" s="61" t="n">
        <f aca="false">Resources!M33</f>
        <v>1</v>
      </c>
      <c r="N23" s="61" t="n">
        <f aca="false">Resources!N33</f>
        <v>1</v>
      </c>
      <c r="O23" s="61" t="n">
        <f aca="false">Resources!O33</f>
        <v>1</v>
      </c>
      <c r="P23" s="61" t="n">
        <f aca="false">Resources!P33</f>
        <v>0.952642021728882</v>
      </c>
      <c r="Q23" s="61" t="n">
        <f aca="false">Resources!Q33</f>
        <v>0.843587153858304</v>
      </c>
      <c r="R23" s="61" t="n">
        <f aca="false">Resources!R33</f>
        <v>0.699340081619729</v>
      </c>
      <c r="S23" s="61" t="n">
        <f aca="false">Resources!S33</f>
        <v>0.616163846013596</v>
      </c>
      <c r="T23" s="61" t="n">
        <f aca="false">Resources!T33</f>
        <v>0.678438700879009</v>
      </c>
      <c r="U23" s="61" t="n">
        <f aca="false">Resources!U33</f>
        <v>0.823120588500567</v>
      </c>
      <c r="V23" s="61" t="n">
        <f aca="false">Resources!V33</f>
        <v>0.9228905284981</v>
      </c>
      <c r="W23" s="61" t="n">
        <f aca="false">Resources!W33</f>
        <v>0.958250479949853</v>
      </c>
      <c r="X23" s="61" t="n">
        <f aca="false">Resources!X33</f>
        <v>0.930335623789077</v>
      </c>
      <c r="Y23" s="61" t="n">
        <f aca="false">Resources!Y33</f>
        <v>0.864284067227297</v>
      </c>
      <c r="Z23" s="61" t="n">
        <f aca="false">Resources!Z33</f>
        <v>0.814002763711546</v>
      </c>
      <c r="AA23" s="61" t="n">
        <f aca="false">Resources!AA33</f>
        <v>0.77877256982939</v>
      </c>
      <c r="AB23" s="61" t="n">
        <f aca="false">Resources!AB33</f>
        <v>0.728360153845388</v>
      </c>
    </row>
    <row r="24" customFormat="false" ht="15" hidden="false" customHeight="false" outlineLevel="0" collapsed="false">
      <c r="A24" s="27" t="s">
        <v>316</v>
      </c>
      <c r="B24" s="56" t="s">
        <v>69</v>
      </c>
      <c r="C24" s="59" t="n">
        <f aca="false">Resources!C37</f>
        <v>1.00005553920338</v>
      </c>
      <c r="D24" s="59" t="n">
        <f aca="false">Resources!D37</f>
        <v>0.955651227210355</v>
      </c>
      <c r="E24" s="61" t="n">
        <f aca="false">Resources!E37</f>
        <v>0.92120704395851</v>
      </c>
      <c r="F24" s="61" t="n">
        <f aca="false">Resources!F37</f>
        <v>0.770563768019239</v>
      </c>
      <c r="G24" s="61" t="n">
        <f aca="false">Resources!G37</f>
        <v>0.706584848000812</v>
      </c>
      <c r="H24" s="61" t="n">
        <f aca="false">Resources!H37</f>
        <v>0.720393135720665</v>
      </c>
      <c r="I24" s="61" t="n">
        <f aca="false">Resources!I37</f>
        <v>0.862080478441958</v>
      </c>
      <c r="J24" s="61" t="n">
        <f aca="false">Resources!J37</f>
        <v>0.955781811534966</v>
      </c>
      <c r="K24" s="61" t="n">
        <f aca="false">Resources!K37</f>
        <v>1.10999836785117</v>
      </c>
      <c r="L24" s="61" t="n">
        <f aca="false">Resources!L37</f>
        <v>1.24456594280586</v>
      </c>
      <c r="M24" s="61" t="n">
        <f aca="false">Resources!M37</f>
        <v>1.10313026756358</v>
      </c>
      <c r="N24" s="61" t="n">
        <f aca="false">Resources!N37</f>
        <v>1.11007281270712</v>
      </c>
      <c r="O24" s="61" t="n">
        <f aca="false">Resources!O37</f>
        <v>1.16859158497714</v>
      </c>
      <c r="P24" s="61" t="n">
        <f aca="false">Resources!P37</f>
        <v>1.13391077927947</v>
      </c>
      <c r="Q24" s="61" t="n">
        <f aca="false">Resources!Q37</f>
        <v>1.00410494729767</v>
      </c>
      <c r="R24" s="61" t="n">
        <f aca="false">Resources!R37</f>
        <v>0.83200322086577</v>
      </c>
      <c r="S24" s="61" t="n">
        <f aca="false">Resources!S37</f>
        <v>0.737476929600816</v>
      </c>
      <c r="T24" s="61" t="n">
        <f aca="false">Resources!T37</f>
        <v>0.803594341794877</v>
      </c>
      <c r="U24" s="61" t="n">
        <f aca="false">Resources!U37</f>
        <v>0.974966561720196</v>
      </c>
      <c r="V24" s="61" t="n">
        <f aca="false">Resources!V37</f>
        <v>1.09314165868821</v>
      </c>
      <c r="W24" s="61" t="n">
        <f aca="false">Resources!W37</f>
        <v>1.13502467166485</v>
      </c>
      <c r="X24" s="61" t="n">
        <f aca="false">Resources!X37</f>
        <v>1.10196019519299</v>
      </c>
      <c r="Y24" s="61" t="n">
        <f aca="false">Resources!Y37</f>
        <v>1.0237237133251</v>
      </c>
      <c r="Z24" s="61" t="n">
        <f aca="false">Resources!Z37</f>
        <v>0.964166717312085</v>
      </c>
      <c r="AA24" s="61" t="n">
        <f aca="false">Resources!AA37</f>
        <v>0.922437399059225</v>
      </c>
      <c r="AB24" s="61" t="n">
        <f aca="false">Resources!AB37</f>
        <v>0.862725103477523</v>
      </c>
    </row>
    <row r="25" customFormat="false" ht="15" hidden="false" customHeight="false" outlineLevel="0" collapsed="false">
      <c r="A25" s="27" t="s">
        <v>317</v>
      </c>
      <c r="B25" s="56" t="s">
        <v>69</v>
      </c>
      <c r="C25" s="57" t="n">
        <f aca="false">SUM(E25:P25)</f>
        <v>97772.636707972</v>
      </c>
      <c r="D25" s="57" t="n">
        <f aca="false">SUM(Q25:AB25)</f>
        <v>0</v>
      </c>
      <c r="E25" s="58" t="n">
        <f aca="false">Resources!E35</f>
        <v>0</v>
      </c>
      <c r="F25" s="58" t="n">
        <f aca="false">Resources!F35</f>
        <v>0</v>
      </c>
      <c r="G25" s="58" t="n">
        <f aca="false">Resources!G35</f>
        <v>0</v>
      </c>
      <c r="H25" s="58" t="n">
        <f aca="false">Resources!H35</f>
        <v>0</v>
      </c>
      <c r="I25" s="58" t="n">
        <f aca="false">Resources!I35</f>
        <v>0</v>
      </c>
      <c r="J25" s="58" t="n">
        <f aca="false">Resources!J35</f>
        <v>2600</v>
      </c>
      <c r="K25" s="58" t="n">
        <f aca="false">Resources!K35</f>
        <v>5400</v>
      </c>
      <c r="L25" s="58" t="n">
        <f aca="false">Resources!L35</f>
        <v>6900</v>
      </c>
      <c r="M25" s="58" t="n">
        <f aca="false">Resources!M35</f>
        <v>39447.9328824772</v>
      </c>
      <c r="N25" s="58" t="n">
        <f aca="false">Resources!N35</f>
        <v>34520.2179592452</v>
      </c>
      <c r="O25" s="58" t="n">
        <f aca="false">Resources!O35</f>
        <v>8904.48586624956</v>
      </c>
      <c r="P25" s="58" t="n">
        <f aca="false">Resources!P35</f>
        <v>0</v>
      </c>
      <c r="Q25" s="58" t="n">
        <f aca="false">Resources!Q35</f>
        <v>0</v>
      </c>
      <c r="R25" s="58" t="n">
        <f aca="false">Resources!R35</f>
        <v>0</v>
      </c>
      <c r="S25" s="58" t="n">
        <f aca="false">Resources!S35</f>
        <v>0</v>
      </c>
      <c r="T25" s="58" t="n">
        <f aca="false">Resources!T35</f>
        <v>0</v>
      </c>
      <c r="U25" s="58" t="n">
        <f aca="false">Resources!U35</f>
        <v>0</v>
      </c>
      <c r="V25" s="58" t="n">
        <f aca="false">Resources!V35</f>
        <v>0</v>
      </c>
      <c r="W25" s="58" t="n">
        <f aca="false">Resources!W35</f>
        <v>0</v>
      </c>
      <c r="X25" s="58" t="n">
        <f aca="false">Resources!X35</f>
        <v>0</v>
      </c>
      <c r="Y25" s="58" t="n">
        <f aca="false">Resources!Y35</f>
        <v>0</v>
      </c>
      <c r="Z25" s="58" t="n">
        <f aca="false">Resources!Z35</f>
        <v>0</v>
      </c>
      <c r="AA25" s="58" t="n">
        <f aca="false">Resources!AA35</f>
        <v>0</v>
      </c>
      <c r="AB25" s="58" t="n">
        <f aca="false">Resources!AB35</f>
        <v>0</v>
      </c>
    </row>
    <row r="26" customFormat="false" ht="15" hidden="false" customHeight="false" outlineLevel="0" collapsed="false">
      <c r="A26" s="21" t="s">
        <v>318</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row>
    <row r="27" customFormat="false" ht="15" hidden="false" customHeight="false" outlineLevel="0" collapsed="false">
      <c r="A27" s="27" t="s">
        <v>319</v>
      </c>
      <c r="B27" s="56" t="s">
        <v>59</v>
      </c>
      <c r="C27" s="62" t="n">
        <f aca="false">P27</f>
        <v>25.4848930574214</v>
      </c>
      <c r="D27" s="62" t="n">
        <f aca="false">AB27</f>
        <v>19.7905462723541</v>
      </c>
      <c r="E27" s="63" t="n">
        <f aca="false">Receivables!E19</f>
        <v>22.4395257448292</v>
      </c>
      <c r="F27" s="63" t="n">
        <f aca="false">Receivables!F19</f>
        <v>23.8030913006839</v>
      </c>
      <c r="G27" s="63" t="n">
        <f aca="false">Receivables!G19</f>
        <v>22.3540004868042</v>
      </c>
      <c r="H27" s="63" t="n">
        <f aca="false">Receivables!H19</f>
        <v>19.6433655167148</v>
      </c>
      <c r="I27" s="63" t="n">
        <f aca="false">Receivables!I19</f>
        <v>17.4907836779328</v>
      </c>
      <c r="J27" s="63" t="n">
        <f aca="false">Receivables!J19</f>
        <v>16.4484228477173</v>
      </c>
      <c r="K27" s="63" t="n">
        <f aca="false">Receivables!K19</f>
        <v>26.0287768767678</v>
      </c>
      <c r="L27" s="63" t="n">
        <f aca="false">Receivables!L19</f>
        <v>28.1026458213668</v>
      </c>
      <c r="M27" s="63" t="n">
        <f aca="false">Receivables!M19</f>
        <v>25.4361098200729</v>
      </c>
      <c r="N27" s="63" t="n">
        <f aca="false">Receivables!N19</f>
        <v>28.0312036241379</v>
      </c>
      <c r="O27" s="63" t="n">
        <f aca="false">Receivables!O19</f>
        <v>27.1603771558746</v>
      </c>
      <c r="P27" s="63" t="n">
        <f aca="false">Receivables!P19</f>
        <v>25.4848930574214</v>
      </c>
      <c r="Q27" s="63" t="n">
        <f aca="false">Receivables!Q19</f>
        <v>23.033324479705</v>
      </c>
      <c r="R27" s="63" t="n">
        <f aca="false">Receivables!R19</f>
        <v>22.398917168153</v>
      </c>
      <c r="S27" s="63" t="n">
        <f aca="false">Receivables!S19</f>
        <v>21.427099711379</v>
      </c>
      <c r="T27" s="63" t="n">
        <f aca="false">Receivables!T19</f>
        <v>18.5836459024125</v>
      </c>
      <c r="U27" s="63" t="n">
        <f aca="false">Receivables!U19</f>
        <v>19.3150991376599</v>
      </c>
      <c r="V27" s="63" t="n">
        <f aca="false">Receivables!V19</f>
        <v>23.6668623305259</v>
      </c>
      <c r="W27" s="63" t="n">
        <f aca="false">Receivables!W19</f>
        <v>25.0586925345805</v>
      </c>
      <c r="X27" s="63" t="n">
        <f aca="false">Receivables!X19</f>
        <v>23.9378547384071</v>
      </c>
      <c r="Y27" s="63" t="n">
        <f aca="false">Receivables!Y19</f>
        <v>22.0188497642662</v>
      </c>
      <c r="Z27" s="63" t="n">
        <f aca="false">Receivables!Z19</f>
        <v>19.9907843656092</v>
      </c>
      <c r="AA27" s="63" t="n">
        <f aca="false">Receivables!AA19</f>
        <v>17.695429129961</v>
      </c>
      <c r="AB27" s="63" t="n">
        <f aca="false">Receivables!AB19</f>
        <v>19.7905462723541</v>
      </c>
    </row>
    <row r="28" customFormat="false" ht="15" hidden="false" customHeight="false" outlineLevel="0" collapsed="false">
      <c r="A28" s="27" t="s">
        <v>320</v>
      </c>
      <c r="B28" s="56" t="s">
        <v>49</v>
      </c>
      <c r="C28" s="62" t="n">
        <f aca="false">P28</f>
        <v>58.656279394771</v>
      </c>
      <c r="D28" s="62" t="n">
        <f aca="false">AB28</f>
        <v>60.0001236085799</v>
      </c>
      <c r="E28" s="63" t="n">
        <f aca="false">Residential!E38</f>
        <v>95.2152919259582</v>
      </c>
      <c r="F28" s="63" t="n">
        <f aca="false">Residential!F38</f>
        <v>71.7475841520374</v>
      </c>
      <c r="G28" s="63" t="n">
        <f aca="false">Residential!G38</f>
        <v>70.1521717007246</v>
      </c>
      <c r="H28" s="63" t="n">
        <f aca="false">Residential!H38</f>
        <v>67.3943114212915</v>
      </c>
      <c r="I28" s="63" t="n">
        <f aca="false">Residential!I38</f>
        <v>73.1654993991187</v>
      </c>
      <c r="J28" s="63" t="n">
        <f aca="false">Residential!J38</f>
        <v>78.1193391270585</v>
      </c>
      <c r="K28" s="63" t="n">
        <f aca="false">Residential!K38</f>
        <v>82.0374542382428</v>
      </c>
      <c r="L28" s="63" t="n">
        <f aca="false">Residential!L38</f>
        <v>60.4426203606172</v>
      </c>
      <c r="M28" s="63" t="n">
        <f aca="false">Residential!M38</f>
        <v>65.1400636879292</v>
      </c>
      <c r="N28" s="63" t="n">
        <f aca="false">Residential!N38</f>
        <v>71.3651809852809</v>
      </c>
      <c r="O28" s="63" t="n">
        <f aca="false">Residential!O38</f>
        <v>65.1221471580606</v>
      </c>
      <c r="P28" s="63" t="n">
        <f aca="false">Residential!P38</f>
        <v>58.656279394771</v>
      </c>
      <c r="Q28" s="63" t="n">
        <f aca="false">Residential!Q38</f>
        <v>58.7942791342924</v>
      </c>
      <c r="R28" s="63" t="n">
        <f aca="false">Residential!R38</f>
        <v>58.525321653515</v>
      </c>
      <c r="S28" s="63" t="n">
        <f aca="false">Residential!S38</f>
        <v>56.7162887903345</v>
      </c>
      <c r="T28" s="63" t="n">
        <f aca="false">Residential!T38</f>
        <v>55.5775608352684</v>
      </c>
      <c r="U28" s="63" t="n">
        <f aca="false">Residential!U38</f>
        <v>59.835881456373</v>
      </c>
      <c r="V28" s="63" t="n">
        <f aca="false">Residential!V38</f>
        <v>65.7119330783809</v>
      </c>
      <c r="W28" s="63" t="n">
        <f aca="false">Residential!W38</f>
        <v>64.4936074473992</v>
      </c>
      <c r="X28" s="63" t="n">
        <f aca="false">Residential!X38</f>
        <v>62.7464471425174</v>
      </c>
      <c r="Y28" s="63" t="n">
        <f aca="false">Residential!Y38</f>
        <v>61.3300029867181</v>
      </c>
      <c r="Z28" s="63" t="n">
        <f aca="false">Residential!Z38</f>
        <v>60.0134248076193</v>
      </c>
      <c r="AA28" s="63" t="n">
        <f aca="false">Residential!AA38</f>
        <v>59.097433713087</v>
      </c>
      <c r="AB28" s="63" t="n">
        <f aca="false">Residential!AB38</f>
        <v>60.0001236085799</v>
      </c>
    </row>
    <row r="29" customFormat="false" ht="15" hidden="false" customHeight="false" outlineLevel="0" collapsed="false">
      <c r="A29" s="27" t="s">
        <v>321</v>
      </c>
      <c r="B29" s="56" t="s">
        <v>33</v>
      </c>
      <c r="C29" s="57" t="n">
        <f aca="false">P29</f>
        <v>705867.618954026</v>
      </c>
      <c r="D29" s="57" t="n">
        <f aca="false">AB29</f>
        <v>468288.949866673</v>
      </c>
      <c r="E29" s="58" t="n">
        <f aca="false">BS!E13</f>
        <v>522647.887488987</v>
      </c>
      <c r="F29" s="58" t="n">
        <f aca="false">BS!F13</f>
        <v>440404.217929515</v>
      </c>
      <c r="G29" s="58" t="n">
        <f aca="false">BS!G13</f>
        <v>345645.377665198</v>
      </c>
      <c r="H29" s="58" t="n">
        <f aca="false">BS!H13</f>
        <v>294471.51154185</v>
      </c>
      <c r="I29" s="58" t="n">
        <f aca="false">BS!I13</f>
        <v>295297.33907489</v>
      </c>
      <c r="J29" s="58" t="n">
        <f aca="false">BS!J13</f>
        <v>426028.531629956</v>
      </c>
      <c r="K29" s="58" t="n">
        <f aca="false">BS!K13</f>
        <v>630048.720572687</v>
      </c>
      <c r="L29" s="58" t="n">
        <f aca="false">BS!L13</f>
        <v>721625.153876652</v>
      </c>
      <c r="M29" s="58" t="n">
        <f aca="false">BS!M13</f>
        <v>884433.047691516</v>
      </c>
      <c r="N29" s="58" t="n">
        <f aca="false">BS!N13</f>
        <v>880707.57259193</v>
      </c>
      <c r="O29" s="58" t="n">
        <f aca="false">BS!O13</f>
        <v>803811.56185323</v>
      </c>
      <c r="P29" s="58" t="n">
        <f aca="false">BS!P13</f>
        <v>705867.618954026</v>
      </c>
      <c r="Q29" s="58" t="n">
        <f aca="false">BS!Q13</f>
        <v>629096.006216138</v>
      </c>
      <c r="R29" s="58" t="n">
        <f aca="false">BS!R13</f>
        <v>488965.545237166</v>
      </c>
      <c r="S29" s="58" t="n">
        <f aca="false">BS!S13</f>
        <v>388388.499827849</v>
      </c>
      <c r="T29" s="58" t="n">
        <f aca="false">BS!T13</f>
        <v>468267.009776143</v>
      </c>
      <c r="U29" s="58" t="n">
        <f aca="false">BS!U13</f>
        <v>622283.098337772</v>
      </c>
      <c r="V29" s="58" t="n">
        <f aca="false">BS!V13</f>
        <v>720521.098133856</v>
      </c>
      <c r="W29" s="58" t="n">
        <f aca="false">BS!W13</f>
        <v>751033.000518044</v>
      </c>
      <c r="X29" s="58" t="n">
        <f aca="false">BS!X13</f>
        <v>712262.166947441</v>
      </c>
      <c r="Y29" s="58" t="n">
        <f aca="false">BS!Y13</f>
        <v>616641.815367473</v>
      </c>
      <c r="Z29" s="58" t="n">
        <f aca="false">BS!Z13</f>
        <v>541742.085932886</v>
      </c>
      <c r="AA29" s="58" t="n">
        <f aca="false">BS!AA13</f>
        <v>502973.947196747</v>
      </c>
      <c r="AB29" s="58" t="n">
        <f aca="false">BS!AB13</f>
        <v>468288.949866673</v>
      </c>
    </row>
    <row r="30" customFormat="false" ht="15" hidden="false" customHeight="false" outlineLevel="0" collapsed="false">
      <c r="A30" s="27" t="s">
        <v>322</v>
      </c>
      <c r="B30" s="56" t="s">
        <v>33</v>
      </c>
      <c r="C30" s="57" t="n">
        <f aca="false">P30</f>
        <v>186751.800075962</v>
      </c>
      <c r="D30" s="57" t="n">
        <f aca="false">AB30</f>
        <v>176168.117438047</v>
      </c>
      <c r="E30" s="58" t="n">
        <f aca="false">BS!E12</f>
        <v>116889.7435</v>
      </c>
      <c r="F30" s="58" t="n">
        <f aca="false">BS!F12</f>
        <v>136345.335</v>
      </c>
      <c r="G30" s="58" t="n">
        <f aca="false">BS!G12</f>
        <v>152728.1885</v>
      </c>
      <c r="H30" s="58" t="n">
        <f aca="false">BS!H12</f>
        <v>137761.1805</v>
      </c>
      <c r="I30" s="58" t="n">
        <f aca="false">BS!I12</f>
        <v>117960.5975</v>
      </c>
      <c r="J30" s="58" t="n">
        <f aca="false">BS!J12</f>
        <v>117103.181</v>
      </c>
      <c r="K30" s="58" t="n">
        <f aca="false">BS!K12</f>
        <v>132455.7665</v>
      </c>
      <c r="L30" s="58" t="n">
        <f aca="false">BS!L12</f>
        <v>154454.4872</v>
      </c>
      <c r="M30" s="58" t="n">
        <f aca="false">BS!M12</f>
        <v>176901.231075651</v>
      </c>
      <c r="N30" s="58" t="n">
        <f aca="false">BS!N12</f>
        <v>207048.653200023</v>
      </c>
      <c r="O30" s="58" t="n">
        <f aca="false">BS!O12</f>
        <v>209445.930316646</v>
      </c>
      <c r="P30" s="58" t="n">
        <f aca="false">BS!P12</f>
        <v>186751.800075962</v>
      </c>
      <c r="Q30" s="58" t="n">
        <f aca="false">BS!Q12</f>
        <v>201220.981306309</v>
      </c>
      <c r="R30" s="58" t="n">
        <f aca="false">BS!R12</f>
        <v>223572.222650909</v>
      </c>
      <c r="S30" s="58" t="n">
        <f aca="false">BS!S12</f>
        <v>192039.61791088</v>
      </c>
      <c r="T30" s="58" t="n">
        <f aca="false">BS!T12</f>
        <v>152299.676397462</v>
      </c>
      <c r="U30" s="58" t="n">
        <f aca="false">BS!U12</f>
        <v>138714.193153078</v>
      </c>
      <c r="V30" s="58" t="n">
        <f aca="false">BS!V12</f>
        <v>158533.898148148</v>
      </c>
      <c r="W30" s="58" t="n">
        <f aca="false">BS!W12</f>
        <v>182112.442649391</v>
      </c>
      <c r="X30" s="58" t="n">
        <f aca="false">BS!X12</f>
        <v>206952.477923525</v>
      </c>
      <c r="Y30" s="58" t="n">
        <f aca="false">BS!Y12</f>
        <v>230396.21208858</v>
      </c>
      <c r="Z30" s="58" t="n">
        <f aca="false">BS!Z12</f>
        <v>227718.196101508</v>
      </c>
      <c r="AA30" s="58" t="n">
        <f aca="false">BS!AA12</f>
        <v>238923.987414491</v>
      </c>
      <c r="AB30" s="58" t="n">
        <f aca="false">BS!AB12</f>
        <v>176168.117438047</v>
      </c>
    </row>
    <row r="31" customFormat="false" ht="15" hidden="false" customHeight="false" outlineLevel="0" collapsed="false">
      <c r="A31" s="27" t="s">
        <v>323</v>
      </c>
      <c r="B31" s="56" t="s">
        <v>46</v>
      </c>
      <c r="C31" s="57" t="n">
        <f aca="false">P31</f>
        <v>0</v>
      </c>
      <c r="D31" s="57" t="n">
        <f aca="false">AB31</f>
        <v>0</v>
      </c>
      <c r="E31" s="58" t="n">
        <f aca="false">WIP!E22+WIP!E65+WIP!E108+WIP!E151+WIP!E194+WIP!E237+WIP!E280+WIP!E322+WIP!E364+WIP!E406+WIP!E448+WIP!E490+WIP!E532+WIP!E574+WIP!E616</f>
        <v>65300</v>
      </c>
      <c r="F31" s="58" t="n">
        <f aca="false">WIP!F22+WIP!F65+WIP!F108+WIP!F151+WIP!F194+WIP!F237+WIP!F280+WIP!F322+WIP!F364+WIP!F406+WIP!F448+WIP!F490+WIP!F532+WIP!F574+WIP!F616</f>
        <v>84400</v>
      </c>
      <c r="G31" s="58" t="n">
        <f aca="false">WIP!G22+WIP!G65+WIP!G108+WIP!G151+WIP!G194+WIP!G237+WIP!G280+WIP!G322+WIP!G364+WIP!G406+WIP!G448+WIP!G490+WIP!G532+WIP!G574+WIP!G616</f>
        <v>52600</v>
      </c>
      <c r="H31" s="58" t="n">
        <f aca="false">WIP!H22+WIP!H65+WIP!H108+WIP!H151+WIP!H194+WIP!H237+WIP!H280+WIP!H322+WIP!H364+WIP!H406+WIP!H448+WIP!H490+WIP!H532+WIP!H574+WIP!H616</f>
        <v>48300</v>
      </c>
      <c r="I31" s="58" t="n">
        <f aca="false">WIP!I22+WIP!I65+WIP!I108+WIP!I151+WIP!I194+WIP!I237+WIP!I280+WIP!I322+WIP!I364+WIP!I406+WIP!I448+WIP!I490+WIP!I532+WIP!I574+WIP!I616</f>
        <v>41400</v>
      </c>
      <c r="J31" s="58" t="n">
        <f aca="false">WIP!J22+WIP!J65+WIP!J108+WIP!J151+WIP!J194+WIP!J237+WIP!J280+WIP!J322+WIP!J364+WIP!J406+WIP!J448+WIP!J490+WIP!J532+WIP!J574+WIP!J616</f>
        <v>129400</v>
      </c>
      <c r="K31" s="58" t="n">
        <f aca="false">WIP!K22+WIP!K65+WIP!K108+WIP!K151+WIP!K194+WIP!K237+WIP!K280+WIP!K322+WIP!K364+WIP!K406+WIP!K448+WIP!K490+WIP!K532+WIP!K574+WIP!K616</f>
        <v>133500</v>
      </c>
      <c r="L31" s="58" t="n">
        <f aca="false">WIP!L22+WIP!L65+WIP!L108+WIP!L151+WIP!L194+WIP!L237+WIP!L280+WIP!L322+WIP!L364+WIP!L406+WIP!L448+WIP!L490+WIP!L532+WIP!L574+WIP!L616</f>
        <v>168400</v>
      </c>
      <c r="M31" s="58" t="n">
        <f aca="false">WIP!M22+WIP!M65+WIP!M108+WIP!M151+WIP!M194+WIP!M237+WIP!M280+WIP!M322+WIP!M364+WIP!M406+WIP!M448+WIP!M490+WIP!M532+WIP!M574+WIP!M616</f>
        <v>152200</v>
      </c>
      <c r="N31" s="58" t="n">
        <f aca="false">WIP!N22+WIP!N65+WIP!N108+WIP!N151+WIP!N194+WIP!N237+WIP!N280+WIP!N322+WIP!N364+WIP!N406+WIP!N448+WIP!N490+WIP!N532+WIP!N574+WIP!N616</f>
        <v>76200</v>
      </c>
      <c r="O31" s="58" t="n">
        <f aca="false">WIP!O22+WIP!O65+WIP!O108+WIP!O151+WIP!O194+WIP!O237+WIP!O280+WIP!O322+WIP!O364+WIP!O406+WIP!O448+WIP!O490+WIP!O532+WIP!O574+WIP!O616</f>
        <v>37600</v>
      </c>
      <c r="P31" s="58" t="n">
        <f aca="false">WIP!P22+WIP!P65+WIP!P108+WIP!P151+WIP!P194+WIP!P237+WIP!P280+WIP!P322+WIP!P364+WIP!P406+WIP!P448+WIP!P490+WIP!P532+WIP!P574+WIP!P616</f>
        <v>0</v>
      </c>
      <c r="Q31" s="58" t="n">
        <f aca="false">WIP!Q22+WIP!Q65+WIP!Q108+WIP!Q151+WIP!Q194+WIP!Q237+WIP!Q280+WIP!Q322+WIP!Q364+WIP!Q406+WIP!Q448+WIP!Q490+WIP!Q532+WIP!Q574+WIP!Q616</f>
        <v>0</v>
      </c>
      <c r="R31" s="58" t="n">
        <f aca="false">WIP!R22+WIP!R65+WIP!R108+WIP!R151+WIP!R194+WIP!R237+WIP!R280+WIP!R322+WIP!R364+WIP!R406+WIP!R448+WIP!R490+WIP!R532+WIP!R574+WIP!R616</f>
        <v>0</v>
      </c>
      <c r="S31" s="58" t="n">
        <f aca="false">WIP!S22+WIP!S65+WIP!S108+WIP!S151+WIP!S194+WIP!S237+WIP!S280+WIP!S322+WIP!S364+WIP!S406+WIP!S448+WIP!S490+WIP!S532+WIP!S574+WIP!S616</f>
        <v>0</v>
      </c>
      <c r="T31" s="58" t="n">
        <f aca="false">WIP!T22+WIP!T65+WIP!T108+WIP!T151+WIP!T194+WIP!T237+WIP!T280+WIP!T322+WIP!T364+WIP!T406+WIP!T448+WIP!T490+WIP!T532+WIP!T574+WIP!T616</f>
        <v>0</v>
      </c>
      <c r="U31" s="58" t="n">
        <f aca="false">WIP!U22+WIP!U65+WIP!U108+WIP!U151+WIP!U194+WIP!U237+WIP!U280+WIP!U322+WIP!U364+WIP!U406+WIP!U448+WIP!U490+WIP!U532+WIP!U574+WIP!U616</f>
        <v>0</v>
      </c>
      <c r="V31" s="58" t="n">
        <f aca="false">WIP!V22+WIP!V65+WIP!V108+WIP!V151+WIP!V194+WIP!V237+WIP!V280+WIP!V322+WIP!V364+WIP!V406+WIP!V448+WIP!V490+WIP!V532+WIP!V574+WIP!V616</f>
        <v>0</v>
      </c>
      <c r="W31" s="58" t="n">
        <f aca="false">WIP!W22+WIP!W65+WIP!W108+WIP!W151+WIP!W194+WIP!W237+WIP!W280+WIP!W322+WIP!W364+WIP!W406+WIP!W448+WIP!W490+WIP!W532+WIP!W574+WIP!W616</f>
        <v>0</v>
      </c>
      <c r="X31" s="58" t="n">
        <f aca="false">WIP!X22+WIP!X65+WIP!X108+WIP!X151+WIP!X194+WIP!X237+WIP!X280+WIP!X322+WIP!X364+WIP!X406+WIP!X448+WIP!X490+WIP!X532+WIP!X574+WIP!X616</f>
        <v>0</v>
      </c>
      <c r="Y31" s="58" t="n">
        <f aca="false">WIP!Y22+WIP!Y65+WIP!Y108+WIP!Y151+WIP!Y194+WIP!Y237+WIP!Y280+WIP!Y322+WIP!Y364+WIP!Y406+WIP!Y448+WIP!Y490+WIP!Y532+WIP!Y574+WIP!Y616</f>
        <v>0</v>
      </c>
      <c r="Z31" s="58" t="n">
        <f aca="false">WIP!Z22+WIP!Z65+WIP!Z108+WIP!Z151+WIP!Z194+WIP!Z237+WIP!Z280+WIP!Z322+WIP!Z364+WIP!Z406+WIP!Z448+WIP!Z490+WIP!Z532+WIP!Z574+WIP!Z616</f>
        <v>0</v>
      </c>
      <c r="AA31" s="58" t="n">
        <f aca="false">WIP!AA22+WIP!AA65+WIP!AA108+WIP!AA151+WIP!AA194+WIP!AA237+WIP!AA280+WIP!AA322+WIP!AA364+WIP!AA406+WIP!AA448+WIP!AA490+WIP!AA532+WIP!AA574+WIP!AA616</f>
        <v>0</v>
      </c>
      <c r="AB31" s="58" t="n">
        <f aca="false">WIP!AB22+WIP!AB65+WIP!AB108+WIP!AB151+WIP!AB194+WIP!AB237+WIP!AB280+WIP!AB322+WIP!AB364+WIP!AB406+WIP!AB448+WIP!AB490+WIP!AB532+WIP!AB574+WIP!AB616</f>
        <v>0</v>
      </c>
    </row>
    <row r="32" customFormat="false" ht="15" hidden="false" customHeight="false" outlineLevel="0" collapsed="false">
      <c r="A32" s="27" t="s">
        <v>324</v>
      </c>
      <c r="B32" s="56" t="s">
        <v>33</v>
      </c>
      <c r="C32" s="57" t="n">
        <f aca="false">P32</f>
        <v>970968.420225584</v>
      </c>
      <c r="D32" s="57" t="n">
        <f aca="false">AB32</f>
        <v>565641.986949952</v>
      </c>
      <c r="E32" s="58" t="n">
        <f aca="false">BS!E45</f>
        <v>720363.136787243</v>
      </c>
      <c r="F32" s="58" t="n">
        <f aca="false">BS!F45</f>
        <v>668946.508817706</v>
      </c>
      <c r="G32" s="58" t="n">
        <f aca="false">BS!G45</f>
        <v>544298.6316308</v>
      </c>
      <c r="H32" s="58" t="n">
        <f aca="false">BS!H45</f>
        <v>440363.445919615</v>
      </c>
      <c r="I32" s="58" t="n">
        <f aca="false">BS!I45</f>
        <v>313068.611375063</v>
      </c>
      <c r="J32" s="58" t="n">
        <f aca="false">BS!J45</f>
        <v>294104.639970246</v>
      </c>
      <c r="K32" s="58" t="n">
        <f aca="false">BS!K45</f>
        <v>493587.584680948</v>
      </c>
      <c r="L32" s="58" t="n">
        <f aca="false">BS!L45</f>
        <v>579507.721968151</v>
      </c>
      <c r="M32" s="58" t="n">
        <f aca="false">BS!M45</f>
        <v>751635.333306624</v>
      </c>
      <c r="N32" s="58" t="n">
        <f aca="false">BS!N45</f>
        <v>992302.504427847</v>
      </c>
      <c r="O32" s="58" t="n">
        <f aca="false">BS!O45</f>
        <v>1038275.04429891</v>
      </c>
      <c r="P32" s="58" t="n">
        <f aca="false">BS!P45</f>
        <v>970968.420225584</v>
      </c>
      <c r="Q32" s="58" t="n">
        <f aca="false">BS!Q45</f>
        <v>852189.24075153</v>
      </c>
      <c r="R32" s="58" t="n">
        <f aca="false">BS!R45</f>
        <v>760364.589471367</v>
      </c>
      <c r="S32" s="58" t="n">
        <f aca="false">BS!S45</f>
        <v>598923.974655793</v>
      </c>
      <c r="T32" s="58" t="n">
        <f aca="false">BS!T45</f>
        <v>451092.380494484</v>
      </c>
      <c r="U32" s="58" t="n">
        <f aca="false">BS!U45</f>
        <v>455616.847876819</v>
      </c>
      <c r="V32" s="58" t="n">
        <f aca="false">BS!V45</f>
        <v>614447.264126076</v>
      </c>
      <c r="W32" s="58" t="n">
        <f aca="false">BS!W45</f>
        <v>747860.567751346</v>
      </c>
      <c r="X32" s="58" t="n">
        <f aca="false">BS!X45</f>
        <v>801905.636645632</v>
      </c>
      <c r="Y32" s="58" t="n">
        <f aca="false">BS!Y45</f>
        <v>772390.20012029</v>
      </c>
      <c r="Z32" s="58" t="n">
        <f aca="false">BS!Z45</f>
        <v>681269.569594078</v>
      </c>
      <c r="AA32" s="58" t="n">
        <f aca="false">BS!AA45</f>
        <v>591124.153593638</v>
      </c>
      <c r="AB32" s="58" t="n">
        <f aca="false">BS!AB45</f>
        <v>565641.986949952</v>
      </c>
    </row>
    <row r="33" customFormat="false" ht="15" hidden="false" customHeight="false" outlineLevel="0" collapsed="false">
      <c r="A33" s="27" t="s">
        <v>325</v>
      </c>
      <c r="B33" s="56" t="s">
        <v>33</v>
      </c>
      <c r="C33" s="57" t="n">
        <f aca="false">P33</f>
        <v>632766.877670916</v>
      </c>
      <c r="D33" s="57" t="n">
        <f aca="false">AB33</f>
        <v>1114521.61690493</v>
      </c>
      <c r="E33" s="58" t="n">
        <f aca="false">BS!E9</f>
        <v>499752.21552</v>
      </c>
      <c r="F33" s="58" t="n">
        <f aca="false">BS!F9</f>
        <v>561106.32307</v>
      </c>
      <c r="G33" s="58" t="n">
        <f aca="false">BS!G9</f>
        <v>643340.888295628</v>
      </c>
      <c r="H33" s="58" t="n">
        <f aca="false">BS!H9</f>
        <v>716245.646465628</v>
      </c>
      <c r="I33" s="58" t="n">
        <f aca="false">BS!I9</f>
        <v>775741.170730385</v>
      </c>
      <c r="J33" s="58" t="n">
        <f aca="false">BS!J9</f>
        <v>768659.884341635</v>
      </c>
      <c r="K33" s="58" t="n">
        <f aca="false">BS!K9</f>
        <v>613881.91963017</v>
      </c>
      <c r="L33" s="58" t="n">
        <f aca="false">BS!L9</f>
        <v>634504.37266392</v>
      </c>
      <c r="M33" s="58" t="n">
        <f aca="false">BS!M9</f>
        <v>531875.831679909</v>
      </c>
      <c r="N33" s="58" t="n">
        <f aca="false">BS!N9</f>
        <v>418470.368426663</v>
      </c>
      <c r="O33" s="58" t="n">
        <f aca="false">BS!O9</f>
        <v>446648.18045888</v>
      </c>
      <c r="P33" s="58" t="n">
        <f aca="false">BS!P9</f>
        <v>632766.877670916</v>
      </c>
      <c r="Q33" s="58" t="n">
        <f aca="false">BS!Q9</f>
        <v>708530.019475196</v>
      </c>
      <c r="R33" s="58" t="n">
        <f aca="false">BS!R9</f>
        <v>813835.858165598</v>
      </c>
      <c r="S33" s="58" t="n">
        <f aca="false">BS!S9</f>
        <v>861509.021864304</v>
      </c>
      <c r="T33" s="58" t="n">
        <f aca="false">BS!T9</f>
        <v>1004245.74486494</v>
      </c>
      <c r="U33" s="58" t="n">
        <f aca="false">BS!U9</f>
        <v>980842.731154121</v>
      </c>
      <c r="V33" s="58" t="n">
        <f aca="false">BS!V9</f>
        <v>894873.013914298</v>
      </c>
      <c r="W33" s="58" t="n">
        <f aca="false">BS!W9</f>
        <v>832481.099336612</v>
      </c>
      <c r="X33" s="58" t="n">
        <f aca="false">BS!X9</f>
        <v>863046.229927896</v>
      </c>
      <c r="Y33" s="58" t="n">
        <f aca="false">BS!Y9</f>
        <v>912832.72504294</v>
      </c>
      <c r="Z33" s="58" t="n">
        <f aca="false">BS!Z9</f>
        <v>1048223.57619526</v>
      </c>
      <c r="AA33" s="58" t="n">
        <f aca="false">BS!AA9</f>
        <v>1076823.25709914</v>
      </c>
      <c r="AB33" s="58" t="n">
        <f aca="false">BS!AB9</f>
        <v>1114521.61690493</v>
      </c>
    </row>
    <row r="34" customFormat="false" ht="15" hidden="false" customHeight="false" outlineLevel="0" collapsed="false">
      <c r="A34" s="27" t="s">
        <v>326</v>
      </c>
      <c r="B34" s="56"/>
      <c r="C34" s="57" t="n">
        <f aca="false">P34</f>
        <v>432766.877670916</v>
      </c>
      <c r="D34" s="57" t="n">
        <f aca="false">AB34</f>
        <v>914521.616904929</v>
      </c>
      <c r="E34" s="58" t="n">
        <f aca="false">E33-Assumptions!$C$13</f>
        <v>299752.21552</v>
      </c>
      <c r="F34" s="58" t="n">
        <f aca="false">F33-Assumptions!$C$13</f>
        <v>361106.32307</v>
      </c>
      <c r="G34" s="58" t="n">
        <f aca="false">G33-Assumptions!$C$13</f>
        <v>443340.888295628</v>
      </c>
      <c r="H34" s="58" t="n">
        <f aca="false">H33-Assumptions!$C$13</f>
        <v>516245.646465628</v>
      </c>
      <c r="I34" s="58" t="n">
        <f aca="false">I33-Assumptions!$C$13</f>
        <v>575741.170730385</v>
      </c>
      <c r="J34" s="58" t="n">
        <f aca="false">J33-Assumptions!$C$13</f>
        <v>568659.884341635</v>
      </c>
      <c r="K34" s="58" t="n">
        <f aca="false">K33-Assumptions!$C$13</f>
        <v>413881.91963017</v>
      </c>
      <c r="L34" s="58" t="n">
        <f aca="false">L33-Assumptions!$C$13</f>
        <v>434504.37266392</v>
      </c>
      <c r="M34" s="58" t="n">
        <f aca="false">M33-Assumptions!$C$13</f>
        <v>331875.831679909</v>
      </c>
      <c r="N34" s="58" t="n">
        <f aca="false">N33-Assumptions!$C$13</f>
        <v>218470.368426663</v>
      </c>
      <c r="O34" s="58" t="n">
        <f aca="false">O33-Assumptions!$C$13</f>
        <v>246648.18045888</v>
      </c>
      <c r="P34" s="58" t="n">
        <f aca="false">P33-Assumptions!$C$13</f>
        <v>432766.877670916</v>
      </c>
      <c r="Q34" s="58" t="n">
        <f aca="false">Q33-Assumptions!$C$13</f>
        <v>508530.019475196</v>
      </c>
      <c r="R34" s="58" t="n">
        <f aca="false">R33-Assumptions!$C$13</f>
        <v>613835.858165598</v>
      </c>
      <c r="S34" s="58" t="n">
        <f aca="false">S33-Assumptions!$C$13</f>
        <v>661509.021864304</v>
      </c>
      <c r="T34" s="58" t="n">
        <f aca="false">T33-Assumptions!$C$13</f>
        <v>804245.744864938</v>
      </c>
      <c r="U34" s="58" t="n">
        <f aca="false">U33-Assumptions!$C$13</f>
        <v>780842.731154121</v>
      </c>
      <c r="V34" s="58" t="n">
        <f aca="false">V33-Assumptions!$C$13</f>
        <v>694873.013914298</v>
      </c>
      <c r="W34" s="58" t="n">
        <f aca="false">W33-Assumptions!$C$13</f>
        <v>632481.099336612</v>
      </c>
      <c r="X34" s="58" t="n">
        <f aca="false">X33-Assumptions!$C$13</f>
        <v>663046.229927896</v>
      </c>
      <c r="Y34" s="58" t="n">
        <f aca="false">Y33-Assumptions!$C$13</f>
        <v>712832.72504294</v>
      </c>
      <c r="Z34" s="58" t="n">
        <f aca="false">Z33-Assumptions!$C$13</f>
        <v>848223.576195258</v>
      </c>
      <c r="AA34" s="58" t="n">
        <f aca="false">AA33-Assumptions!$C$13</f>
        <v>876823.257099136</v>
      </c>
      <c r="AB34" s="58" t="n">
        <f aca="false">AB33-Assumptions!$C$13</f>
        <v>914521.616904929</v>
      </c>
    </row>
    <row r="35" customFormat="false" ht="15" hidden="false" customHeight="false" outlineLevel="0" collapsed="false">
      <c r="A35" s="27" t="s">
        <v>327</v>
      </c>
      <c r="B35" s="56" t="s">
        <v>33</v>
      </c>
      <c r="C35" s="57" t="n">
        <f aca="false">P35</f>
        <v>510691.877670916</v>
      </c>
      <c r="D35" s="57" t="n">
        <f aca="false">AB35</f>
        <v>990871.616904929</v>
      </c>
      <c r="E35" s="58" t="n">
        <f aca="false">BS!E46</f>
        <v>363652.21552</v>
      </c>
      <c r="F35" s="58" t="n">
        <f aca="false">BS!F46</f>
        <v>428906.32307</v>
      </c>
      <c r="G35" s="58" t="n">
        <f aca="false">BS!G46</f>
        <v>515040.888295628</v>
      </c>
      <c r="H35" s="58" t="n">
        <f aca="false">BS!H46</f>
        <v>557195.646465628</v>
      </c>
      <c r="I35" s="58" t="n">
        <f aca="false">BS!I46</f>
        <v>621313.045730385</v>
      </c>
      <c r="J35" s="58" t="n">
        <f aca="false">BS!J46</f>
        <v>618853.634341635</v>
      </c>
      <c r="K35" s="58" t="n">
        <f aca="false">BS!K46</f>
        <v>468697.54463017</v>
      </c>
      <c r="L35" s="58" t="n">
        <f aca="false">BS!L46</f>
        <v>493941.87266392</v>
      </c>
      <c r="M35" s="58" t="n">
        <f aca="false">BS!M46</f>
        <v>395935.206679909</v>
      </c>
      <c r="N35" s="58" t="n">
        <f aca="false">BS!N46</f>
        <v>287151.618426663</v>
      </c>
      <c r="O35" s="58" t="n">
        <f aca="false">BS!O46</f>
        <v>319951.30545888</v>
      </c>
      <c r="P35" s="58" t="n">
        <f aca="false">BS!P46</f>
        <v>510691.877670916</v>
      </c>
      <c r="Q35" s="58" t="n">
        <f aca="false">BS!Q46</f>
        <v>591076.894475196</v>
      </c>
      <c r="R35" s="58" t="n">
        <f aca="false">BS!R46</f>
        <v>701004.608165598</v>
      </c>
      <c r="S35" s="58" t="n">
        <f aca="false">BS!S46</f>
        <v>683099.646864304</v>
      </c>
      <c r="T35" s="58" t="n">
        <f aca="false">BS!T46</f>
        <v>831920.744864938</v>
      </c>
      <c r="U35" s="58" t="n">
        <f aca="false">BS!U46</f>
        <v>814602.106154121</v>
      </c>
      <c r="V35" s="58" t="n">
        <f aca="false">BS!V46</f>
        <v>734716.763914298</v>
      </c>
      <c r="W35" s="58" t="n">
        <f aca="false">BS!W46</f>
        <v>678409.224336612</v>
      </c>
      <c r="X35" s="58" t="n">
        <f aca="false">BS!X46</f>
        <v>715058.729927896</v>
      </c>
      <c r="Y35" s="58" t="n">
        <f aca="false">BS!Y46</f>
        <v>770929.60004294</v>
      </c>
      <c r="Z35" s="58" t="n">
        <f aca="false">BS!Z46</f>
        <v>912404.826195258</v>
      </c>
      <c r="AA35" s="58" t="n">
        <f aca="false">BS!AA46</f>
        <v>947088.882099136</v>
      </c>
      <c r="AB35" s="58" t="n">
        <f aca="false">BS!AB46</f>
        <v>990871.616904929</v>
      </c>
    </row>
    <row r="36" customFormat="false" ht="15" hidden="false" customHeight="false" outlineLevel="0" collapsed="false">
      <c r="A36" s="27" t="s">
        <v>328</v>
      </c>
      <c r="B36" s="56" t="s">
        <v>75</v>
      </c>
      <c r="C36" s="59" t="n">
        <f aca="false">P36</f>
        <v>0.725333333333333</v>
      </c>
      <c r="D36" s="59" t="n">
        <f aca="false">AB36</f>
        <v>0.208</v>
      </c>
      <c r="E36" s="61" t="n">
        <f aca="false">Debt!E28</f>
        <v>0.274666666666667</v>
      </c>
      <c r="F36" s="61" t="n">
        <f aca="false">Debt!F28</f>
        <v>0.432</v>
      </c>
      <c r="G36" s="61" t="n">
        <f aca="false">Debt!G28</f>
        <v>0.432</v>
      </c>
      <c r="H36" s="61" t="n">
        <f aca="false">Debt!H28</f>
        <v>0.477333333333333</v>
      </c>
      <c r="I36" s="61" t="n">
        <f aca="false">Debt!I28</f>
        <v>0.458666666666667</v>
      </c>
      <c r="J36" s="61" t="n">
        <f aca="false">Debt!J28</f>
        <v>0.458666666666667</v>
      </c>
      <c r="K36" s="61" t="n">
        <f aca="false">Debt!K28</f>
        <v>0.510666666666667</v>
      </c>
      <c r="L36" s="61" t="n">
        <f aca="false">Debt!L28</f>
        <v>0.830666666666667</v>
      </c>
      <c r="M36" s="61" t="n">
        <f aca="false">Debt!M28</f>
        <v>0.830666666666667</v>
      </c>
      <c r="N36" s="61" t="n">
        <f aca="false">Debt!N28</f>
        <v>0.830666666666667</v>
      </c>
      <c r="O36" s="61" t="n">
        <f aca="false">Debt!O28</f>
        <v>0.882666666666667</v>
      </c>
      <c r="P36" s="61" t="n">
        <f aca="false">Debt!P28</f>
        <v>0.725333333333333</v>
      </c>
      <c r="Q36" s="61" t="n">
        <f aca="false">Debt!Q28</f>
        <v>0.759666666666667</v>
      </c>
      <c r="R36" s="61" t="n">
        <f aca="false">Debt!R28</f>
        <v>0.759666666666667</v>
      </c>
      <c r="S36" s="61" t="n">
        <f aca="false">Debt!S28</f>
        <v>0.510333333333333</v>
      </c>
      <c r="T36" s="61" t="n">
        <f aca="false">Debt!T28</f>
        <v>0.373</v>
      </c>
      <c r="U36" s="61" t="n">
        <f aca="false">Debt!U28</f>
        <v>0.397</v>
      </c>
      <c r="V36" s="61" t="n">
        <f aca="false">Debt!V28</f>
        <v>0.397</v>
      </c>
      <c r="W36" s="61" t="n">
        <f aca="false">Debt!W28</f>
        <v>0.4482</v>
      </c>
      <c r="X36" s="61" t="n">
        <f aca="false">Debt!X28</f>
        <v>0.4914</v>
      </c>
      <c r="Y36" s="61" t="n">
        <f aca="false">Debt!Y28</f>
        <v>0.605</v>
      </c>
      <c r="Z36" s="61" t="n">
        <f aca="false">Debt!Z28</f>
        <v>0.466666666666667</v>
      </c>
      <c r="AA36" s="61" t="n">
        <f aca="false">Debt!AA28</f>
        <v>0.442666666666667</v>
      </c>
      <c r="AB36" s="61" t="n">
        <f aca="false">Debt!AB28</f>
        <v>0.208</v>
      </c>
    </row>
    <row r="37" customFormat="false" ht="15" hidden="false" customHeight="false" outlineLevel="0" collapsed="false">
      <c r="A37" s="27" t="s">
        <v>329</v>
      </c>
      <c r="B37" s="56" t="s">
        <v>35</v>
      </c>
      <c r="E37" s="58" t="n">
        <f aca="false">SUM(CF!E32:E32)</f>
        <v>85452.2155199999</v>
      </c>
      <c r="F37" s="58" t="n">
        <f aca="false">SUM(CF!E32:F32)</f>
        <v>150706.32307</v>
      </c>
      <c r="G37" s="58" t="n">
        <f aca="false">SUM(CF!E32:G32)</f>
        <v>243440.888295628</v>
      </c>
      <c r="H37" s="58" t="n">
        <f aca="false">SUM(CF!F32:H32)</f>
        <v>239543.430945628</v>
      </c>
      <c r="I37" s="58" t="n">
        <f aca="false">SUM(CF!G32:I32)</f>
        <v>238406.722660385</v>
      </c>
      <c r="J37" s="58" t="n">
        <f aca="false">SUM(CF!H32:J32)</f>
        <v>146312.746046007</v>
      </c>
      <c r="K37" s="58" t="n">
        <f aca="false">SUM(CF!I32:K32)</f>
        <v>-84198.1018354576</v>
      </c>
      <c r="L37" s="58" t="n">
        <f aca="false">SUM(CF!J32:L32)</f>
        <v>-121171.173066465</v>
      </c>
      <c r="M37" s="58" t="n">
        <f aca="false">SUM(CF!K32:M32)</f>
        <v>-218618.427661726</v>
      </c>
      <c r="N37" s="58" t="n">
        <f aca="false">SUM(CF!L32:N32)</f>
        <v>-177245.926203507</v>
      </c>
      <c r="O37" s="58" t="n">
        <f aca="false">SUM(CF!M32:O32)</f>
        <v>-170390.56720504</v>
      </c>
      <c r="P37" s="58" t="n">
        <f aca="false">SUM(CF!N32:P32)</f>
        <v>118356.670991007</v>
      </c>
      <c r="Q37" s="58" t="n">
        <f aca="false">SUM(CF!O32:Q32)</f>
        <v>319567.276048533</v>
      </c>
      <c r="R37" s="58" t="n">
        <f aca="false">SUM(CF!P32:R32)</f>
        <v>396737.302706719</v>
      </c>
      <c r="S37" s="58" t="n">
        <f aca="false">SUM(CF!Q32:S32)</f>
        <v>266133.769193388</v>
      </c>
      <c r="T37" s="58" t="n">
        <f aca="false">SUM(CF!R32:T32)</f>
        <v>322569.850389742</v>
      </c>
      <c r="U37" s="58" t="n">
        <f aca="false">SUM(CF!S32:U32)</f>
        <v>195323.497988523</v>
      </c>
      <c r="V37" s="58" t="n">
        <f aca="false">SUM(CF!T32:V32)</f>
        <v>55343.1170499939</v>
      </c>
      <c r="W37" s="58" t="n">
        <f aca="false">SUM(CF!U32:W32)</f>
        <v>-149785.520528326</v>
      </c>
      <c r="X37" s="58" t="n">
        <f aca="false">SUM(CF!V32:X32)</f>
        <v>-95817.3762262249</v>
      </c>
      <c r="Y37" s="58" t="n">
        <f aca="false">SUM(CF!W32:Y32)</f>
        <v>39938.8361286423</v>
      </c>
      <c r="Z37" s="58" t="n">
        <f aca="false">SUM(CF!X32:Z32)</f>
        <v>237721.601858646</v>
      </c>
      <c r="AA37" s="58" t="n">
        <f aca="false">SUM(CF!Y32:AA32)</f>
        <v>235756.152171239</v>
      </c>
      <c r="AB37" s="58" t="n">
        <f aca="false">SUM(CF!Z32:AB32)</f>
        <v>223668.016861989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6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330</v>
      </c>
    </row>
    <row r="3" customFormat="false" ht="15" hidden="false" customHeight="false" outlineLevel="0" collapsed="false">
      <c r="A3" s="47" t="s">
        <v>331</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332</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333</v>
      </c>
      <c r="B9" s="56" t="s">
        <v>334</v>
      </c>
      <c r="C9" s="57" t="n">
        <f aca="false">SUM(E9:P9)</f>
        <v>2132818.98168121</v>
      </c>
      <c r="D9" s="57" t="n">
        <f aca="false">SUM(Q9:AB9)</f>
        <v>2905008.42020896</v>
      </c>
      <c r="E9" s="58" t="n">
        <f aca="false">Residential!E16</f>
        <v>138592.05</v>
      </c>
      <c r="F9" s="58" t="n">
        <f aca="false">Residential!F16</f>
        <v>124444</v>
      </c>
      <c r="G9" s="58" t="n">
        <f aca="false">Residential!G16</f>
        <v>142249.4</v>
      </c>
      <c r="H9" s="58" t="n">
        <f aca="false">Residential!H16</f>
        <v>151103.95</v>
      </c>
      <c r="I9" s="58" t="n">
        <f aca="false">Residential!I16</f>
        <v>137267.55</v>
      </c>
      <c r="J9" s="58" t="n">
        <f aca="false">Residential!J16</f>
        <v>139448.5</v>
      </c>
      <c r="K9" s="58" t="n">
        <f aca="false">Residential!K16</f>
        <v>185267</v>
      </c>
      <c r="L9" s="58" t="n">
        <f aca="false">Residential!L16</f>
        <v>228950.4</v>
      </c>
      <c r="M9" s="58" t="n">
        <f aca="false">Residential!M16</f>
        <v>239079.564554248</v>
      </c>
      <c r="N9" s="58" t="n">
        <f aca="false">Residential!N16</f>
        <v>229597.056038492</v>
      </c>
      <c r="O9" s="58" t="n">
        <f aca="false">Residential!O16</f>
        <v>217521.412400736</v>
      </c>
      <c r="P9" s="58" t="n">
        <f aca="false">Residential!P16</f>
        <v>199298.098687729</v>
      </c>
      <c r="Q9" s="58" t="n">
        <f aca="false">Residential!Q16</f>
        <v>176098.7287337</v>
      </c>
      <c r="R9" s="58" t="n">
        <f aca="false">Residential!R16</f>
        <v>171231.509404251</v>
      </c>
      <c r="S9" s="58" t="n">
        <f aca="false">Residential!S16</f>
        <v>194339.808084752</v>
      </c>
      <c r="T9" s="58" t="n">
        <f aca="false">Residential!T16</f>
        <v>228831.796901014</v>
      </c>
      <c r="U9" s="58" t="n">
        <f aca="false">Residential!U16</f>
        <v>255647.446291684</v>
      </c>
      <c r="V9" s="58" t="n">
        <f aca="false">Residential!V16</f>
        <v>271417.809177095</v>
      </c>
      <c r="W9" s="58" t="n">
        <f aca="false">Residential!W16</f>
        <v>275528.386015871</v>
      </c>
      <c r="X9" s="58" t="n">
        <f aca="false">Residential!X16</f>
        <v>271111.922343921</v>
      </c>
      <c r="Y9" s="58" t="n">
        <f aca="false">Residential!Y16</f>
        <v>271037.605924118</v>
      </c>
      <c r="Z9" s="58" t="n">
        <f aca="false">Residential!Z16</f>
        <v>274574.491627212</v>
      </c>
      <c r="AA9" s="58" t="n">
        <f aca="false">Residential!AA16</f>
        <v>268856.46572731</v>
      </c>
      <c r="AB9" s="58" t="n">
        <f aca="false">Residential!AB16</f>
        <v>246332.449978033</v>
      </c>
    </row>
    <row r="10" customFormat="false" ht="15" hidden="false" customHeight="false" outlineLevel="0" collapsed="false">
      <c r="A10" s="27" t="s">
        <v>335</v>
      </c>
      <c r="B10" s="56" t="s">
        <v>334</v>
      </c>
      <c r="C10" s="57" t="n">
        <f aca="false">SUM(E10:P10)</f>
        <v>1982039.26991112</v>
      </c>
      <c r="D10" s="57" t="n">
        <f aca="false">SUM(Q10:AB10)</f>
        <v>2164837.12919436</v>
      </c>
      <c r="E10" s="58" t="n">
        <f aca="false">Residential!E48</f>
        <v>131409.36</v>
      </c>
      <c r="F10" s="58" t="n">
        <f aca="false">Residential!F48</f>
        <v>114236.45</v>
      </c>
      <c r="G10" s="58" t="n">
        <f aca="false">Residential!G48</f>
        <v>128758.65</v>
      </c>
      <c r="H10" s="58" t="n">
        <f aca="false">Residential!H48</f>
        <v>145125.35</v>
      </c>
      <c r="I10" s="58" t="n">
        <f aca="false">Residential!I48</f>
        <v>170056.66</v>
      </c>
      <c r="J10" s="58" t="n">
        <f aca="false">Residential!J48</f>
        <v>189129.45</v>
      </c>
      <c r="K10" s="58" t="n">
        <f aca="false">Residential!K48</f>
        <v>203261.87</v>
      </c>
      <c r="L10" s="58" t="n">
        <f aca="false">Residential!L48</f>
        <v>194333.83</v>
      </c>
      <c r="M10" s="58" t="n">
        <f aca="false">Residential!M48</f>
        <v>190402.77965308</v>
      </c>
      <c r="N10" s="58" t="n">
        <f aca="false">Residential!N48</f>
        <v>174017.341952193</v>
      </c>
      <c r="O10" s="58" t="n">
        <f aca="false">Residential!O48</f>
        <v>175545.233951065</v>
      </c>
      <c r="P10" s="58" t="n">
        <f aca="false">Residential!P48</f>
        <v>165762.294354782</v>
      </c>
      <c r="Q10" s="58" t="n">
        <f aca="false">Residential!Q48</f>
        <v>163015.41553228</v>
      </c>
      <c r="R10" s="58" t="n">
        <f aca="false">Residential!R48</f>
        <v>149877.119986564</v>
      </c>
      <c r="S10" s="58" t="n">
        <f aca="false">Residential!S48</f>
        <v>145284.823356088</v>
      </c>
      <c r="T10" s="58" t="n">
        <f aca="false">Residential!T48</f>
        <v>153026.724404952</v>
      </c>
      <c r="U10" s="58" t="n">
        <f aca="false">Residential!U48</f>
        <v>170385.130882803</v>
      </c>
      <c r="V10" s="58" t="n">
        <f aca="false">Residential!V48</f>
        <v>189199.333629095</v>
      </c>
      <c r="W10" s="58" t="n">
        <f aca="false">Residential!W48</f>
        <v>200559.065099782</v>
      </c>
      <c r="X10" s="58" t="n">
        <f aca="false">Residential!X48</f>
        <v>203890.197998356</v>
      </c>
      <c r="Y10" s="58" t="n">
        <f aca="false">Residential!Y48</f>
        <v>202917.247948319</v>
      </c>
      <c r="Z10" s="58" t="n">
        <f aca="false">Residential!Z48</f>
        <v>200483.171802464</v>
      </c>
      <c r="AA10" s="58" t="n">
        <f aca="false">Residential!AA48</f>
        <v>196781.409610295</v>
      </c>
      <c r="AB10" s="58" t="n">
        <f aca="false">Residential!AB48</f>
        <v>189417.488943361</v>
      </c>
    </row>
    <row r="11" customFormat="false" ht="15" hidden="false" customHeight="false" outlineLevel="0" collapsed="false">
      <c r="A11" s="27" t="s">
        <v>336</v>
      </c>
      <c r="B11" s="56" t="s">
        <v>334</v>
      </c>
      <c r="C11" s="57" t="n">
        <f aca="false">SUM(E11:P11)</f>
        <v>3290084.05362622</v>
      </c>
      <c r="D11" s="57" t="n">
        <f aca="false">SUM(Q11:AB11)</f>
        <v>2461146.10649039</v>
      </c>
      <c r="E11" s="58" t="n">
        <f aca="false">WIP!E645</f>
        <v>158017.94</v>
      </c>
      <c r="F11" s="58" t="n">
        <f aca="false">WIP!F645</f>
        <v>139314.06</v>
      </c>
      <c r="G11" s="58" t="n">
        <f aca="false">WIP!G645</f>
        <v>114056.91</v>
      </c>
      <c r="H11" s="58" t="n">
        <f aca="false">WIP!H645</f>
        <v>103444.17</v>
      </c>
      <c r="I11" s="58" t="n">
        <f aca="false">WIP!I645</f>
        <v>136039.43</v>
      </c>
      <c r="J11" s="58" t="n">
        <f aca="false">WIP!J645</f>
        <v>218730.2</v>
      </c>
      <c r="K11" s="58" t="n">
        <f aca="false">WIP!K645</f>
        <v>343193.12</v>
      </c>
      <c r="L11" s="58" t="n">
        <f aca="false">WIP!L645</f>
        <v>346480.13</v>
      </c>
      <c r="M11" s="58" t="n">
        <f aca="false">WIP!M645</f>
        <v>441839.797208746</v>
      </c>
      <c r="N11" s="58" t="n">
        <f aca="false">WIP!N645</f>
        <v>466575.446674441</v>
      </c>
      <c r="O11" s="58" t="n">
        <f aca="false">WIP!O645</f>
        <v>428352.987906085</v>
      </c>
      <c r="P11" s="58" t="n">
        <f aca="false">WIP!P645</f>
        <v>394039.861836953</v>
      </c>
      <c r="Q11" s="58" t="n">
        <f aca="false">WIP!Q645</f>
        <v>378959.360889759</v>
      </c>
      <c r="R11" s="58" t="n">
        <f aca="false">WIP!R645</f>
        <v>314292.383701609</v>
      </c>
      <c r="S11" s="58" t="n">
        <f aca="false">WIP!S645</f>
        <v>181694.516782407</v>
      </c>
      <c r="T11" s="58" t="n">
        <f aca="false">WIP!T645</f>
        <v>132590.060763889</v>
      </c>
      <c r="U11" s="58" t="n">
        <f aca="false">WIP!U645</f>
        <v>191099.175347222</v>
      </c>
      <c r="V11" s="58" t="n">
        <f aca="false">WIP!V645</f>
        <v>231485.842013889</v>
      </c>
      <c r="W11" s="58" t="n">
        <f aca="false">WIP!W645</f>
        <v>242230.060763889</v>
      </c>
      <c r="X11" s="58" t="n">
        <f aca="false">WIP!X645</f>
        <v>220122.968623461</v>
      </c>
      <c r="Y11" s="58" t="n">
        <f aca="false">WIP!Y645</f>
        <v>170130.172371032</v>
      </c>
      <c r="Z11" s="58" t="n">
        <f aca="false">WIP!Z645</f>
        <v>130431.871355685</v>
      </c>
      <c r="AA11" s="58" t="n">
        <f aca="false">WIP!AA645</f>
        <v>133616.572521866</v>
      </c>
      <c r="AB11" s="58" t="n">
        <f aca="false">WIP!AB645</f>
        <v>134493.121355685</v>
      </c>
    </row>
    <row r="12" customFormat="false" ht="15" hidden="false" customHeight="false" outlineLevel="0" collapsed="false">
      <c r="A12" s="27" t="s">
        <v>337</v>
      </c>
      <c r="B12" s="56" t="s">
        <v>334</v>
      </c>
      <c r="C12" s="57" t="n">
        <f aca="false">SUM(E12:P12)</f>
        <v>1792491.93795044</v>
      </c>
      <c r="D12" s="57" t="n">
        <f aca="false">SUM(Q12:AB12)</f>
        <v>2172433.86704956</v>
      </c>
      <c r="E12" s="58" t="n">
        <f aca="false">WIP!E670</f>
        <v>236014.85</v>
      </c>
      <c r="F12" s="58" t="n">
        <f aca="false">WIP!F670</f>
        <v>188104.4</v>
      </c>
      <c r="G12" s="58" t="n">
        <f aca="false">WIP!G670</f>
        <v>105874.14</v>
      </c>
      <c r="H12" s="58" t="n">
        <f aca="false">WIP!H670</f>
        <v>53699.29</v>
      </c>
      <c r="I12" s="58" t="n">
        <f aca="false">WIP!I670</f>
        <v>33347.91</v>
      </c>
      <c r="J12" s="58" t="n">
        <f aca="false">WIP!J670</f>
        <v>99114.7</v>
      </c>
      <c r="K12" s="58" t="n">
        <f aca="false">WIP!K670</f>
        <v>149061</v>
      </c>
      <c r="L12" s="58" t="n">
        <f aca="false">WIP!L670</f>
        <v>179277.28</v>
      </c>
      <c r="M12" s="58" t="n">
        <f aca="false">WIP!M670</f>
        <v>202963.068170439</v>
      </c>
      <c r="N12" s="58" t="n">
        <f aca="false">WIP!N670</f>
        <v>204379.29950797</v>
      </c>
      <c r="O12" s="58" t="n">
        <f aca="false">WIP!O670</f>
        <v>186811.354987887</v>
      </c>
      <c r="P12" s="58" t="n">
        <f aca="false">WIP!P670</f>
        <v>153844.645284143</v>
      </c>
      <c r="Q12" s="58" t="n">
        <f aca="false">WIP!Q670</f>
        <v>104394.580728525</v>
      </c>
      <c r="R12" s="58" t="n">
        <f aca="false">WIP!R670</f>
        <v>38461.1613210358</v>
      </c>
      <c r="S12" s="58" t="n">
        <f aca="false">WIP!S670</f>
        <v>60356.6529492455</v>
      </c>
      <c r="T12" s="58" t="n">
        <f aca="false">WIP!T670</f>
        <v>161755.829903978</v>
      </c>
      <c r="U12" s="58" t="n">
        <f aca="false">WIP!U670</f>
        <v>234183.813443073</v>
      </c>
      <c r="V12" s="58" t="n">
        <f aca="false">WIP!V670</f>
        <v>277640.603566529</v>
      </c>
      <c r="W12" s="58" t="n">
        <f aca="false">WIP!W670</f>
        <v>292126.200274349</v>
      </c>
      <c r="X12" s="58" t="n">
        <f aca="false">WIP!X670</f>
        <v>277640.60356653</v>
      </c>
      <c r="Y12" s="58" t="n">
        <f aca="false">WIP!Y670</f>
        <v>234183.813443072</v>
      </c>
      <c r="Z12" s="58" t="n">
        <f aca="false">WIP!Z670</f>
        <v>198365.204903978</v>
      </c>
      <c r="AA12" s="58" t="n">
        <f aca="false">WIP!AA670</f>
        <v>156872.277949245</v>
      </c>
      <c r="AB12" s="58" t="n">
        <f aca="false">WIP!AB670</f>
        <v>136453.125</v>
      </c>
    </row>
    <row r="13" customFormat="false" ht="15" hidden="false" customHeight="false" outlineLevel="0" collapsed="false">
      <c r="A13" s="67" t="s">
        <v>338</v>
      </c>
      <c r="B13" s="68"/>
      <c r="C13" s="69" t="n">
        <f aca="false">SUM(E13:P13)</f>
        <v>9197434.24316899</v>
      </c>
      <c r="D13" s="69" t="n">
        <f aca="false">SUM(Q13:AB13)</f>
        <v>9703425.52294328</v>
      </c>
      <c r="E13" s="69" t="n">
        <f aca="false">E9+E10+E11+E12</f>
        <v>664034.2</v>
      </c>
      <c r="F13" s="69" t="n">
        <f aca="false">F9+F10+F11+F12</f>
        <v>566098.91</v>
      </c>
      <c r="G13" s="69" t="n">
        <f aca="false">G9+G10+G11+G12</f>
        <v>490939.1</v>
      </c>
      <c r="H13" s="69" t="n">
        <f aca="false">H9+H10+H11+H12</f>
        <v>453372.76</v>
      </c>
      <c r="I13" s="69" t="n">
        <f aca="false">I9+I10+I11+I12</f>
        <v>476711.55</v>
      </c>
      <c r="J13" s="69" t="n">
        <f aca="false">J9+J10+J11+J12</f>
        <v>646422.85</v>
      </c>
      <c r="K13" s="69" t="n">
        <f aca="false">K9+K10+K11+K12</f>
        <v>880782.99</v>
      </c>
      <c r="L13" s="69" t="n">
        <f aca="false">L9+L10+L11+L12</f>
        <v>949041.64</v>
      </c>
      <c r="M13" s="69" t="n">
        <f aca="false">M9+M10+M11+M12</f>
        <v>1074285.20958651</v>
      </c>
      <c r="N13" s="69" t="n">
        <f aca="false">N9+N10+N11+N12</f>
        <v>1074569.1441731</v>
      </c>
      <c r="O13" s="69" t="n">
        <f aca="false">O9+O10+O11+O12</f>
        <v>1008230.98924577</v>
      </c>
      <c r="P13" s="69" t="n">
        <f aca="false">P9+P10+P11+P12</f>
        <v>912944.900163607</v>
      </c>
      <c r="Q13" s="69" t="n">
        <f aca="false">Q9+Q10+Q11+Q12</f>
        <v>822468.085884264</v>
      </c>
      <c r="R13" s="69" t="n">
        <f aca="false">R9+R10+R11+R12</f>
        <v>673862.17441346</v>
      </c>
      <c r="S13" s="69" t="n">
        <f aca="false">S9+S10+S11+S12</f>
        <v>581675.801172494</v>
      </c>
      <c r="T13" s="69" t="n">
        <f aca="false">T9+T10+T11+T12</f>
        <v>676204.411973833</v>
      </c>
      <c r="U13" s="69" t="n">
        <f aca="false">U9+U10+U11+U12</f>
        <v>851315.565964782</v>
      </c>
      <c r="V13" s="69" t="n">
        <f aca="false">V9+V10+V11+V12</f>
        <v>969743.588386608</v>
      </c>
      <c r="W13" s="69" t="n">
        <f aca="false">W9+W10+W11+W12</f>
        <v>1010443.71215389</v>
      </c>
      <c r="X13" s="69" t="n">
        <f aca="false">X9+X10+X11+X12</f>
        <v>972765.692532268</v>
      </c>
      <c r="Y13" s="69" t="n">
        <f aca="false">Y9+Y10+Y11+Y12</f>
        <v>878268.839686541</v>
      </c>
      <c r="Z13" s="69" t="n">
        <f aca="false">Z9+Z10+Z11+Z12</f>
        <v>803854.73968934</v>
      </c>
      <c r="AA13" s="69" t="n">
        <f aca="false">AA9+AA10+AA11+AA12</f>
        <v>756126.725808716</v>
      </c>
      <c r="AB13" s="69" t="n">
        <f aca="false">AB9+AB10+AB11+AB12</f>
        <v>706696.185277079</v>
      </c>
    </row>
    <row r="14" customFormat="false" ht="15" hidden="false" customHeight="false" outlineLevel="0" collapsed="false">
      <c r="A14" s="27" t="s">
        <v>339</v>
      </c>
      <c r="B14" s="56"/>
      <c r="F14" s="60" t="n">
        <f aca="false">IF(E13=0,0,F13/E13-1)</f>
        <v>-0.147485310244562</v>
      </c>
      <c r="G14" s="60" t="n">
        <f aca="false">IF(F13=0,0,G13/F13-1)</f>
        <v>-0.132767982188837</v>
      </c>
      <c r="H14" s="60" t="n">
        <f aca="false">IF(G13=0,0,H13/G13-1)</f>
        <v>-0.076519348326503</v>
      </c>
      <c r="I14" s="60" t="n">
        <f aca="false">IF(H13=0,0,I13/H13-1)</f>
        <v>0.051478147915194</v>
      </c>
      <c r="J14" s="60" t="n">
        <f aca="false">IF(I13=0,0,J13/I13-1)</f>
        <v>0.356004170656239</v>
      </c>
      <c r="K14" s="60" t="n">
        <f aca="false">IF(J13=0,0,K13/J13-1)</f>
        <v>0.362549281789776</v>
      </c>
      <c r="L14" s="60" t="n">
        <f aca="false">IF(K13=0,0,L13/K13-1)</f>
        <v>0.0774976932740266</v>
      </c>
      <c r="M14" s="60" t="n">
        <f aca="false">IF(L13=0,0,M13/L13-1)</f>
        <v>0.131968466195554</v>
      </c>
      <c r="N14" s="60" t="n">
        <f aca="false">IF(M13=0,0,N13/M13-1)</f>
        <v>0.000264300936147377</v>
      </c>
      <c r="O14" s="60" t="n">
        <f aca="false">IF(N13=0,0,O13/N13-1)</f>
        <v>-0.0617346545702016</v>
      </c>
      <c r="P14" s="60" t="n">
        <f aca="false">IF(O13=0,0,P13/O13-1)</f>
        <v>-0.0945081931606229</v>
      </c>
      <c r="Q14" s="60" t="n">
        <f aca="false">IF(P13=0,0,Q13/P13-1)</f>
        <v>-0.0991043536834799</v>
      </c>
      <c r="R14" s="60" t="n">
        <f aca="false">IF(Q13=0,0,R13/Q13-1)</f>
        <v>-0.180682890948933</v>
      </c>
      <c r="S14" s="60" t="n">
        <f aca="false">IF(R13=0,0,S13/R13-1)</f>
        <v>-0.136803009192802</v>
      </c>
      <c r="T14" s="60" t="n">
        <f aca="false">IF(S13=0,0,T13/S13-1)</f>
        <v>0.162510818931776</v>
      </c>
      <c r="U14" s="60" t="n">
        <f aca="false">IF(T13=0,0,U13/T13-1)</f>
        <v>0.258961862552481</v>
      </c>
      <c r="V14" s="60" t="n">
        <f aca="false">IF(U13=0,0,V13/U13-1)</f>
        <v>0.139111778471493</v>
      </c>
      <c r="W14" s="60" t="n">
        <f aca="false">IF(V13=0,0,W13/V13-1)</f>
        <v>0.0419699849060062</v>
      </c>
      <c r="X14" s="60" t="n">
        <f aca="false">IF(W13=0,0,X13/W13-1)</f>
        <v>-0.037288588338392</v>
      </c>
      <c r="Y14" s="60" t="n">
        <f aca="false">IF(X13=0,0,Y13/X13-1)</f>
        <v>-0.0971424604826842</v>
      </c>
      <c r="Z14" s="60" t="n">
        <f aca="false">IF(Y13=0,0,Z13/Y13-1)</f>
        <v>-0.0847281568406322</v>
      </c>
      <c r="AA14" s="60" t="n">
        <f aca="false">IF(Z13=0,0,AA13/Z13-1)</f>
        <v>-0.0593739285521516</v>
      </c>
      <c r="AB14" s="60" t="n">
        <f aca="false">IF(AA13=0,0,AB13/AA13-1)</f>
        <v>-0.065373354550811</v>
      </c>
    </row>
    <row r="15" customFormat="false" ht="15" hidden="false" customHeight="false" outlineLevel="0" collapsed="false">
      <c r="A15" s="21" t="s">
        <v>340</v>
      </c>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row>
    <row r="16" customFormat="false" ht="15" hidden="false" customHeight="false" outlineLevel="0" collapsed="false">
      <c r="A16" s="27" t="s">
        <v>333</v>
      </c>
      <c r="B16" s="56" t="s">
        <v>334</v>
      </c>
      <c r="C16" s="57" t="n">
        <f aca="false">SUM(E16:P16)</f>
        <v>-1651408.26073612</v>
      </c>
      <c r="D16" s="57" t="n">
        <f aca="false">SUM(Q16:AB16)</f>
        <v>-2222331.44145986</v>
      </c>
      <c r="E16" s="58" t="n">
        <f aca="false">-Residential!E22</f>
        <v>-106634.62</v>
      </c>
      <c r="F16" s="58" t="n">
        <f aca="false">-Residential!F22</f>
        <v>-97899.08</v>
      </c>
      <c r="G16" s="58" t="n">
        <f aca="false">-Residential!G22</f>
        <v>-116131.69</v>
      </c>
      <c r="H16" s="58" t="n">
        <f aca="false">-Residential!H22</f>
        <v>-112974.04</v>
      </c>
      <c r="I16" s="58" t="n">
        <f aca="false">-Residential!I22</f>
        <v>-107981.48</v>
      </c>
      <c r="J16" s="58" t="n">
        <f aca="false">-Residential!J22</f>
        <v>-110242.99</v>
      </c>
      <c r="K16" s="58" t="n">
        <f aca="false">-Residential!K22</f>
        <v>-145716.33</v>
      </c>
      <c r="L16" s="58" t="n">
        <f aca="false">-Residential!L22</f>
        <v>-176423.49</v>
      </c>
      <c r="M16" s="58" t="n">
        <f aca="false">-Residential!M22</f>
        <v>-182895.866884</v>
      </c>
      <c r="N16" s="58" t="n">
        <f aca="false">-Residential!N22</f>
        <v>-175641.747869446</v>
      </c>
      <c r="O16" s="58" t="n">
        <f aca="false">-Residential!O22</f>
        <v>-166403.880486563</v>
      </c>
      <c r="P16" s="58" t="n">
        <f aca="false">-Residential!P22</f>
        <v>-152463.045496113</v>
      </c>
      <c r="Q16" s="58" t="n">
        <f aca="false">-Residential!Q22</f>
        <v>-134715.527481281</v>
      </c>
      <c r="R16" s="58" t="n">
        <f aca="false">-Residential!R22</f>
        <v>-130992.104694252</v>
      </c>
      <c r="S16" s="58" t="n">
        <f aca="false">-Residential!S22</f>
        <v>-148669.953184836</v>
      </c>
      <c r="T16" s="58" t="n">
        <f aca="false">-Residential!T22</f>
        <v>-175056.324629276</v>
      </c>
      <c r="U16" s="58" t="n">
        <f aca="false">-Residential!U22</f>
        <v>-195570.296413138</v>
      </c>
      <c r="V16" s="58" t="n">
        <f aca="false">-Residential!V22</f>
        <v>-207634.624020478</v>
      </c>
      <c r="W16" s="58" t="n">
        <f aca="false">-Residential!W22</f>
        <v>-210779.215302142</v>
      </c>
      <c r="X16" s="58" t="n">
        <f aca="false">-Residential!X22</f>
        <v>-207400.620593099</v>
      </c>
      <c r="Y16" s="58" t="n">
        <f aca="false">-Residential!Y22</f>
        <v>-207343.76853195</v>
      </c>
      <c r="Z16" s="58" t="n">
        <f aca="false">-Residential!Z22</f>
        <v>-210049.486094817</v>
      </c>
      <c r="AA16" s="58" t="n">
        <f aca="false">-Residential!AA22</f>
        <v>-205675.196281392</v>
      </c>
      <c r="AB16" s="58" t="n">
        <f aca="false">-Residential!AB22</f>
        <v>-188444.324233196</v>
      </c>
    </row>
    <row r="17" customFormat="false" ht="15" hidden="false" customHeight="false" outlineLevel="0" collapsed="false">
      <c r="A17" s="27" t="s">
        <v>335</v>
      </c>
      <c r="B17" s="56" t="s">
        <v>334</v>
      </c>
      <c r="C17" s="57" t="n">
        <f aca="false">SUM(E17:P17)</f>
        <v>-1489057.40393245</v>
      </c>
      <c r="D17" s="57" t="n">
        <f aca="false">SUM(Q17:AB17)</f>
        <v>-1645276.21818771</v>
      </c>
      <c r="E17" s="58" t="n">
        <f aca="false">-Residential!E54</f>
        <v>-98074.47</v>
      </c>
      <c r="F17" s="58" t="n">
        <f aca="false">-Residential!F54</f>
        <v>-81754.09</v>
      </c>
      <c r="G17" s="58" t="n">
        <f aca="false">-Residential!G54</f>
        <v>-93655.2</v>
      </c>
      <c r="H17" s="58" t="n">
        <f aca="false">-Residential!H54</f>
        <v>-102798.83</v>
      </c>
      <c r="I17" s="58" t="n">
        <f aca="false">-Residential!I54</f>
        <v>-132975.19</v>
      </c>
      <c r="J17" s="58" t="n">
        <f aca="false">-Residential!J54</f>
        <v>-147901.24</v>
      </c>
      <c r="K17" s="58" t="n">
        <f aca="false">-Residential!K54</f>
        <v>-152073.82</v>
      </c>
      <c r="L17" s="58" t="n">
        <f aca="false">-Residential!L54</f>
        <v>-143471.55</v>
      </c>
      <c r="M17" s="58" t="n">
        <f aca="false">-Residential!M54</f>
        <v>-144706.11253634</v>
      </c>
      <c r="N17" s="58" t="n">
        <f aca="false">-Residential!N54</f>
        <v>-132253.179883667</v>
      </c>
      <c r="O17" s="58" t="n">
        <f aca="false">-Residential!O54</f>
        <v>-133414.377802809</v>
      </c>
      <c r="P17" s="58" t="n">
        <f aca="false">-Residential!P54</f>
        <v>-125979.343709634</v>
      </c>
      <c r="Q17" s="58" t="n">
        <f aca="false">-Residential!Q54</f>
        <v>-123891.715804533</v>
      </c>
      <c r="R17" s="58" t="n">
        <f aca="false">-Residential!R54</f>
        <v>-113906.611189788</v>
      </c>
      <c r="S17" s="58" t="n">
        <f aca="false">-Residential!S54</f>
        <v>-110416.465750627</v>
      </c>
      <c r="T17" s="58" t="n">
        <f aca="false">-Residential!T54</f>
        <v>-116300.310547763</v>
      </c>
      <c r="U17" s="58" t="n">
        <f aca="false">-Residential!U54</f>
        <v>-129492.69947093</v>
      </c>
      <c r="V17" s="58" t="n">
        <f aca="false">-Residential!V54</f>
        <v>-143791.493558112</v>
      </c>
      <c r="W17" s="58" t="n">
        <f aca="false">-Residential!W54</f>
        <v>-152424.889475834</v>
      </c>
      <c r="X17" s="58" t="n">
        <f aca="false">-Residential!X54</f>
        <v>-154956.55047875</v>
      </c>
      <c r="Y17" s="58" t="n">
        <f aca="false">-Residential!Y54</f>
        <v>-154217.108440722</v>
      </c>
      <c r="Z17" s="58" t="n">
        <f aca="false">-Residential!Z54</f>
        <v>-152367.210569873</v>
      </c>
      <c r="AA17" s="58" t="n">
        <f aca="false">-Residential!AA54</f>
        <v>-149553.871303825</v>
      </c>
      <c r="AB17" s="58" t="n">
        <f aca="false">-Residential!AB54</f>
        <v>-143957.291596954</v>
      </c>
    </row>
    <row r="18" customFormat="false" ht="15" hidden="false" customHeight="false" outlineLevel="0" collapsed="false">
      <c r="A18" s="27" t="s">
        <v>336</v>
      </c>
      <c r="B18" s="56" t="s">
        <v>334</v>
      </c>
      <c r="C18" s="57" t="n">
        <f aca="false">SUM(E18:P18)</f>
        <v>-2846148.51042593</v>
      </c>
      <c r="D18" s="57" t="n">
        <f aca="false">SUM(Q18:AB18)</f>
        <v>-2120386.22759157</v>
      </c>
      <c r="E18" s="58" t="n">
        <f aca="false">-WIP!E646+WIP!E652</f>
        <v>-126726.14</v>
      </c>
      <c r="F18" s="58" t="n">
        <f aca="false">-WIP!F646+WIP!F652</f>
        <v>-105238.29</v>
      </c>
      <c r="G18" s="58" t="n">
        <f aca="false">-WIP!G646+WIP!G652</f>
        <v>-84756.08</v>
      </c>
      <c r="H18" s="58" t="n">
        <f aca="false">-WIP!H646+WIP!H652</f>
        <v>-88882.17</v>
      </c>
      <c r="I18" s="58" t="n">
        <f aca="false">-WIP!I646+WIP!I652</f>
        <v>-143323.67</v>
      </c>
      <c r="J18" s="58" t="n">
        <f aca="false">-WIP!J646+WIP!J652</f>
        <v>-211431.66</v>
      </c>
      <c r="K18" s="58" t="n">
        <f aca="false">-WIP!K646+WIP!K652</f>
        <v>-298743.67</v>
      </c>
      <c r="L18" s="58" t="n">
        <f aca="false">-WIP!L646+WIP!L652</f>
        <v>-313658.41</v>
      </c>
      <c r="M18" s="58" t="n">
        <f aca="false">-WIP!M646+WIP!M652</f>
        <v>-387432.686028439</v>
      </c>
      <c r="N18" s="58" t="n">
        <f aca="false">-WIP!N646+WIP!N652</f>
        <v>-397071.63893717</v>
      </c>
      <c r="O18" s="58" t="n">
        <f aca="false">-WIP!O646+WIP!O652</f>
        <v>-359754.948885582</v>
      </c>
      <c r="P18" s="58" t="n">
        <f aca="false">-WIP!P646+WIP!P652</f>
        <v>-329129.146574735</v>
      </c>
      <c r="Q18" s="58" t="n">
        <f aca="false">-WIP!Q646+WIP!Q652</f>
        <v>-323212.276981482</v>
      </c>
      <c r="R18" s="58" t="n">
        <f aca="false">-WIP!R646+WIP!R652</f>
        <v>-269256.213425926</v>
      </c>
      <c r="S18" s="58" t="n">
        <f aca="false">-WIP!S646+WIP!S652</f>
        <v>-156486.979166667</v>
      </c>
      <c r="T18" s="58" t="n">
        <f aca="false">-WIP!T646+WIP!T652</f>
        <v>-114650.462962963</v>
      </c>
      <c r="U18" s="58" t="n">
        <f aca="false">-WIP!U646+WIP!U652</f>
        <v>-165219.907407407</v>
      </c>
      <c r="V18" s="58" t="n">
        <f aca="false">-WIP!V646+WIP!V652</f>
        <v>-200114.12962963</v>
      </c>
      <c r="W18" s="58" t="n">
        <f aca="false">-WIP!W646+WIP!W652</f>
        <v>-209381.12962963</v>
      </c>
      <c r="X18" s="58" t="n">
        <f aca="false">-WIP!X646+WIP!X652</f>
        <v>-190263.577961343</v>
      </c>
      <c r="Y18" s="58" t="n">
        <f aca="false">-WIP!Y646+WIP!Y652</f>
        <v>-147070.768766534</v>
      </c>
      <c r="Z18" s="58" t="n">
        <f aca="false">-WIP!Z646+WIP!Z652</f>
        <v>-112798.702578353</v>
      </c>
      <c r="AA18" s="58" t="n">
        <f aca="false">-WIP!AA646+WIP!AA652</f>
        <v>-115582.72025328</v>
      </c>
      <c r="AB18" s="58" t="n">
        <f aca="false">-WIP!AB646+WIP!AB652</f>
        <v>-116349.358828353</v>
      </c>
    </row>
    <row r="19" customFormat="false" ht="15" hidden="false" customHeight="false" outlineLevel="0" collapsed="false">
      <c r="A19" s="27" t="s">
        <v>337</v>
      </c>
      <c r="B19" s="56" t="s">
        <v>334</v>
      </c>
      <c r="C19" s="57" t="n">
        <f aca="false">SUM(E19:P19)</f>
        <v>-1530176.91419753</v>
      </c>
      <c r="D19" s="57" t="n">
        <f aca="false">SUM(Q19:AB19)</f>
        <v>-1908961.40330247</v>
      </c>
      <c r="E19" s="58" t="n">
        <f aca="false">-WIP!E671+WIP!E677</f>
        <v>-205399.87</v>
      </c>
      <c r="F19" s="58" t="n">
        <f aca="false">-WIP!F671+WIP!F677</f>
        <v>-152554.55</v>
      </c>
      <c r="G19" s="58" t="n">
        <f aca="false">-WIP!G671+WIP!G677</f>
        <v>-84207.19</v>
      </c>
      <c r="H19" s="58" t="n">
        <f aca="false">-WIP!H671+WIP!H677</f>
        <v>-41672.02</v>
      </c>
      <c r="I19" s="58" t="n">
        <f aca="false">-WIP!I671+WIP!I677</f>
        <v>-29255.21</v>
      </c>
      <c r="J19" s="58" t="n">
        <f aca="false">-WIP!J671+WIP!J677</f>
        <v>-85890.76</v>
      </c>
      <c r="K19" s="58" t="n">
        <f aca="false">-WIP!K671+WIP!K677</f>
        <v>-132110.44</v>
      </c>
      <c r="L19" s="58" t="n">
        <f aca="false">-WIP!L671+WIP!L677</f>
        <v>-152267.13</v>
      </c>
      <c r="M19" s="58" t="n">
        <f aca="false">-WIP!M671+WIP!M677</f>
        <v>-175973.018641975</v>
      </c>
      <c r="N19" s="58" t="n">
        <f aca="false">-WIP!N671+WIP!N677</f>
        <v>-175973.018641975</v>
      </c>
      <c r="O19" s="58" t="n">
        <f aca="false">-WIP!O671+WIP!O677</f>
        <v>-161704.936049383</v>
      </c>
      <c r="P19" s="58" t="n">
        <f aca="false">-WIP!P671+WIP!P677</f>
        <v>-133168.770864198</v>
      </c>
      <c r="Q19" s="58" t="n">
        <f aca="false">-WIP!Q671+WIP!Q677</f>
        <v>-90364.5230864196</v>
      </c>
      <c r="R19" s="58" t="n">
        <f aca="false">-WIP!R671+WIP!R677</f>
        <v>-33292.1927160494</v>
      </c>
      <c r="S19" s="58" t="n">
        <f aca="false">-WIP!S671+WIP!S677</f>
        <v>-53086.4197530864</v>
      </c>
      <c r="T19" s="58" t="n">
        <f aca="false">-WIP!T671+WIP!T677</f>
        <v>-142271.604938272</v>
      </c>
      <c r="U19" s="58" t="n">
        <f aca="false">-WIP!U671+WIP!U677</f>
        <v>-205975.308641975</v>
      </c>
      <c r="V19" s="58" t="n">
        <f aca="false">-WIP!V671+WIP!V677</f>
        <v>-244197.530864198</v>
      </c>
      <c r="W19" s="58" t="n">
        <f aca="false">-WIP!W671+WIP!W677</f>
        <v>-256938.271604938</v>
      </c>
      <c r="X19" s="58" t="n">
        <f aca="false">-WIP!X671+WIP!X677</f>
        <v>-244197.530864198</v>
      </c>
      <c r="Y19" s="58" t="n">
        <f aca="false">-WIP!Y671+WIP!Y677</f>
        <v>-205975.308641975</v>
      </c>
      <c r="Z19" s="58" t="n">
        <f aca="false">-WIP!Z671+WIP!Z677</f>
        <v>-174498.167438272</v>
      </c>
      <c r="AA19" s="58" t="n">
        <f aca="false">-WIP!AA671+WIP!AA677</f>
        <v>-138047.357253086</v>
      </c>
      <c r="AB19" s="58" t="n">
        <f aca="false">-WIP!AB671+WIP!AB677</f>
        <v>-120117.1875</v>
      </c>
    </row>
    <row r="20" customFormat="false" ht="15" hidden="false" customHeight="false" outlineLevel="0" collapsed="false">
      <c r="A20" s="67" t="s">
        <v>341</v>
      </c>
      <c r="B20" s="68"/>
      <c r="C20" s="69" t="n">
        <f aca="false">SUM(E20:P20)</f>
        <v>-7516791.08929203</v>
      </c>
      <c r="D20" s="69" t="n">
        <f aca="false">SUM(Q20:AB20)</f>
        <v>-7896955.2905416</v>
      </c>
      <c r="E20" s="69" t="n">
        <f aca="false">E16+E17+E18+E19</f>
        <v>-536835.1</v>
      </c>
      <c r="F20" s="69" t="n">
        <f aca="false">F16+F17+F18+F19</f>
        <v>-437446.01</v>
      </c>
      <c r="G20" s="69" t="n">
        <f aca="false">G16+G17+G18+G19</f>
        <v>-378750.16</v>
      </c>
      <c r="H20" s="69" t="n">
        <f aca="false">H16+H17+H18+H19</f>
        <v>-346327.06</v>
      </c>
      <c r="I20" s="69" t="n">
        <f aca="false">I16+I17+I18+I19</f>
        <v>-413535.55</v>
      </c>
      <c r="J20" s="69" t="n">
        <f aca="false">J16+J17+J18+J19</f>
        <v>-555466.65</v>
      </c>
      <c r="K20" s="69" t="n">
        <f aca="false">K16+K17+K18+K19</f>
        <v>-728644.26</v>
      </c>
      <c r="L20" s="69" t="n">
        <f aca="false">L16+L17+L18+L19</f>
        <v>-785820.58</v>
      </c>
      <c r="M20" s="69" t="n">
        <f aca="false">M16+M17+M18+M19</f>
        <v>-891007.684090755</v>
      </c>
      <c r="N20" s="69" t="n">
        <f aca="false">N16+N17+N18+N19</f>
        <v>-880939.585332258</v>
      </c>
      <c r="O20" s="69" t="n">
        <f aca="false">O16+O17+O18+O19</f>
        <v>-821278.143224336</v>
      </c>
      <c r="P20" s="69" t="n">
        <f aca="false">P16+P17+P18+P19</f>
        <v>-740740.30664468</v>
      </c>
      <c r="Q20" s="69" t="n">
        <f aca="false">Q16+Q17+Q18+Q19</f>
        <v>-672184.043353715</v>
      </c>
      <c r="R20" s="69" t="n">
        <f aca="false">R16+R17+R18+R19</f>
        <v>-547447.122026016</v>
      </c>
      <c r="S20" s="69" t="n">
        <f aca="false">S16+S17+S18+S19</f>
        <v>-468659.817855216</v>
      </c>
      <c r="T20" s="69" t="n">
        <f aca="false">T16+T17+T18+T19</f>
        <v>-548278.703078274</v>
      </c>
      <c r="U20" s="69" t="n">
        <f aca="false">U16+U17+U18+U19</f>
        <v>-696258.211933451</v>
      </c>
      <c r="V20" s="69" t="n">
        <f aca="false">V16+V17+V18+V19</f>
        <v>-795737.778072417</v>
      </c>
      <c r="W20" s="69" t="n">
        <f aca="false">W16+W17+W18+W19</f>
        <v>-829523.506012544</v>
      </c>
      <c r="X20" s="69" t="n">
        <f aca="false">X16+X17+X18+X19</f>
        <v>-796818.279897391</v>
      </c>
      <c r="Y20" s="69" t="n">
        <f aca="false">Y16+Y17+Y18+Y19</f>
        <v>-714606.954381182</v>
      </c>
      <c r="Z20" s="69" t="n">
        <f aca="false">Z16+Z17+Z18+Z19</f>
        <v>-649713.566681315</v>
      </c>
      <c r="AA20" s="69" t="n">
        <f aca="false">AA16+AA17+AA18+AA19</f>
        <v>-608859.145091583</v>
      </c>
      <c r="AB20" s="69" t="n">
        <f aca="false">AB16+AB17+AB18+AB19</f>
        <v>-568868.162158503</v>
      </c>
    </row>
    <row r="21" customFormat="false" ht="15" hidden="false" customHeight="false" outlineLevel="0" collapsed="false">
      <c r="A21" s="21" t="s">
        <v>342</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row>
    <row r="22" customFormat="false" ht="15" hidden="false" customHeight="false" outlineLevel="0" collapsed="false">
      <c r="A22" s="27" t="s">
        <v>333</v>
      </c>
      <c r="B22" s="56" t="s">
        <v>343</v>
      </c>
      <c r="C22" s="57" t="n">
        <f aca="false">SUM(E22:P22)</f>
        <v>481410.720945083</v>
      </c>
      <c r="D22" s="57" t="n">
        <f aca="false">SUM(Q22:AB22)</f>
        <v>682676.978749106</v>
      </c>
      <c r="E22" s="70" t="n">
        <f aca="false">E9+E16</f>
        <v>31957.43</v>
      </c>
      <c r="F22" s="70" t="n">
        <f aca="false">F9+F16</f>
        <v>26544.92</v>
      </c>
      <c r="G22" s="70" t="n">
        <f aca="false">G9+G16</f>
        <v>26117.71</v>
      </c>
      <c r="H22" s="70" t="n">
        <f aca="false">H9+H16</f>
        <v>38129.91</v>
      </c>
      <c r="I22" s="70" t="n">
        <f aca="false">I9+I16</f>
        <v>29286.07</v>
      </c>
      <c r="J22" s="70" t="n">
        <f aca="false">J9+J16</f>
        <v>29205.51</v>
      </c>
      <c r="K22" s="70" t="n">
        <f aca="false">K9+K16</f>
        <v>39550.67</v>
      </c>
      <c r="L22" s="70" t="n">
        <f aca="false">L9+L16</f>
        <v>52526.91</v>
      </c>
      <c r="M22" s="70" t="n">
        <f aca="false">M9+M16</f>
        <v>56183.6976702483</v>
      </c>
      <c r="N22" s="70" t="n">
        <f aca="false">N9+N16</f>
        <v>53955.3081690455</v>
      </c>
      <c r="O22" s="70" t="n">
        <f aca="false">O9+O16</f>
        <v>51117.531914173</v>
      </c>
      <c r="P22" s="70" t="n">
        <f aca="false">P9+P16</f>
        <v>46835.0531916164</v>
      </c>
      <c r="Q22" s="70" t="n">
        <f aca="false">Q9+Q16</f>
        <v>41383.2012524195</v>
      </c>
      <c r="R22" s="70" t="n">
        <f aca="false">R9+R16</f>
        <v>40239.404709999</v>
      </c>
      <c r="S22" s="70" t="n">
        <f aca="false">S9+S16</f>
        <v>45669.8548999168</v>
      </c>
      <c r="T22" s="70" t="n">
        <f aca="false">T9+T16</f>
        <v>53775.4722717384</v>
      </c>
      <c r="U22" s="70" t="n">
        <f aca="false">U9+U16</f>
        <v>60077.1498785457</v>
      </c>
      <c r="V22" s="70" t="n">
        <f aca="false">V9+V16</f>
        <v>63783.1851566174</v>
      </c>
      <c r="W22" s="70" t="n">
        <f aca="false">W9+W16</f>
        <v>64749.1707137298</v>
      </c>
      <c r="X22" s="70" t="n">
        <f aca="false">X9+X16</f>
        <v>63711.3017508214</v>
      </c>
      <c r="Y22" s="70" t="n">
        <f aca="false">Y9+Y16</f>
        <v>63693.8373921677</v>
      </c>
      <c r="Z22" s="70" t="n">
        <f aca="false">Z9+Z16</f>
        <v>64525.0055323948</v>
      </c>
      <c r="AA22" s="70" t="n">
        <f aca="false">AA9+AA16</f>
        <v>63181.2694459178</v>
      </c>
      <c r="AB22" s="70" t="n">
        <f aca="false">AB9+AB16</f>
        <v>57888.1257448379</v>
      </c>
    </row>
    <row r="23" customFormat="false" ht="15" hidden="false" customHeight="false" outlineLevel="0" collapsed="false">
      <c r="A23" s="27" t="s">
        <v>335</v>
      </c>
      <c r="B23" s="56" t="s">
        <v>343</v>
      </c>
      <c r="C23" s="57" t="n">
        <f aca="false">SUM(E23:P23)</f>
        <v>492981.865978669</v>
      </c>
      <c r="D23" s="57" t="n">
        <f aca="false">SUM(Q23:AB23)</f>
        <v>519560.911006646</v>
      </c>
      <c r="E23" s="70" t="n">
        <f aca="false">E10+E17</f>
        <v>33334.89</v>
      </c>
      <c r="F23" s="70" t="n">
        <f aca="false">F10+F17</f>
        <v>32482.36</v>
      </c>
      <c r="G23" s="70" t="n">
        <f aca="false">G10+G17</f>
        <v>35103.45</v>
      </c>
      <c r="H23" s="70" t="n">
        <f aca="false">H10+H17</f>
        <v>42326.52</v>
      </c>
      <c r="I23" s="70" t="n">
        <f aca="false">I10+I17</f>
        <v>37081.47</v>
      </c>
      <c r="J23" s="70" t="n">
        <f aca="false">J10+J17</f>
        <v>41228.21</v>
      </c>
      <c r="K23" s="70" t="n">
        <f aca="false">K10+K17</f>
        <v>51188.05</v>
      </c>
      <c r="L23" s="70" t="n">
        <f aca="false">L10+L17</f>
        <v>50862.28</v>
      </c>
      <c r="M23" s="70" t="n">
        <f aca="false">M10+M17</f>
        <v>45696.6671167391</v>
      </c>
      <c r="N23" s="70" t="n">
        <f aca="false">N10+N17</f>
        <v>41764.1620685263</v>
      </c>
      <c r="O23" s="70" t="n">
        <f aca="false">O10+O17</f>
        <v>42130.8561482555</v>
      </c>
      <c r="P23" s="70" t="n">
        <f aca="false">P10+P17</f>
        <v>39782.9506451476</v>
      </c>
      <c r="Q23" s="70" t="n">
        <f aca="false">Q10+Q17</f>
        <v>39123.6997277472</v>
      </c>
      <c r="R23" s="70" t="n">
        <f aca="false">R10+R17</f>
        <v>35970.5087967753</v>
      </c>
      <c r="S23" s="70" t="n">
        <f aca="false">S10+S17</f>
        <v>34868.3576054612</v>
      </c>
      <c r="T23" s="70" t="n">
        <f aca="false">T10+T17</f>
        <v>36726.4138571884</v>
      </c>
      <c r="U23" s="70" t="n">
        <f aca="false">U10+U17</f>
        <v>40892.4314118728</v>
      </c>
      <c r="V23" s="70" t="n">
        <f aca="false">V10+V17</f>
        <v>45407.8400709827</v>
      </c>
      <c r="W23" s="70" t="n">
        <f aca="false">W10+W17</f>
        <v>48134.1756239476</v>
      </c>
      <c r="X23" s="70" t="n">
        <f aca="false">X10+X17</f>
        <v>48933.6475196054</v>
      </c>
      <c r="Y23" s="70" t="n">
        <f aca="false">Y10+Y17</f>
        <v>48700.1395075966</v>
      </c>
      <c r="Z23" s="70" t="n">
        <f aca="false">Z10+Z17</f>
        <v>48115.9612325914</v>
      </c>
      <c r="AA23" s="70" t="n">
        <f aca="false">AA10+AA17</f>
        <v>47227.5383064709</v>
      </c>
      <c r="AB23" s="70" t="n">
        <f aca="false">AB10+AB17</f>
        <v>45460.1973464066</v>
      </c>
    </row>
    <row r="24" customFormat="false" ht="15" hidden="false" customHeight="false" outlineLevel="0" collapsed="false">
      <c r="A24" s="27" t="s">
        <v>336</v>
      </c>
      <c r="B24" s="56" t="s">
        <v>343</v>
      </c>
      <c r="C24" s="57" t="n">
        <f aca="false">SUM(E24:P24)</f>
        <v>443935.543200299</v>
      </c>
      <c r="D24" s="57" t="n">
        <f aca="false">SUM(Q24:AB24)</f>
        <v>340759.878898826</v>
      </c>
      <c r="E24" s="70" t="n">
        <f aca="false">E11+E18</f>
        <v>31291.7999999999</v>
      </c>
      <c r="F24" s="70" t="n">
        <f aca="false">F11+F18</f>
        <v>34075.7700000001</v>
      </c>
      <c r="G24" s="70" t="n">
        <f aca="false">G11+G18</f>
        <v>29300.83</v>
      </c>
      <c r="H24" s="70" t="n">
        <f aca="false">H11+H18</f>
        <v>14562</v>
      </c>
      <c r="I24" s="70" t="n">
        <f aca="false">I11+I18</f>
        <v>-7284.23999999999</v>
      </c>
      <c r="J24" s="70" t="n">
        <f aca="false">J11+J18</f>
        <v>7298.54000000004</v>
      </c>
      <c r="K24" s="70" t="n">
        <f aca="false">K11+K18</f>
        <v>44449.45</v>
      </c>
      <c r="L24" s="70" t="n">
        <f aca="false">L11+L18</f>
        <v>32821.72</v>
      </c>
      <c r="M24" s="70" t="n">
        <f aca="false">M11+M18</f>
        <v>54407.1111803069</v>
      </c>
      <c r="N24" s="70" t="n">
        <f aca="false">N11+N18</f>
        <v>69503.8077372714</v>
      </c>
      <c r="O24" s="70" t="n">
        <f aca="false">O11+O18</f>
        <v>68598.0390205028</v>
      </c>
      <c r="P24" s="70" t="n">
        <f aca="false">P11+P18</f>
        <v>64910.7152622175</v>
      </c>
      <c r="Q24" s="70" t="n">
        <f aca="false">Q11+Q18</f>
        <v>55747.0839082769</v>
      </c>
      <c r="R24" s="70" t="n">
        <f aca="false">R11+R18</f>
        <v>45036.1702756835</v>
      </c>
      <c r="S24" s="70" t="n">
        <f aca="false">S11+S18</f>
        <v>25207.5376157407</v>
      </c>
      <c r="T24" s="70" t="n">
        <f aca="false">T11+T18</f>
        <v>17939.5978009259</v>
      </c>
      <c r="U24" s="70" t="n">
        <f aca="false">U11+U18</f>
        <v>25879.2679398148</v>
      </c>
      <c r="V24" s="70" t="n">
        <f aca="false">V11+V18</f>
        <v>31371.7123842592</v>
      </c>
      <c r="W24" s="70" t="n">
        <f aca="false">W11+W18</f>
        <v>32848.9311342593</v>
      </c>
      <c r="X24" s="70" t="n">
        <f aca="false">X11+X18</f>
        <v>29859.390662118</v>
      </c>
      <c r="Y24" s="70" t="n">
        <f aca="false">Y11+Y18</f>
        <v>23059.4036044973</v>
      </c>
      <c r="Z24" s="70" t="n">
        <f aca="false">Z11+Z18</f>
        <v>17633.1687773324</v>
      </c>
      <c r="AA24" s="70" t="n">
        <f aca="false">AA11+AA18</f>
        <v>18033.852268586</v>
      </c>
      <c r="AB24" s="70" t="n">
        <f aca="false">AB11+AB18</f>
        <v>18143.7625273324</v>
      </c>
    </row>
    <row r="25" customFormat="false" ht="15" hidden="false" customHeight="false" outlineLevel="0" collapsed="false">
      <c r="A25" s="27" t="s">
        <v>337</v>
      </c>
      <c r="B25" s="56" t="s">
        <v>343</v>
      </c>
      <c r="C25" s="57" t="n">
        <f aca="false">SUM(E25:P25)</f>
        <v>262315.023752908</v>
      </c>
      <c r="D25" s="57" t="n">
        <f aca="false">SUM(Q25:AB25)</f>
        <v>263472.463747092</v>
      </c>
      <c r="E25" s="70" t="n">
        <f aca="false">E12+E19</f>
        <v>30614.98</v>
      </c>
      <c r="F25" s="70" t="n">
        <f aca="false">F12+F19</f>
        <v>35549.85</v>
      </c>
      <c r="G25" s="70" t="n">
        <f aca="false">G12+G19</f>
        <v>21666.95</v>
      </c>
      <c r="H25" s="70" t="n">
        <f aca="false">H12+H19</f>
        <v>12027.27</v>
      </c>
      <c r="I25" s="70" t="n">
        <f aca="false">I12+I19</f>
        <v>4092.7</v>
      </c>
      <c r="J25" s="70" t="n">
        <f aca="false">J12+J19</f>
        <v>13223.94</v>
      </c>
      <c r="K25" s="70" t="n">
        <f aca="false">K12+K19</f>
        <v>16950.56</v>
      </c>
      <c r="L25" s="70" t="n">
        <f aca="false">L12+L19</f>
        <v>27010.15</v>
      </c>
      <c r="M25" s="70" t="n">
        <f aca="false">M12+M19</f>
        <v>26990.0495284637</v>
      </c>
      <c r="N25" s="70" t="n">
        <f aca="false">N12+N19</f>
        <v>28406.2808659945</v>
      </c>
      <c r="O25" s="70" t="n">
        <f aca="false">O12+O19</f>
        <v>25106.4189385047</v>
      </c>
      <c r="P25" s="70" t="n">
        <f aca="false">P12+P19</f>
        <v>20675.8744199453</v>
      </c>
      <c r="Q25" s="70" t="n">
        <f aca="false">Q12+Q19</f>
        <v>14030.0576421055</v>
      </c>
      <c r="R25" s="70" t="n">
        <f aca="false">R12+R19</f>
        <v>5168.9686049864</v>
      </c>
      <c r="S25" s="70" t="n">
        <f aca="false">S12+S19</f>
        <v>7270.23319615913</v>
      </c>
      <c r="T25" s="70" t="n">
        <f aca="false">T12+T19</f>
        <v>19484.2249657065</v>
      </c>
      <c r="U25" s="70" t="n">
        <f aca="false">U12+U19</f>
        <v>28208.5048010974</v>
      </c>
      <c r="V25" s="70" t="n">
        <f aca="false">V12+V19</f>
        <v>33443.0727023319</v>
      </c>
      <c r="W25" s="70" t="n">
        <f aca="false">W12+W19</f>
        <v>35187.9286694102</v>
      </c>
      <c r="X25" s="70" t="n">
        <f aca="false">X12+X19</f>
        <v>33443.072702332</v>
      </c>
      <c r="Y25" s="70" t="n">
        <f aca="false">Y12+Y19</f>
        <v>28208.5048010972</v>
      </c>
      <c r="Z25" s="70" t="n">
        <f aca="false">Z12+Z19</f>
        <v>23867.0374657065</v>
      </c>
      <c r="AA25" s="70" t="n">
        <f aca="false">AA12+AA19</f>
        <v>18824.9206961591</v>
      </c>
      <c r="AB25" s="70" t="n">
        <f aca="false">AB12+AB19</f>
        <v>16335.9375</v>
      </c>
    </row>
    <row r="26" customFormat="false" ht="15" hidden="false" customHeight="false" outlineLevel="0" collapsed="false">
      <c r="A26" s="27" t="s">
        <v>344</v>
      </c>
      <c r="B26" s="56"/>
      <c r="C26" s="59" t="n">
        <f aca="false">IF(C9=0,0,C22/C9)</f>
        <v>0.225715696024802</v>
      </c>
      <c r="D26" s="59" t="n">
        <f aca="false">IF(D9=0,0,D22/D9)</f>
        <v>0.235</v>
      </c>
      <c r="E26" s="60" t="n">
        <f aca="false">IF(E9=0,0,E22/E9)</f>
        <v>0.230586314294362</v>
      </c>
      <c r="F26" s="60" t="n">
        <f aca="false">IF(F9=0,0,F22/F9)</f>
        <v>0.213308154671981</v>
      </c>
      <c r="G26" s="60" t="n">
        <f aca="false">IF(G9=0,0,G22/G9)</f>
        <v>0.183605062657558</v>
      </c>
      <c r="H26" s="60" t="n">
        <f aca="false">IF(H9=0,0,H22/H9)</f>
        <v>0.252342245189487</v>
      </c>
      <c r="I26" s="60" t="n">
        <f aca="false">IF(I9=0,0,I22/I9)</f>
        <v>0.213350278343279</v>
      </c>
      <c r="J26" s="60" t="n">
        <f aca="false">IF(J9=0,0,J22/J9)</f>
        <v>0.209435813221368</v>
      </c>
      <c r="K26" s="60" t="n">
        <f aca="false">IF(K9=0,0,K22/K9)</f>
        <v>0.213479302844003</v>
      </c>
      <c r="L26" s="60" t="n">
        <f aca="false">IF(L9=0,0,L22/L9)</f>
        <v>0.229424844857227</v>
      </c>
      <c r="M26" s="60" t="n">
        <f aca="false">IF(M9=0,0,M22/M9)</f>
        <v>0.235</v>
      </c>
      <c r="N26" s="60" t="n">
        <f aca="false">IF(N9=0,0,N22/N9)</f>
        <v>0.235</v>
      </c>
      <c r="O26" s="60" t="n">
        <f aca="false">IF(O9=0,0,O22/O9)</f>
        <v>0.235</v>
      </c>
      <c r="P26" s="60" t="n">
        <f aca="false">IF(P9=0,0,P22/P9)</f>
        <v>0.235</v>
      </c>
      <c r="Q26" s="60" t="n">
        <f aca="false">IF(Q9=0,0,Q22/Q9)</f>
        <v>0.235</v>
      </c>
      <c r="R26" s="60" t="n">
        <f aca="false">IF(R9=0,0,R22/R9)</f>
        <v>0.235</v>
      </c>
      <c r="S26" s="60" t="n">
        <f aca="false">IF(S9=0,0,S22/S9)</f>
        <v>0.235</v>
      </c>
      <c r="T26" s="60" t="n">
        <f aca="false">IF(T9=0,0,T22/T9)</f>
        <v>0.235</v>
      </c>
      <c r="U26" s="60" t="n">
        <f aca="false">IF(U9=0,0,U22/U9)</f>
        <v>0.235</v>
      </c>
      <c r="V26" s="60" t="n">
        <f aca="false">IF(V9=0,0,V22/V9)</f>
        <v>0.235</v>
      </c>
      <c r="W26" s="60" t="n">
        <f aca="false">IF(W9=0,0,W22/W9)</f>
        <v>0.235</v>
      </c>
      <c r="X26" s="60" t="n">
        <f aca="false">IF(X9=0,0,X22/X9)</f>
        <v>0.235</v>
      </c>
      <c r="Y26" s="60" t="n">
        <f aca="false">IF(Y9=0,0,Y22/Y9)</f>
        <v>0.235</v>
      </c>
      <c r="Z26" s="60" t="n">
        <f aca="false">IF(Z9=0,0,Z22/Z9)</f>
        <v>0.235</v>
      </c>
      <c r="AA26" s="60" t="n">
        <f aca="false">IF(AA9=0,0,AA22/AA9)</f>
        <v>0.235</v>
      </c>
      <c r="AB26" s="60" t="n">
        <f aca="false">IF(AB9=0,0,AB22/AB9)</f>
        <v>0.235</v>
      </c>
    </row>
    <row r="27" customFormat="false" ht="15" hidden="false" customHeight="false" outlineLevel="0" collapsed="false">
      <c r="A27" s="27" t="s">
        <v>345</v>
      </c>
      <c r="B27" s="56"/>
      <c r="C27" s="59" t="n">
        <f aca="false">IF(C10=0,0,C23/C10)</f>
        <v>0.248724570427293</v>
      </c>
      <c r="D27" s="59" t="n">
        <f aca="false">IF(D10=0,0,D23/D10)</f>
        <v>0.24</v>
      </c>
      <c r="E27" s="60" t="n">
        <f aca="false">IF(E10=0,0,E23/E10)</f>
        <v>0.253672112854061</v>
      </c>
      <c r="F27" s="60" t="n">
        <f aca="false">IF(F10=0,0,F23/F10)</f>
        <v>0.284343219699141</v>
      </c>
      <c r="G27" s="60" t="n">
        <f aca="false">IF(G10=0,0,G23/G10)</f>
        <v>0.272629838849662</v>
      </c>
      <c r="H27" s="60" t="n">
        <f aca="false">IF(H10=0,0,H23/H10)</f>
        <v>0.291654903846916</v>
      </c>
      <c r="I27" s="60" t="n">
        <f aca="false">IF(I10=0,0,I23/I10)</f>
        <v>0.218053618129393</v>
      </c>
      <c r="J27" s="60" t="n">
        <f aca="false">IF(J10=0,0,J23/J10)</f>
        <v>0.217989371829718</v>
      </c>
      <c r="K27" s="60" t="n">
        <f aca="false">IF(K10=0,0,K23/K10)</f>
        <v>0.251833017181235</v>
      </c>
      <c r="L27" s="60" t="n">
        <f aca="false">IF(L10=0,0,L23/L10)</f>
        <v>0.261726329378678</v>
      </c>
      <c r="M27" s="60" t="n">
        <f aca="false">IF(M10=0,0,M23/M10)</f>
        <v>0.24</v>
      </c>
      <c r="N27" s="60" t="n">
        <f aca="false">IF(N10=0,0,N23/N10)</f>
        <v>0.24</v>
      </c>
      <c r="O27" s="60" t="n">
        <f aca="false">IF(O10=0,0,O23/O10)</f>
        <v>0.24</v>
      </c>
      <c r="P27" s="60" t="n">
        <f aca="false">IF(P10=0,0,P23/P10)</f>
        <v>0.24</v>
      </c>
      <c r="Q27" s="60" t="n">
        <f aca="false">IF(Q10=0,0,Q23/Q10)</f>
        <v>0.24</v>
      </c>
      <c r="R27" s="60" t="n">
        <f aca="false">IF(R10=0,0,R23/R10)</f>
        <v>0.24</v>
      </c>
      <c r="S27" s="60" t="n">
        <f aca="false">IF(S10=0,0,S23/S10)</f>
        <v>0.24</v>
      </c>
      <c r="T27" s="60" t="n">
        <f aca="false">IF(T10=0,0,T23/T10)</f>
        <v>0.24</v>
      </c>
      <c r="U27" s="60" t="n">
        <f aca="false">IF(U10=0,0,U23/U10)</f>
        <v>0.24</v>
      </c>
      <c r="V27" s="60" t="n">
        <f aca="false">IF(V10=0,0,V23/V10)</f>
        <v>0.24</v>
      </c>
      <c r="W27" s="60" t="n">
        <f aca="false">IF(W10=0,0,W23/W10)</f>
        <v>0.24</v>
      </c>
      <c r="X27" s="60" t="n">
        <f aca="false">IF(X10=0,0,X23/X10)</f>
        <v>0.24</v>
      </c>
      <c r="Y27" s="60" t="n">
        <f aca="false">IF(Y10=0,0,Y23/Y10)</f>
        <v>0.24</v>
      </c>
      <c r="Z27" s="60" t="n">
        <f aca="false">IF(Z10=0,0,Z23/Z10)</f>
        <v>0.24</v>
      </c>
      <c r="AA27" s="60" t="n">
        <f aca="false">IF(AA10=0,0,AA23/AA10)</f>
        <v>0.24</v>
      </c>
      <c r="AB27" s="60" t="n">
        <f aca="false">IF(AB10=0,0,AB23/AB10)</f>
        <v>0.24</v>
      </c>
    </row>
    <row r="28" customFormat="false" ht="15" hidden="false" customHeight="false" outlineLevel="0" collapsed="false">
      <c r="A28" s="27" t="s">
        <v>346</v>
      </c>
      <c r="B28" s="56"/>
      <c r="C28" s="59" t="n">
        <f aca="false">IF(C11=0,0,C24/C11)</f>
        <v>0.134931368306839</v>
      </c>
      <c r="D28" s="59" t="n">
        <f aca="false">IF(D11=0,0,D24/D11)</f>
        <v>0.138455769854619</v>
      </c>
      <c r="E28" s="60" t="n">
        <f aca="false">IF(E11=0,0,E24/E11)</f>
        <v>0.198026882264127</v>
      </c>
      <c r="F28" s="60" t="n">
        <f aca="false">IF(F11=0,0,F24/F11)</f>
        <v>0.244596776520619</v>
      </c>
      <c r="G28" s="60" t="n">
        <f aca="false">IF(G11=0,0,G24/G11)</f>
        <v>0.25689657908495</v>
      </c>
      <c r="H28" s="60" t="n">
        <f aca="false">IF(H11=0,0,H24/H11)</f>
        <v>0.140771587224297</v>
      </c>
      <c r="I28" s="60" t="n">
        <f aca="false">IF(I11=0,0,I24/I11)</f>
        <v>-0.053545064103841</v>
      </c>
      <c r="J28" s="60" t="n">
        <f aca="false">IF(J11=0,0,J24/J11)</f>
        <v>0.0333677745459934</v>
      </c>
      <c r="K28" s="60" t="n">
        <f aca="false">IF(K11=0,0,K24/K11)</f>
        <v>0.129517310836534</v>
      </c>
      <c r="L28" s="60" t="n">
        <f aca="false">IF(L11=0,0,L24/L11)</f>
        <v>0.0947290108670879</v>
      </c>
      <c r="M28" s="60" t="n">
        <f aca="false">IF(M11=0,0,M24/M11)</f>
        <v>0.123137642928535</v>
      </c>
      <c r="N28" s="60" t="n">
        <f aca="false">IF(N11=0,0,N24/N11)</f>
        <v>0.148965849430496</v>
      </c>
      <c r="O28" s="60" t="n">
        <f aca="false">IF(O11=0,0,O24/O11)</f>
        <v>0.160143715480614</v>
      </c>
      <c r="P28" s="60" t="n">
        <f aca="false">IF(P11=0,0,P24/P11)</f>
        <v>0.164731342051573</v>
      </c>
      <c r="Q28" s="60" t="n">
        <f aca="false">IF(Q11=0,0,Q24/Q11)</f>
        <v>0.147105704889802</v>
      </c>
      <c r="R28" s="60" t="n">
        <f aca="false">IF(R11=0,0,R24/R11)</f>
        <v>0.143293864602335</v>
      </c>
      <c r="S28" s="60" t="n">
        <f aca="false">IF(S11=0,0,S24/S11)</f>
        <v>0.138735819121766</v>
      </c>
      <c r="T28" s="60" t="n">
        <f aca="false">IF(T11=0,0,T24/T11)</f>
        <v>0.135301226182195</v>
      </c>
      <c r="U28" s="60" t="n">
        <f aca="false">IF(U11=0,0,U24/U11)</f>
        <v>0.135423231904548</v>
      </c>
      <c r="V28" s="60" t="n">
        <f aca="false">IF(V11=0,0,V24/V11)</f>
        <v>0.13552324458088</v>
      </c>
      <c r="W28" s="60" t="n">
        <f aca="false">IF(W11=0,0,W24/W11)</f>
        <v>0.135610464822855</v>
      </c>
      <c r="X28" s="60" t="n">
        <f aca="false">IF(X11=0,0,X24/X11)</f>
        <v>0.135648682410762</v>
      </c>
      <c r="Y28" s="60" t="n">
        <f aca="false">IF(Y11=0,0,Y24/Y11)</f>
        <v>0.135539765128832</v>
      </c>
      <c r="Z28" s="60" t="n">
        <f aca="false">IF(Z11=0,0,Z24/Z11)</f>
        <v>0.135190644694862</v>
      </c>
      <c r="AA28" s="60" t="n">
        <f aca="false">IF(AA11=0,0,AA24/AA11)</f>
        <v>0.134967182050975</v>
      </c>
      <c r="AB28" s="60" t="n">
        <f aca="false">IF(AB11=0,0,AB24/AB11)</f>
        <v>0.134904762001536</v>
      </c>
    </row>
    <row r="29" customFormat="false" ht="15" hidden="false" customHeight="false" outlineLevel="0" collapsed="false">
      <c r="A29" s="27" t="s">
        <v>347</v>
      </c>
      <c r="B29" s="56"/>
      <c r="C29" s="59" t="n">
        <f aca="false">IF(C12=0,0,C25/C12)</f>
        <v>0.14634097827678</v>
      </c>
      <c r="D29" s="59" t="n">
        <f aca="false">IF(D12=0,0,D25/D12)</f>
        <v>0.121279854702744</v>
      </c>
      <c r="E29" s="60" t="n">
        <f aca="false">IF(E12=0,0,E25/E12)</f>
        <v>0.129716329290297</v>
      </c>
      <c r="F29" s="60" t="n">
        <f aca="false">IF(F12=0,0,F25/F12)</f>
        <v>0.188989997044195</v>
      </c>
      <c r="G29" s="60" t="n">
        <f aca="false">IF(G12=0,0,G25/G12)</f>
        <v>0.204648179432674</v>
      </c>
      <c r="H29" s="60" t="n">
        <f aca="false">IF(H12=0,0,H25/H12)</f>
        <v>0.223974469681071</v>
      </c>
      <c r="I29" s="60" t="n">
        <f aca="false">IF(I12=0,0,I25/I12)</f>
        <v>0.122727331338006</v>
      </c>
      <c r="J29" s="60" t="n">
        <f aca="false">IF(J12=0,0,J25/J12)</f>
        <v>0.133420572326809</v>
      </c>
      <c r="K29" s="60" t="n">
        <f aca="false">IF(K12=0,0,K25/K12)</f>
        <v>0.11371559294517</v>
      </c>
      <c r="L29" s="60" t="n">
        <f aca="false">IF(L12=0,0,L25/L12)</f>
        <v>0.150661310791864</v>
      </c>
      <c r="M29" s="60" t="n">
        <f aca="false">IF(M12=0,0,M25/M12)</f>
        <v>0.132980102103101</v>
      </c>
      <c r="N29" s="60" t="n">
        <f aca="false">IF(N12=0,0,N25/N12)</f>
        <v>0.138988052774331</v>
      </c>
      <c r="O29" s="60" t="n">
        <f aca="false">IF(O12=0,0,O25/O12)</f>
        <v>0.1343945015555</v>
      </c>
      <c r="P29" s="60" t="n">
        <f aca="false">IF(P12=0,0,P25/P12)</f>
        <v>0.134394501555501</v>
      </c>
      <c r="Q29" s="60" t="n">
        <f aca="false">IF(Q12=0,0,Q25/Q12)</f>
        <v>0.1343945015555</v>
      </c>
      <c r="R29" s="60" t="n">
        <f aca="false">IF(R12=0,0,R25/R12)</f>
        <v>0.134394501555503</v>
      </c>
      <c r="S29" s="60" t="n">
        <f aca="false">IF(S12=0,0,S25/S12)</f>
        <v>0.120454545454546</v>
      </c>
      <c r="T29" s="60" t="n">
        <f aca="false">IF(T12=0,0,T25/T12)</f>
        <v>0.120454545454546</v>
      </c>
      <c r="U29" s="60" t="n">
        <f aca="false">IF(U12=0,0,U25/U12)</f>
        <v>0.120454545454546</v>
      </c>
      <c r="V29" s="60" t="n">
        <f aca="false">IF(V12=0,0,V25/V12)</f>
        <v>0.120454545454545</v>
      </c>
      <c r="W29" s="60" t="n">
        <f aca="false">IF(W12=0,0,W25/W12)</f>
        <v>0.120454545454545</v>
      </c>
      <c r="X29" s="60" t="n">
        <f aca="false">IF(X12=0,0,X25/X12)</f>
        <v>0.120454545454546</v>
      </c>
      <c r="Y29" s="60" t="n">
        <f aca="false">IF(Y12=0,0,Y25/Y12)</f>
        <v>0.120454545454545</v>
      </c>
      <c r="Z29" s="60" t="n">
        <f aca="false">IF(Z12=0,0,Z25/Z12)</f>
        <v>0.120318669180211</v>
      </c>
      <c r="AA29" s="60" t="n">
        <f aca="false">IF(AA12=0,0,AA25/AA12)</f>
        <v>0.120001576711022</v>
      </c>
      <c r="AB29" s="60" t="n">
        <f aca="false">IF(AB12=0,0,AB25/AB12)</f>
        <v>0.119718309859155</v>
      </c>
    </row>
    <row r="30" customFormat="false" ht="15" hidden="false" customHeight="false" outlineLevel="0" collapsed="false">
      <c r="A30" s="67" t="s">
        <v>348</v>
      </c>
      <c r="B30" s="68"/>
      <c r="C30" s="69" t="n">
        <f aca="false">SUM(E30:P30)</f>
        <v>1680643.15387696</v>
      </c>
      <c r="D30" s="69" t="n">
        <f aca="false">SUM(Q30:AB30)</f>
        <v>1806470.23240167</v>
      </c>
      <c r="E30" s="69" t="n">
        <f aca="false">E22+E23+E24+E25</f>
        <v>127199.1</v>
      </c>
      <c r="F30" s="69" t="n">
        <f aca="false">F22+F23+F24+F25</f>
        <v>128652.9</v>
      </c>
      <c r="G30" s="69" t="n">
        <f aca="false">G22+G23+G24+G25</f>
        <v>112188.94</v>
      </c>
      <c r="H30" s="69" t="n">
        <f aca="false">H22+H23+H24+H25</f>
        <v>107045.7</v>
      </c>
      <c r="I30" s="69" t="n">
        <f aca="false">I22+I23+I24+I25</f>
        <v>63176</v>
      </c>
      <c r="J30" s="69" t="n">
        <f aca="false">J22+J23+J24+J25</f>
        <v>90956.2</v>
      </c>
      <c r="K30" s="69" t="n">
        <f aca="false">K22+K23+K24+K25</f>
        <v>152138.73</v>
      </c>
      <c r="L30" s="69" t="n">
        <f aca="false">L22+L23+L24+L25</f>
        <v>163221.06</v>
      </c>
      <c r="M30" s="69" t="n">
        <f aca="false">M22+M23+M24+M25</f>
        <v>183277.525495758</v>
      </c>
      <c r="N30" s="69" t="n">
        <f aca="false">N22+N23+N24+N25</f>
        <v>193629.558840838</v>
      </c>
      <c r="O30" s="69" t="n">
        <f aca="false">O22+O23+O24+O25</f>
        <v>186952.846021436</v>
      </c>
      <c r="P30" s="69" t="n">
        <f aca="false">P22+P23+P24+P25</f>
        <v>172204.593518927</v>
      </c>
      <c r="Q30" s="69" t="n">
        <f aca="false">Q22+Q23+Q24+Q25</f>
        <v>150284.042530549</v>
      </c>
      <c r="R30" s="69" t="n">
        <f aca="false">R22+R23+R24+R25</f>
        <v>126415.052387444</v>
      </c>
      <c r="S30" s="69" t="n">
        <f aca="false">S22+S23+S24+S25</f>
        <v>113015.983317278</v>
      </c>
      <c r="T30" s="69" t="n">
        <f aca="false">T22+T23+T24+T25</f>
        <v>127925.708895559</v>
      </c>
      <c r="U30" s="69" t="n">
        <f aca="false">U22+U23+U24+U25</f>
        <v>155057.354031331</v>
      </c>
      <c r="V30" s="69" t="n">
        <f aca="false">V22+V23+V24+V25</f>
        <v>174005.810314191</v>
      </c>
      <c r="W30" s="69" t="n">
        <f aca="false">W22+W23+W24+W25</f>
        <v>180920.206141347</v>
      </c>
      <c r="X30" s="69" t="n">
        <f aca="false">X22+X23+X24+X25</f>
        <v>175947.412634877</v>
      </c>
      <c r="Y30" s="69" t="n">
        <f aca="false">Y22+Y23+Y24+Y25</f>
        <v>163661.885305359</v>
      </c>
      <c r="Z30" s="69" t="n">
        <f aca="false">Z22+Z23+Z24+Z25</f>
        <v>154141.173008025</v>
      </c>
      <c r="AA30" s="69" t="n">
        <f aca="false">AA22+AA23+AA24+AA25</f>
        <v>147267.580717134</v>
      </c>
      <c r="AB30" s="69" t="n">
        <f aca="false">AB22+AB23+AB24+AB25</f>
        <v>137828.023118577</v>
      </c>
    </row>
    <row r="31" customFormat="false" ht="15" hidden="false" customHeight="false" outlineLevel="0" collapsed="false">
      <c r="A31" s="27" t="s">
        <v>303</v>
      </c>
      <c r="B31" s="56"/>
      <c r="C31" s="59" t="n">
        <f aca="false">IF(C13=0,0,C30/C13)</f>
        <v>0.182729564511449</v>
      </c>
      <c r="D31" s="59" t="n">
        <f aca="false">IF(D13=0,0,D30/D13)</f>
        <v>0.186168299857649</v>
      </c>
      <c r="E31" s="60" t="n">
        <f aca="false">IF(E13=0,0,E30/E13)</f>
        <v>0.191555043399873</v>
      </c>
      <c r="F31" s="60" t="n">
        <f aca="false">IF(F13=0,0,F30/F13)</f>
        <v>0.227262228786132</v>
      </c>
      <c r="G31" s="60" t="n">
        <f aca="false">IF(G13=0,0,G30/G13)</f>
        <v>0.22851905664063</v>
      </c>
      <c r="H31" s="60" t="n">
        <f aca="false">IF(H13=0,0,H30/H13)</f>
        <v>0.236109685989957</v>
      </c>
      <c r="I31" s="60" t="n">
        <f aca="false">IF(I13=0,0,I30/I13)</f>
        <v>0.132524584310995</v>
      </c>
      <c r="J31" s="60" t="n">
        <f aca="false">IF(J13=0,0,J30/J13)</f>
        <v>0.140706969130191</v>
      </c>
      <c r="K31" s="60" t="n">
        <f aca="false">IF(K13=0,0,K30/K13)</f>
        <v>0.172731230879016</v>
      </c>
      <c r="L31" s="60" t="n">
        <f aca="false">IF(L13=0,0,L30/L13)</f>
        <v>0.171985140715217</v>
      </c>
      <c r="M31" s="60" t="n">
        <f aca="false">IF(M13=0,0,M30/M13)</f>
        <v>0.170604159733615</v>
      </c>
      <c r="N31" s="60" t="n">
        <f aca="false">IF(N13=0,0,N30/N13)</f>
        <v>0.180192740402796</v>
      </c>
      <c r="O31" s="60" t="n">
        <f aca="false">IF(O13=0,0,O30/O13)</f>
        <v>0.185426601657314</v>
      </c>
      <c r="P31" s="60" t="n">
        <f aca="false">IF(P13=0,0,P30/P13)</f>
        <v>0.188625396218399</v>
      </c>
      <c r="Q31" s="60" t="n">
        <f aca="false">IF(Q13=0,0,Q30/Q13)</f>
        <v>0.182723251041375</v>
      </c>
      <c r="R31" s="60" t="n">
        <f aca="false">IF(R13=0,0,R30/R13)</f>
        <v>0.18759778659112</v>
      </c>
      <c r="S31" s="60" t="n">
        <f aca="false">IF(S13=0,0,S30/S13)</f>
        <v>0.194293768263128</v>
      </c>
      <c r="T31" s="60" t="n">
        <f aca="false">IF(T13=0,0,T30/T13)</f>
        <v>0.189182008620952</v>
      </c>
      <c r="U31" s="60" t="n">
        <f aca="false">IF(U13=0,0,U30/U13)</f>
        <v>0.182138516233527</v>
      </c>
      <c r="V31" s="60" t="n">
        <f aca="false">IF(V13=0,0,V30/V13)</f>
        <v>0.179434865461384</v>
      </c>
      <c r="W31" s="60" t="n">
        <f aca="false">IF(W13=0,0,W30/W13)</f>
        <v>0.179050256798266</v>
      </c>
      <c r="X31" s="60" t="n">
        <f aca="false">IF(X13=0,0,X30/X13)</f>
        <v>0.180873373707143</v>
      </c>
      <c r="Y31" s="60" t="n">
        <f aca="false">IF(Y13=0,0,Y30/Y13)</f>
        <v>0.186346000119702</v>
      </c>
      <c r="Z31" s="60" t="n">
        <f aca="false">IF(Z13=0,0,Z30/Z13)</f>
        <v>0.191752521192566</v>
      </c>
      <c r="AA31" s="60" t="n">
        <f aca="false">IF(AA13=0,0,AA30/AA13)</f>
        <v>0.194765739247774</v>
      </c>
      <c r="AB31" s="60" t="n">
        <f aca="false">IF(AB13=0,0,AB30/AB13)</f>
        <v>0.195031508574703</v>
      </c>
    </row>
    <row r="32" customFormat="false" ht="15" hidden="false" customHeight="false" outlineLevel="0" collapsed="false">
      <c r="A32" s="21" t="s">
        <v>349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row>
    <row r="33" customFormat="false" ht="15" hidden="false" customHeight="false" outlineLevel="0" collapsed="false">
      <c r="A33" s="27" t="s">
        <v>350</v>
      </c>
      <c r="B33" s="56" t="s">
        <v>69</v>
      </c>
      <c r="C33" s="57" t="n">
        <f aca="false">SUM(E33:P33)</f>
        <v>87.7116031759397</v>
      </c>
      <c r="D33" s="57" t="n">
        <f aca="false">SUM(Q33:AB33)</f>
        <v>-80877.7559781917</v>
      </c>
      <c r="E33" s="58" t="n">
        <f aca="false">Resources!E36</f>
        <v>-9212.53250000002</v>
      </c>
      <c r="F33" s="58" t="n">
        <f aca="false">Resources!F36</f>
        <v>-26691.4325</v>
      </c>
      <c r="G33" s="58" t="n">
        <f aca="false">Resources!G36</f>
        <v>-35199.9925</v>
      </c>
      <c r="H33" s="58" t="n">
        <f aca="false">Resources!H36</f>
        <v>-32046.9625</v>
      </c>
      <c r="I33" s="58" t="n">
        <f aca="false">Resources!I36</f>
        <v>-15810.925</v>
      </c>
      <c r="J33" s="58" t="n">
        <f aca="false">Resources!J36</f>
        <v>-5442.955</v>
      </c>
      <c r="K33" s="58" t="n">
        <f aca="false">Resources!K36</f>
        <v>15012.195</v>
      </c>
      <c r="L33" s="58" t="n">
        <f aca="false">Resources!L36</f>
        <v>32481.7475</v>
      </c>
      <c r="M33" s="58" t="n">
        <f aca="false">Resources!M36</f>
        <v>17058.2420932217</v>
      </c>
      <c r="N33" s="58" t="n">
        <f aca="false">Resources!N36</f>
        <v>17682.0545809715</v>
      </c>
      <c r="O33" s="58" t="n">
        <f aca="false">Resources!O36</f>
        <v>24216.0714043219</v>
      </c>
      <c r="P33" s="58" t="n">
        <f aca="false">Resources!P36</f>
        <v>18042.2010246608</v>
      </c>
      <c r="Q33" s="58" t="n">
        <f aca="false">Resources!Q36</f>
        <v>572.42937950528</v>
      </c>
      <c r="R33" s="58" t="n">
        <f aca="false">Resources!R36</f>
        <v>-24246.6142753619</v>
      </c>
      <c r="S33" s="58" t="n">
        <f aca="false">Resources!S36</f>
        <v>-38917.2749936153</v>
      </c>
      <c r="T33" s="58" t="n">
        <f aca="false">Resources!T36</f>
        <v>-30369.8885546862</v>
      </c>
      <c r="U33" s="58" t="n">
        <f aca="false">Resources!U36</f>
        <v>-3870.87998200263</v>
      </c>
      <c r="V33" s="58" t="n">
        <f aca="false">Resources!V36</f>
        <v>14402.3437003296</v>
      </c>
      <c r="W33" s="58" t="n">
        <f aca="false">Resources!W36</f>
        <v>20878.6461045433</v>
      </c>
      <c r="X33" s="58" t="n">
        <f aca="false">Resources!X36</f>
        <v>15765.9397052151</v>
      </c>
      <c r="Y33" s="58" t="n">
        <f aca="false">Resources!Y36</f>
        <v>3668.35933532141</v>
      </c>
      <c r="Z33" s="58" t="n">
        <f aca="false">Resources!Z36</f>
        <v>-5540.84241628103</v>
      </c>
      <c r="AA33" s="58" t="n">
        <f aca="false">Resources!AA36</f>
        <v>-11993.3792544959</v>
      </c>
      <c r="AB33" s="58" t="n">
        <f aca="false">Resources!AB36</f>
        <v>-21226.5947266633</v>
      </c>
    </row>
    <row r="34" customFormat="false" ht="15" hidden="false" customHeight="false" outlineLevel="0" collapsed="false">
      <c r="A34" s="27" t="s">
        <v>351</v>
      </c>
      <c r="B34" s="56" t="s">
        <v>69</v>
      </c>
      <c r="C34" s="57" t="n">
        <f aca="false">SUM(E34:P34)</f>
        <v>-170254</v>
      </c>
      <c r="D34" s="57" t="n">
        <f aca="false">SUM(Q34:AB34)</f>
        <v>-181083.6</v>
      </c>
      <c r="E34" s="58" t="n">
        <f aca="false">-Resources!E40</f>
        <v>-13626</v>
      </c>
      <c r="F34" s="58" t="n">
        <f aca="false">-Resources!F40</f>
        <v>-13713</v>
      </c>
      <c r="G34" s="58" t="n">
        <f aca="false">-Resources!G40</f>
        <v>-13725</v>
      </c>
      <c r="H34" s="58" t="n">
        <f aca="false">-Resources!H40</f>
        <v>-14065</v>
      </c>
      <c r="I34" s="58" t="n">
        <f aca="false">-Resources!I40</f>
        <v>-13284</v>
      </c>
      <c r="J34" s="58" t="n">
        <f aca="false">-Resources!J40</f>
        <v>-14685</v>
      </c>
      <c r="K34" s="58" t="n">
        <f aca="false">-Resources!K40</f>
        <v>-15315</v>
      </c>
      <c r="L34" s="58" t="n">
        <f aca="false">-Resources!L40</f>
        <v>-13521</v>
      </c>
      <c r="M34" s="58" t="n">
        <f aca="false">-Resources!M40</f>
        <v>-14580</v>
      </c>
      <c r="N34" s="58" t="n">
        <f aca="false">-Resources!N40</f>
        <v>-14580</v>
      </c>
      <c r="O34" s="58" t="n">
        <f aca="false">-Resources!O40</f>
        <v>-14580</v>
      </c>
      <c r="P34" s="58" t="n">
        <f aca="false">-Resources!P40</f>
        <v>-14580</v>
      </c>
      <c r="Q34" s="58" t="n">
        <f aca="false">-Resources!Q40</f>
        <v>-15090.3</v>
      </c>
      <c r="R34" s="58" t="n">
        <f aca="false">-Resources!R40</f>
        <v>-15090.3</v>
      </c>
      <c r="S34" s="58" t="n">
        <f aca="false">-Resources!S40</f>
        <v>-15090.3</v>
      </c>
      <c r="T34" s="58" t="n">
        <f aca="false">-Resources!T40</f>
        <v>-15090.3</v>
      </c>
      <c r="U34" s="58" t="n">
        <f aca="false">-Resources!U40</f>
        <v>-15090.3</v>
      </c>
      <c r="V34" s="58" t="n">
        <f aca="false">-Resources!V40</f>
        <v>-15090.3</v>
      </c>
      <c r="W34" s="58" t="n">
        <f aca="false">-Resources!W40</f>
        <v>-15090.3</v>
      </c>
      <c r="X34" s="58" t="n">
        <f aca="false">-Resources!X40</f>
        <v>-15090.3</v>
      </c>
      <c r="Y34" s="58" t="n">
        <f aca="false">-Resources!Y40</f>
        <v>-15090.3</v>
      </c>
      <c r="Z34" s="58" t="n">
        <f aca="false">-Resources!Z40</f>
        <v>-15090.3</v>
      </c>
      <c r="AA34" s="58" t="n">
        <f aca="false">-Resources!AA40</f>
        <v>-15090.3</v>
      </c>
      <c r="AB34" s="58" t="n">
        <f aca="false">-Resources!AB40</f>
        <v>-15090.3</v>
      </c>
    </row>
    <row r="35" customFormat="false" ht="15" hidden="false" customHeight="false" outlineLevel="0" collapsed="false">
      <c r="A35" s="27" t="s">
        <v>352</v>
      </c>
      <c r="B35" s="56"/>
      <c r="C35" s="57" t="n">
        <f aca="false">SUM(E35:P35)</f>
        <v>-170166.288396824</v>
      </c>
      <c r="D35" s="57" t="n">
        <f aca="false">SUM(Q35:AB35)</f>
        <v>-261961.355978192</v>
      </c>
      <c r="E35" s="70" t="n">
        <f aca="false">E33+E34</f>
        <v>-22838.5325</v>
      </c>
      <c r="F35" s="70" t="n">
        <f aca="false">F33+F34</f>
        <v>-40404.4325</v>
      </c>
      <c r="G35" s="70" t="n">
        <f aca="false">G33+G34</f>
        <v>-48924.9925</v>
      </c>
      <c r="H35" s="70" t="n">
        <f aca="false">H33+H34</f>
        <v>-46111.9625</v>
      </c>
      <c r="I35" s="70" t="n">
        <f aca="false">I33+I34</f>
        <v>-29094.925</v>
      </c>
      <c r="J35" s="70" t="n">
        <f aca="false">J33+J34</f>
        <v>-20127.955</v>
      </c>
      <c r="K35" s="70" t="n">
        <f aca="false">K33+K34</f>
        <v>-302.804999999993</v>
      </c>
      <c r="L35" s="70" t="n">
        <f aca="false">L33+L34</f>
        <v>18960.7475</v>
      </c>
      <c r="M35" s="70" t="n">
        <f aca="false">M33+M34</f>
        <v>2478.24209322172</v>
      </c>
      <c r="N35" s="70" t="n">
        <f aca="false">N33+N34</f>
        <v>3102.05458097151</v>
      </c>
      <c r="O35" s="70" t="n">
        <f aca="false">O33+O34</f>
        <v>9636.07140432188</v>
      </c>
      <c r="P35" s="70" t="n">
        <f aca="false">P33+P34</f>
        <v>3462.20102466078</v>
      </c>
      <c r="Q35" s="70" t="n">
        <f aca="false">Q33+Q34</f>
        <v>-14517.8706204947</v>
      </c>
      <c r="R35" s="70" t="n">
        <f aca="false">R33+R34</f>
        <v>-39336.9142753619</v>
      </c>
      <c r="S35" s="70" t="n">
        <f aca="false">S33+S34</f>
        <v>-54007.5749936153</v>
      </c>
      <c r="T35" s="70" t="n">
        <f aca="false">T33+T34</f>
        <v>-45460.1885546863</v>
      </c>
      <c r="U35" s="70" t="n">
        <f aca="false">U33+U34</f>
        <v>-18961.1799820026</v>
      </c>
      <c r="V35" s="70" t="n">
        <f aca="false">V33+V34</f>
        <v>-687.956299670372</v>
      </c>
      <c r="W35" s="70" t="n">
        <f aca="false">W33+W34</f>
        <v>5788.34610454333</v>
      </c>
      <c r="X35" s="70" t="n">
        <f aca="false">X33+X34</f>
        <v>675.639705215075</v>
      </c>
      <c r="Y35" s="70" t="n">
        <f aca="false">Y33+Y34</f>
        <v>-11421.9406646786</v>
      </c>
      <c r="Z35" s="70" t="n">
        <f aca="false">Z33+Z34</f>
        <v>-20631.142416281</v>
      </c>
      <c r="AA35" s="70" t="n">
        <f aca="false">AA33+AA34</f>
        <v>-27083.6792544959</v>
      </c>
      <c r="AB35" s="70" t="n">
        <f aca="false">AB33+AB34</f>
        <v>-36316.8947266634</v>
      </c>
    </row>
    <row r="36" customFormat="false" ht="15" hidden="false" customHeight="false" outlineLevel="0" collapsed="false">
      <c r="A36" s="67" t="s">
        <v>353</v>
      </c>
      <c r="B36" s="68"/>
      <c r="C36" s="69" t="n">
        <f aca="false">SUM(E36:P36)</f>
        <v>1510476.86548013</v>
      </c>
      <c r="D36" s="69" t="n">
        <f aca="false">SUM(Q36:AB36)</f>
        <v>1544508.87642348</v>
      </c>
      <c r="E36" s="69" t="n">
        <f aca="false">E30+E35</f>
        <v>104360.5675</v>
      </c>
      <c r="F36" s="69" t="n">
        <f aca="false">F30+F35</f>
        <v>88248.4675000001</v>
      </c>
      <c r="G36" s="69" t="n">
        <f aca="false">G30+G35</f>
        <v>63263.9475</v>
      </c>
      <c r="H36" s="69" t="n">
        <f aca="false">H30+H35</f>
        <v>60933.7375000001</v>
      </c>
      <c r="I36" s="69" t="n">
        <f aca="false">I30+I35</f>
        <v>34081.075</v>
      </c>
      <c r="J36" s="69" t="n">
        <f aca="false">J30+J35</f>
        <v>70828.245</v>
      </c>
      <c r="K36" s="69" t="n">
        <f aca="false">K30+K35</f>
        <v>151835.925</v>
      </c>
      <c r="L36" s="69" t="n">
        <f aca="false">L30+L35</f>
        <v>182181.8075</v>
      </c>
      <c r="M36" s="69" t="n">
        <f aca="false">M30+M35</f>
        <v>185755.76758898</v>
      </c>
      <c r="N36" s="69" t="n">
        <f aca="false">N30+N35</f>
        <v>196731.613421809</v>
      </c>
      <c r="O36" s="69" t="n">
        <f aca="false">O30+O35</f>
        <v>196588.917425758</v>
      </c>
      <c r="P36" s="69" t="n">
        <f aca="false">P30+P35</f>
        <v>175666.794543588</v>
      </c>
      <c r="Q36" s="69" t="n">
        <f aca="false">Q30+Q35</f>
        <v>135766.171910054</v>
      </c>
      <c r="R36" s="69" t="n">
        <f aca="false">R30+R35</f>
        <v>87078.1381120823</v>
      </c>
      <c r="S36" s="69" t="n">
        <f aca="false">S30+S35</f>
        <v>59008.4083236625</v>
      </c>
      <c r="T36" s="69" t="n">
        <f aca="false">T30+T35</f>
        <v>82465.5203408729</v>
      </c>
      <c r="U36" s="69" t="n">
        <f aca="false">U30+U35</f>
        <v>136096.174049328</v>
      </c>
      <c r="V36" s="69" t="n">
        <f aca="false">V30+V35</f>
        <v>173317.854014521</v>
      </c>
      <c r="W36" s="69" t="n">
        <f aca="false">W30+W35</f>
        <v>186708.55224589</v>
      </c>
      <c r="X36" s="69" t="n">
        <f aca="false">X30+X35</f>
        <v>176623.052340092</v>
      </c>
      <c r="Y36" s="69" t="n">
        <f aca="false">Y30+Y35</f>
        <v>152239.94464068</v>
      </c>
      <c r="Z36" s="69" t="n">
        <f aca="false">Z30+Z35</f>
        <v>133510.030591744</v>
      </c>
      <c r="AA36" s="69" t="n">
        <f aca="false">AA30+AA35</f>
        <v>120183.901462638</v>
      </c>
      <c r="AB36" s="69" t="n">
        <f aca="false">AB30+AB35</f>
        <v>101511.128391913</v>
      </c>
    </row>
    <row r="37" customFormat="false" ht="15" hidden="false" customHeight="false" outlineLevel="0" collapsed="false">
      <c r="A37" s="27" t="s">
        <v>354</v>
      </c>
      <c r="B37" s="56"/>
      <c r="C37" s="59" t="n">
        <f aca="false">IF(C13=0,0,C36/C13)</f>
        <v>0.16422806899674</v>
      </c>
      <c r="D37" s="59" t="n">
        <f aca="false">IF(D13=0,0,D36/D13)</f>
        <v>0.159171508326782</v>
      </c>
      <c r="E37" s="60" t="n">
        <f aca="false">IF(E13=0,0,E36/E13)</f>
        <v>0.157161434606832</v>
      </c>
      <c r="F37" s="60" t="n">
        <f aca="false">IF(F13=0,0,F36/F13)</f>
        <v>0.155888778340873</v>
      </c>
      <c r="G37" s="60" t="n">
        <f aca="false">IF(G13=0,0,G36/G13)</f>
        <v>0.128863126811452</v>
      </c>
      <c r="H37" s="60" t="n">
        <f aca="false">IF(H13=0,0,H36/H13)</f>
        <v>0.134400967318813</v>
      </c>
      <c r="I37" s="60" t="n">
        <f aca="false">IF(I13=0,0,I36/I13)</f>
        <v>0.0714920269920039</v>
      </c>
      <c r="J37" s="60" t="n">
        <f aca="false">IF(J13=0,0,J36/J13)</f>
        <v>0.10956952558221</v>
      </c>
      <c r="K37" s="60" t="n">
        <f aca="false">IF(K13=0,0,K36/K13)</f>
        <v>0.172387440179788</v>
      </c>
      <c r="L37" s="60" t="n">
        <f aca="false">IF(L13=0,0,L36/L13)</f>
        <v>0.191963976944152</v>
      </c>
      <c r="M37" s="60" t="n">
        <f aca="false">IF(M13=0,0,M36/M13)</f>
        <v>0.172911035106288</v>
      </c>
      <c r="N37" s="60" t="n">
        <f aca="false">IF(N13=0,0,N36/N13)</f>
        <v>0.18307952958504</v>
      </c>
      <c r="O37" s="60" t="n">
        <f aca="false">IF(O13=0,0,O36/O13)</f>
        <v>0.194984006167892</v>
      </c>
      <c r="P37" s="60" t="n">
        <f aca="false">IF(P13=0,0,P36/P13)</f>
        <v>0.19241774012003</v>
      </c>
      <c r="Q37" s="60" t="n">
        <f aca="false">IF(Q13=0,0,Q36/Q13)</f>
        <v>0.165071659606205</v>
      </c>
      <c r="R37" s="60" t="n">
        <f aca="false">IF(R13=0,0,R36/R13)</f>
        <v>0.12922247518623</v>
      </c>
      <c r="S37" s="60" t="n">
        <f aca="false">IF(S13=0,0,S36/S13)</f>
        <v>0.101445527224475</v>
      </c>
      <c r="T37" s="60" t="n">
        <f aca="false">IF(T13=0,0,T36/T13)</f>
        <v>0.12195353783652</v>
      </c>
      <c r="U37" s="60" t="n">
        <f aca="false">IF(U13=0,0,U36/U13)</f>
        <v>0.159865717825907</v>
      </c>
      <c r="V37" s="60" t="n">
        <f aca="false">IF(V13=0,0,V36/V13)</f>
        <v>0.178725444633127</v>
      </c>
      <c r="W37" s="60" t="n">
        <f aca="false">IF(W13=0,0,W36/W13)</f>
        <v>0.18477877589826</v>
      </c>
      <c r="X37" s="60" t="n">
        <f aca="false">IF(X13=0,0,X36/X13)</f>
        <v>0.18156792914881</v>
      </c>
      <c r="Y37" s="60" t="n">
        <f aca="false">IF(Y13=0,0,Y36/Y13)</f>
        <v>0.173340938174484</v>
      </c>
      <c r="Z37" s="60" t="n">
        <f aca="false">IF(Z13=0,0,Z36/Z13)</f>
        <v>0.166087259301775</v>
      </c>
      <c r="AA37" s="60" t="n">
        <f aca="false">IF(AA13=0,0,AA36/AA13)</f>
        <v>0.158946770905492</v>
      </c>
      <c r="AB37" s="60" t="n">
        <f aca="false">IF(AB13=0,0,AB36/AB13)</f>
        <v>0.14364182304467</v>
      </c>
    </row>
    <row r="38" customFormat="false" ht="15" hidden="false" customHeight="false" outlineLevel="0" collapsed="false">
      <c r="A38" s="21" t="s">
        <v>355</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row>
    <row r="39" customFormat="false" ht="15" hidden="false" customHeight="false" outlineLevel="0" collapsed="false">
      <c r="A39" s="27" t="s">
        <v>356</v>
      </c>
      <c r="B39" s="56" t="s">
        <v>71</v>
      </c>
      <c r="C39" s="57" t="n">
        <f aca="false">SUM(E39:P39)</f>
        <v>-603137.55</v>
      </c>
      <c r="D39" s="57" t="n">
        <f aca="false">SUM(Q39:AB39)</f>
        <v>-782117.208</v>
      </c>
      <c r="E39" s="58" t="n">
        <f aca="false">-Overheads!E24</f>
        <v>-50724.525</v>
      </c>
      <c r="F39" s="58" t="n">
        <f aca="false">-Overheads!F24</f>
        <v>-50337.4125</v>
      </c>
      <c r="G39" s="58" t="n">
        <f aca="false">-Overheads!G24</f>
        <v>-45997.8</v>
      </c>
      <c r="H39" s="58" t="n">
        <f aca="false">-Overheads!H24</f>
        <v>-45626.9625</v>
      </c>
      <c r="I39" s="58" t="n">
        <f aca="false">-Overheads!I24</f>
        <v>-45389.8125</v>
      </c>
      <c r="J39" s="58" t="n">
        <f aca="false">-Overheads!J24</f>
        <v>-50964</v>
      </c>
      <c r="K39" s="58" t="n">
        <f aca="false">-Overheads!K24</f>
        <v>-50303.7</v>
      </c>
      <c r="L39" s="58" t="n">
        <f aca="false">-Overheads!L24</f>
        <v>-50614.0875</v>
      </c>
      <c r="M39" s="58" t="n">
        <f aca="false">-Overheads!M24</f>
        <v>-50801.25</v>
      </c>
      <c r="N39" s="58" t="n">
        <f aca="false">-Overheads!N24</f>
        <v>-50866.8</v>
      </c>
      <c r="O39" s="58" t="n">
        <f aca="false">-Overheads!O24</f>
        <v>-55755.6</v>
      </c>
      <c r="P39" s="58" t="n">
        <f aca="false">-Overheads!P24</f>
        <v>-55755.6</v>
      </c>
      <c r="Q39" s="58" t="n">
        <f aca="false">-Overheads!Q24</f>
        <v>-65176.434</v>
      </c>
      <c r="R39" s="58" t="n">
        <f aca="false">-Overheads!R24</f>
        <v>-65176.434</v>
      </c>
      <c r="S39" s="58" t="n">
        <f aca="false">-Overheads!S24</f>
        <v>-65176.434</v>
      </c>
      <c r="T39" s="58" t="n">
        <f aca="false">-Overheads!T24</f>
        <v>-65176.434</v>
      </c>
      <c r="U39" s="58" t="n">
        <f aca="false">-Overheads!U24</f>
        <v>-65176.434</v>
      </c>
      <c r="V39" s="58" t="n">
        <f aca="false">-Overheads!V24</f>
        <v>-65176.434</v>
      </c>
      <c r="W39" s="58" t="n">
        <f aca="false">-Overheads!W24</f>
        <v>-65176.434</v>
      </c>
      <c r="X39" s="58" t="n">
        <f aca="false">-Overheads!X24</f>
        <v>-65176.434</v>
      </c>
      <c r="Y39" s="58" t="n">
        <f aca="false">-Overheads!Y24</f>
        <v>-65176.434</v>
      </c>
      <c r="Z39" s="58" t="n">
        <f aca="false">-Overheads!Z24</f>
        <v>-65176.434</v>
      </c>
      <c r="AA39" s="58" t="n">
        <f aca="false">-Overheads!AA24</f>
        <v>-65176.434</v>
      </c>
      <c r="AB39" s="58" t="n">
        <f aca="false">-Overheads!AB24</f>
        <v>-65176.434</v>
      </c>
    </row>
    <row r="40" customFormat="false" ht="15" hidden="false" customHeight="false" outlineLevel="0" collapsed="false">
      <c r="A40" s="27" t="s">
        <v>357</v>
      </c>
      <c r="B40" s="56" t="s">
        <v>71</v>
      </c>
      <c r="C40" s="57" t="n">
        <f aca="false">SUM(E40:P40)</f>
        <v>-86912</v>
      </c>
      <c r="D40" s="57" t="n">
        <f aca="false">SUM(Q40:AB40)</f>
        <v>-91908</v>
      </c>
      <c r="E40" s="58" t="n">
        <f aca="false">-Overheads!E36</f>
        <v>-6023</v>
      </c>
      <c r="F40" s="58" t="n">
        <f aca="false">-Overheads!F36</f>
        <v>-5858</v>
      </c>
      <c r="G40" s="58" t="n">
        <f aca="false">-Overheads!G36</f>
        <v>-8709</v>
      </c>
      <c r="H40" s="58" t="n">
        <f aca="false">-Overheads!H36</f>
        <v>-7347</v>
      </c>
      <c r="I40" s="58" t="n">
        <f aca="false">-Overheads!I36</f>
        <v>-7358</v>
      </c>
      <c r="J40" s="58" t="n">
        <f aca="false">-Overheads!J36</f>
        <v>-7044</v>
      </c>
      <c r="K40" s="58" t="n">
        <f aca="false">-Overheads!K36</f>
        <v>-8501</v>
      </c>
      <c r="L40" s="58" t="n">
        <f aca="false">-Overheads!L36</f>
        <v>-6472</v>
      </c>
      <c r="M40" s="58" t="n">
        <f aca="false">-Overheads!M36</f>
        <v>-7400</v>
      </c>
      <c r="N40" s="58" t="n">
        <f aca="false">-Overheads!N36</f>
        <v>-7400</v>
      </c>
      <c r="O40" s="58" t="n">
        <f aca="false">-Overheads!O36</f>
        <v>-7400</v>
      </c>
      <c r="P40" s="58" t="n">
        <f aca="false">-Overheads!P36</f>
        <v>-7400</v>
      </c>
      <c r="Q40" s="58" t="n">
        <f aca="false">-Overheads!Q36</f>
        <v>-7659</v>
      </c>
      <c r="R40" s="58" t="n">
        <f aca="false">-Overheads!R36</f>
        <v>-7659</v>
      </c>
      <c r="S40" s="58" t="n">
        <f aca="false">-Overheads!S36</f>
        <v>-7659</v>
      </c>
      <c r="T40" s="58" t="n">
        <f aca="false">-Overheads!T36</f>
        <v>-7659</v>
      </c>
      <c r="U40" s="58" t="n">
        <f aca="false">-Overheads!U36</f>
        <v>-7659</v>
      </c>
      <c r="V40" s="58" t="n">
        <f aca="false">-Overheads!V36</f>
        <v>-7659</v>
      </c>
      <c r="W40" s="58" t="n">
        <f aca="false">-Overheads!W36</f>
        <v>-7659</v>
      </c>
      <c r="X40" s="58" t="n">
        <f aca="false">-Overheads!X36</f>
        <v>-7659</v>
      </c>
      <c r="Y40" s="58" t="n">
        <f aca="false">-Overheads!Y36</f>
        <v>-7659</v>
      </c>
      <c r="Z40" s="58" t="n">
        <f aca="false">-Overheads!Z36</f>
        <v>-7659</v>
      </c>
      <c r="AA40" s="58" t="n">
        <f aca="false">-Overheads!AA36</f>
        <v>-7659</v>
      </c>
      <c r="AB40" s="58" t="n">
        <f aca="false">-Overheads!AB36</f>
        <v>-7659</v>
      </c>
    </row>
    <row r="41" customFormat="false" ht="15" hidden="false" customHeight="false" outlineLevel="0" collapsed="false">
      <c r="A41" s="27" t="s">
        <v>358</v>
      </c>
      <c r="B41" s="56" t="s">
        <v>71</v>
      </c>
      <c r="C41" s="57" t="n">
        <f aca="false">SUM(E41:P41)</f>
        <v>-113931</v>
      </c>
      <c r="D41" s="57" t="n">
        <f aca="false">SUM(Q41:AB41)</f>
        <v>-120474</v>
      </c>
      <c r="E41" s="58" t="n">
        <f aca="false">-Overheads!E37</f>
        <v>-10070</v>
      </c>
      <c r="F41" s="58" t="n">
        <f aca="false">-Overheads!F37</f>
        <v>-8856</v>
      </c>
      <c r="G41" s="58" t="n">
        <f aca="false">-Overheads!G37</f>
        <v>-8959</v>
      </c>
      <c r="H41" s="58" t="n">
        <f aca="false">-Overheads!H37</f>
        <v>-9674</v>
      </c>
      <c r="I41" s="58" t="n">
        <f aca="false">-Overheads!I37</f>
        <v>-9909</v>
      </c>
      <c r="J41" s="58" t="n">
        <f aca="false">-Overheads!J37</f>
        <v>-9772</v>
      </c>
      <c r="K41" s="58" t="n">
        <f aca="false">-Overheads!K37</f>
        <v>-9369</v>
      </c>
      <c r="L41" s="58" t="n">
        <f aca="false">-Overheads!L37</f>
        <v>-8522</v>
      </c>
      <c r="M41" s="58" t="n">
        <f aca="false">-Overheads!M37</f>
        <v>-9700</v>
      </c>
      <c r="N41" s="58" t="n">
        <f aca="false">-Overheads!N37</f>
        <v>-9700</v>
      </c>
      <c r="O41" s="58" t="n">
        <f aca="false">-Overheads!O37</f>
        <v>-9700</v>
      </c>
      <c r="P41" s="58" t="n">
        <f aca="false">-Overheads!P37</f>
        <v>-9700</v>
      </c>
      <c r="Q41" s="58" t="n">
        <f aca="false">-Overheads!Q37</f>
        <v>-10039.5</v>
      </c>
      <c r="R41" s="58" t="n">
        <f aca="false">-Overheads!R37</f>
        <v>-10039.5</v>
      </c>
      <c r="S41" s="58" t="n">
        <f aca="false">-Overheads!S37</f>
        <v>-10039.5</v>
      </c>
      <c r="T41" s="58" t="n">
        <f aca="false">-Overheads!T37</f>
        <v>-10039.5</v>
      </c>
      <c r="U41" s="58" t="n">
        <f aca="false">-Overheads!U37</f>
        <v>-10039.5</v>
      </c>
      <c r="V41" s="58" t="n">
        <f aca="false">-Overheads!V37</f>
        <v>-10039.5</v>
      </c>
      <c r="W41" s="58" t="n">
        <f aca="false">-Overheads!W37</f>
        <v>-10039.5</v>
      </c>
      <c r="X41" s="58" t="n">
        <f aca="false">-Overheads!X37</f>
        <v>-10039.5</v>
      </c>
      <c r="Y41" s="58" t="n">
        <f aca="false">-Overheads!Y37</f>
        <v>-10039.5</v>
      </c>
      <c r="Z41" s="58" t="n">
        <f aca="false">-Overheads!Z37</f>
        <v>-10039.5</v>
      </c>
      <c r="AA41" s="58" t="n">
        <f aca="false">-Overheads!AA37</f>
        <v>-10039.5</v>
      </c>
      <c r="AB41" s="58" t="n">
        <f aca="false">-Overheads!AB37</f>
        <v>-10039.5</v>
      </c>
    </row>
    <row r="42" customFormat="false" ht="15" hidden="false" customHeight="false" outlineLevel="0" collapsed="false">
      <c r="A42" s="27" t="s">
        <v>359</v>
      </c>
      <c r="B42" s="56" t="s">
        <v>71</v>
      </c>
      <c r="C42" s="57" t="n">
        <f aca="false">SUM(E42:P42)</f>
        <v>-46834</v>
      </c>
      <c r="D42" s="57" t="n">
        <f aca="false">SUM(Q42:AB42)</f>
        <v>-48438</v>
      </c>
      <c r="E42" s="58" t="n">
        <f aca="false">-Overheads!E38</f>
        <v>-3706</v>
      </c>
      <c r="F42" s="58" t="n">
        <f aca="false">-Overheads!F38</f>
        <v>-4237</v>
      </c>
      <c r="G42" s="58" t="n">
        <f aca="false">-Overheads!G38</f>
        <v>-4035</v>
      </c>
      <c r="H42" s="58" t="n">
        <f aca="false">-Overheads!H38</f>
        <v>-4028</v>
      </c>
      <c r="I42" s="58" t="n">
        <f aca="false">-Overheads!I38</f>
        <v>-3676</v>
      </c>
      <c r="J42" s="58" t="n">
        <f aca="false">-Overheads!J38</f>
        <v>-4033</v>
      </c>
      <c r="K42" s="58" t="n">
        <f aca="false">-Overheads!K38</f>
        <v>-3989</v>
      </c>
      <c r="L42" s="58" t="n">
        <f aca="false">-Overheads!L38</f>
        <v>-3530</v>
      </c>
      <c r="M42" s="58" t="n">
        <f aca="false">-Overheads!M38</f>
        <v>-3900</v>
      </c>
      <c r="N42" s="58" t="n">
        <f aca="false">-Overheads!N38</f>
        <v>-3900</v>
      </c>
      <c r="O42" s="58" t="n">
        <f aca="false">-Overheads!O38</f>
        <v>-3900</v>
      </c>
      <c r="P42" s="58" t="n">
        <f aca="false">-Overheads!P38</f>
        <v>-3900</v>
      </c>
      <c r="Q42" s="58" t="n">
        <f aca="false">-Overheads!Q38</f>
        <v>-4036.5</v>
      </c>
      <c r="R42" s="58" t="n">
        <f aca="false">-Overheads!R38</f>
        <v>-4036.5</v>
      </c>
      <c r="S42" s="58" t="n">
        <f aca="false">-Overheads!S38</f>
        <v>-4036.5</v>
      </c>
      <c r="T42" s="58" t="n">
        <f aca="false">-Overheads!T38</f>
        <v>-4036.5</v>
      </c>
      <c r="U42" s="58" t="n">
        <f aca="false">-Overheads!U38</f>
        <v>-4036.5</v>
      </c>
      <c r="V42" s="58" t="n">
        <f aca="false">-Overheads!V38</f>
        <v>-4036.5</v>
      </c>
      <c r="W42" s="58" t="n">
        <f aca="false">-Overheads!W38</f>
        <v>-4036.5</v>
      </c>
      <c r="X42" s="58" t="n">
        <f aca="false">-Overheads!X38</f>
        <v>-4036.5</v>
      </c>
      <c r="Y42" s="58" t="n">
        <f aca="false">-Overheads!Y38</f>
        <v>-4036.5</v>
      </c>
      <c r="Z42" s="58" t="n">
        <f aca="false">-Overheads!Z38</f>
        <v>-4036.5</v>
      </c>
      <c r="AA42" s="58" t="n">
        <f aca="false">-Overheads!AA38</f>
        <v>-4036.5</v>
      </c>
      <c r="AB42" s="58" t="n">
        <f aca="false">-Overheads!AB38</f>
        <v>-4036.5</v>
      </c>
    </row>
    <row r="43" customFormat="false" ht="15" hidden="false" customHeight="false" outlineLevel="0" collapsed="false">
      <c r="A43" s="27" t="s">
        <v>360</v>
      </c>
      <c r="B43" s="56" t="s">
        <v>71</v>
      </c>
      <c r="C43" s="57" t="n">
        <f aca="false">SUM(E43:P43)</f>
        <v>-79676</v>
      </c>
      <c r="D43" s="57" t="n">
        <f aca="false">SUM(Q43:AB43)</f>
        <v>-84456</v>
      </c>
      <c r="E43" s="58" t="n">
        <f aca="false">-Overheads!E39</f>
        <v>-3684</v>
      </c>
      <c r="F43" s="58" t="n">
        <f aca="false">-Overheads!F39</f>
        <v>-5487</v>
      </c>
      <c r="G43" s="58" t="n">
        <f aca="false">-Overheads!G39</f>
        <v>-7730</v>
      </c>
      <c r="H43" s="58" t="n">
        <f aca="false">-Overheads!H39</f>
        <v>-8125</v>
      </c>
      <c r="I43" s="58" t="n">
        <f aca="false">-Overheads!I39</f>
        <v>-8707</v>
      </c>
      <c r="J43" s="58" t="n">
        <f aca="false">-Overheads!J39</f>
        <v>-6050</v>
      </c>
      <c r="K43" s="58" t="n">
        <f aca="false">-Overheads!K39</f>
        <v>-6484</v>
      </c>
      <c r="L43" s="58" t="n">
        <f aca="false">-Overheads!L39</f>
        <v>-6209</v>
      </c>
      <c r="M43" s="58" t="n">
        <f aca="false">-Overheads!M39</f>
        <v>-6800</v>
      </c>
      <c r="N43" s="58" t="n">
        <f aca="false">-Overheads!N39</f>
        <v>-6800</v>
      </c>
      <c r="O43" s="58" t="n">
        <f aca="false">-Overheads!O39</f>
        <v>-6800</v>
      </c>
      <c r="P43" s="58" t="n">
        <f aca="false">-Overheads!P39</f>
        <v>-6800</v>
      </c>
      <c r="Q43" s="58" t="n">
        <f aca="false">-Overheads!Q39</f>
        <v>-7038</v>
      </c>
      <c r="R43" s="58" t="n">
        <f aca="false">-Overheads!R39</f>
        <v>-7038</v>
      </c>
      <c r="S43" s="58" t="n">
        <f aca="false">-Overheads!S39</f>
        <v>-7038</v>
      </c>
      <c r="T43" s="58" t="n">
        <f aca="false">-Overheads!T39</f>
        <v>-7038</v>
      </c>
      <c r="U43" s="58" t="n">
        <f aca="false">-Overheads!U39</f>
        <v>-7038</v>
      </c>
      <c r="V43" s="58" t="n">
        <f aca="false">-Overheads!V39</f>
        <v>-7038</v>
      </c>
      <c r="W43" s="58" t="n">
        <f aca="false">-Overheads!W39</f>
        <v>-7038</v>
      </c>
      <c r="X43" s="58" t="n">
        <f aca="false">-Overheads!X39</f>
        <v>-7038</v>
      </c>
      <c r="Y43" s="58" t="n">
        <f aca="false">-Overheads!Y39</f>
        <v>-7038</v>
      </c>
      <c r="Z43" s="58" t="n">
        <f aca="false">-Overheads!Z39</f>
        <v>-7038</v>
      </c>
      <c r="AA43" s="58" t="n">
        <f aca="false">-Overheads!AA39</f>
        <v>-7038</v>
      </c>
      <c r="AB43" s="58" t="n">
        <f aca="false">-Overheads!AB39</f>
        <v>-7038</v>
      </c>
    </row>
    <row r="44" customFormat="false" ht="15" hidden="false" customHeight="false" outlineLevel="0" collapsed="false">
      <c r="A44" s="27" t="s">
        <v>361</v>
      </c>
      <c r="B44" s="56" t="s">
        <v>71</v>
      </c>
      <c r="C44" s="57" t="n">
        <f aca="false">SUM(E44:P44)</f>
        <v>-49640</v>
      </c>
      <c r="D44" s="57" t="n">
        <f aca="false">SUM(Q44:AB44)</f>
        <v>-52164</v>
      </c>
      <c r="E44" s="58" t="n">
        <f aca="false">-Overheads!E40</f>
        <v>-5000</v>
      </c>
      <c r="F44" s="58" t="n">
        <f aca="false">-Overheads!F40</f>
        <v>-4331</v>
      </c>
      <c r="G44" s="58" t="n">
        <f aca="false">-Overheads!G40</f>
        <v>-3264</v>
      </c>
      <c r="H44" s="58" t="n">
        <f aca="false">-Overheads!H40</f>
        <v>-4655</v>
      </c>
      <c r="I44" s="58" t="n">
        <f aca="false">-Overheads!I40</f>
        <v>-4063</v>
      </c>
      <c r="J44" s="58" t="n">
        <f aca="false">-Overheads!J40</f>
        <v>-3755</v>
      </c>
      <c r="K44" s="58" t="n">
        <f aca="false">-Overheads!K40</f>
        <v>-3675</v>
      </c>
      <c r="L44" s="58" t="n">
        <f aca="false">-Overheads!L40</f>
        <v>-4097</v>
      </c>
      <c r="M44" s="58" t="n">
        <f aca="false">-Overheads!M40</f>
        <v>-4200</v>
      </c>
      <c r="N44" s="58" t="n">
        <f aca="false">-Overheads!N40</f>
        <v>-4200</v>
      </c>
      <c r="O44" s="58" t="n">
        <f aca="false">-Overheads!O40</f>
        <v>-4200</v>
      </c>
      <c r="P44" s="58" t="n">
        <f aca="false">-Overheads!P40</f>
        <v>-4200</v>
      </c>
      <c r="Q44" s="58" t="n">
        <f aca="false">-Overheads!Q40</f>
        <v>-4347</v>
      </c>
      <c r="R44" s="58" t="n">
        <f aca="false">-Overheads!R40</f>
        <v>-4347</v>
      </c>
      <c r="S44" s="58" t="n">
        <f aca="false">-Overheads!S40</f>
        <v>-4347</v>
      </c>
      <c r="T44" s="58" t="n">
        <f aca="false">-Overheads!T40</f>
        <v>-4347</v>
      </c>
      <c r="U44" s="58" t="n">
        <f aca="false">-Overheads!U40</f>
        <v>-4347</v>
      </c>
      <c r="V44" s="58" t="n">
        <f aca="false">-Overheads!V40</f>
        <v>-4347</v>
      </c>
      <c r="W44" s="58" t="n">
        <f aca="false">-Overheads!W40</f>
        <v>-4347</v>
      </c>
      <c r="X44" s="58" t="n">
        <f aca="false">-Overheads!X40</f>
        <v>-4347</v>
      </c>
      <c r="Y44" s="58" t="n">
        <f aca="false">-Overheads!Y40</f>
        <v>-4347</v>
      </c>
      <c r="Z44" s="58" t="n">
        <f aca="false">-Overheads!Z40</f>
        <v>-4347</v>
      </c>
      <c r="AA44" s="58" t="n">
        <f aca="false">-Overheads!AA40</f>
        <v>-4347</v>
      </c>
      <c r="AB44" s="58" t="n">
        <f aca="false">-Overheads!AB40</f>
        <v>-4347</v>
      </c>
    </row>
    <row r="45" customFormat="false" ht="15" hidden="false" customHeight="false" outlineLevel="0" collapsed="false">
      <c r="A45" s="27" t="s">
        <v>362</v>
      </c>
      <c r="B45" s="56" t="s">
        <v>71</v>
      </c>
      <c r="C45" s="57" t="n">
        <f aca="false">SUM(E45:P45)</f>
        <v>-31928</v>
      </c>
      <c r="D45" s="57" t="n">
        <f aca="false">SUM(Q45:AB45)</f>
        <v>-34776</v>
      </c>
      <c r="E45" s="58" t="n">
        <f aca="false">-Overheads!E41</f>
        <v>-3015</v>
      </c>
      <c r="F45" s="58" t="n">
        <f aca="false">-Overheads!F41</f>
        <v>-2508</v>
      </c>
      <c r="G45" s="58" t="n">
        <f aca="false">-Overheads!G41</f>
        <v>-2777</v>
      </c>
      <c r="H45" s="58" t="n">
        <f aca="false">-Overheads!H41</f>
        <v>-2372</v>
      </c>
      <c r="I45" s="58" t="n">
        <f aca="false">-Overheads!I41</f>
        <v>-3007</v>
      </c>
      <c r="J45" s="58" t="n">
        <f aca="false">-Overheads!J41</f>
        <v>-2630</v>
      </c>
      <c r="K45" s="58" t="n">
        <f aca="false">-Overheads!K41</f>
        <v>-1867</v>
      </c>
      <c r="L45" s="58" t="n">
        <f aca="false">-Overheads!L41</f>
        <v>-2552</v>
      </c>
      <c r="M45" s="58" t="n">
        <f aca="false">-Overheads!M41</f>
        <v>-2800</v>
      </c>
      <c r="N45" s="58" t="n">
        <f aca="false">-Overheads!N41</f>
        <v>-2800</v>
      </c>
      <c r="O45" s="58" t="n">
        <f aca="false">-Overheads!O41</f>
        <v>-2800</v>
      </c>
      <c r="P45" s="58" t="n">
        <f aca="false">-Overheads!P41</f>
        <v>-2800</v>
      </c>
      <c r="Q45" s="58" t="n">
        <f aca="false">-Overheads!Q41</f>
        <v>-2898</v>
      </c>
      <c r="R45" s="58" t="n">
        <f aca="false">-Overheads!R41</f>
        <v>-2898</v>
      </c>
      <c r="S45" s="58" t="n">
        <f aca="false">-Overheads!S41</f>
        <v>-2898</v>
      </c>
      <c r="T45" s="58" t="n">
        <f aca="false">-Overheads!T41</f>
        <v>-2898</v>
      </c>
      <c r="U45" s="58" t="n">
        <f aca="false">-Overheads!U41</f>
        <v>-2898</v>
      </c>
      <c r="V45" s="58" t="n">
        <f aca="false">-Overheads!V41</f>
        <v>-2898</v>
      </c>
      <c r="W45" s="58" t="n">
        <f aca="false">-Overheads!W41</f>
        <v>-2898</v>
      </c>
      <c r="X45" s="58" t="n">
        <f aca="false">-Overheads!X41</f>
        <v>-2898</v>
      </c>
      <c r="Y45" s="58" t="n">
        <f aca="false">-Overheads!Y41</f>
        <v>-2898</v>
      </c>
      <c r="Z45" s="58" t="n">
        <f aca="false">-Overheads!Z41</f>
        <v>-2898</v>
      </c>
      <c r="AA45" s="58" t="n">
        <f aca="false">-Overheads!AA41</f>
        <v>-2898</v>
      </c>
      <c r="AB45" s="58" t="n">
        <f aca="false">-Overheads!AB41</f>
        <v>-2898</v>
      </c>
    </row>
    <row r="46" customFormat="false" ht="15" hidden="false" customHeight="false" outlineLevel="0" collapsed="false">
      <c r="A46" s="27" t="s">
        <v>363</v>
      </c>
      <c r="B46" s="56" t="s">
        <v>71</v>
      </c>
      <c r="C46" s="57" t="n">
        <f aca="false">SUM(E46:P46)</f>
        <v>-26868</v>
      </c>
      <c r="D46" s="57" t="n">
        <f aca="false">SUM(Q46:AB46)</f>
        <v>-27945</v>
      </c>
      <c r="E46" s="58" t="n">
        <f aca="false">-Overheads!E42</f>
        <v>-2372</v>
      </c>
      <c r="F46" s="58" t="n">
        <f aca="false">-Overheads!F42</f>
        <v>-2245</v>
      </c>
      <c r="G46" s="58" t="n">
        <f aca="false">-Overheads!G42</f>
        <v>-1938</v>
      </c>
      <c r="H46" s="58" t="n">
        <f aca="false">-Overheads!H42</f>
        <v>-2556</v>
      </c>
      <c r="I46" s="58" t="n">
        <f aca="false">-Overheads!I42</f>
        <v>-2479</v>
      </c>
      <c r="J46" s="58" t="n">
        <f aca="false">-Overheads!J42</f>
        <v>-2112</v>
      </c>
      <c r="K46" s="58" t="n">
        <f aca="false">-Overheads!K42</f>
        <v>-2318</v>
      </c>
      <c r="L46" s="58" t="n">
        <f aca="false">-Overheads!L42</f>
        <v>-1848</v>
      </c>
      <c r="M46" s="58" t="n">
        <f aca="false">-Overheads!M42</f>
        <v>-2250</v>
      </c>
      <c r="N46" s="58" t="n">
        <f aca="false">-Overheads!N42</f>
        <v>-2250</v>
      </c>
      <c r="O46" s="58" t="n">
        <f aca="false">-Overheads!O42</f>
        <v>-2250</v>
      </c>
      <c r="P46" s="58" t="n">
        <f aca="false">-Overheads!P42</f>
        <v>-2250</v>
      </c>
      <c r="Q46" s="58" t="n">
        <f aca="false">-Overheads!Q42</f>
        <v>-2328.75</v>
      </c>
      <c r="R46" s="58" t="n">
        <f aca="false">-Overheads!R42</f>
        <v>-2328.75</v>
      </c>
      <c r="S46" s="58" t="n">
        <f aca="false">-Overheads!S42</f>
        <v>-2328.75</v>
      </c>
      <c r="T46" s="58" t="n">
        <f aca="false">-Overheads!T42</f>
        <v>-2328.75</v>
      </c>
      <c r="U46" s="58" t="n">
        <f aca="false">-Overheads!U42</f>
        <v>-2328.75</v>
      </c>
      <c r="V46" s="58" t="n">
        <f aca="false">-Overheads!V42</f>
        <v>-2328.75</v>
      </c>
      <c r="W46" s="58" t="n">
        <f aca="false">-Overheads!W42</f>
        <v>-2328.75</v>
      </c>
      <c r="X46" s="58" t="n">
        <f aca="false">-Overheads!X42</f>
        <v>-2328.75</v>
      </c>
      <c r="Y46" s="58" t="n">
        <f aca="false">-Overheads!Y42</f>
        <v>-2328.75</v>
      </c>
      <c r="Z46" s="58" t="n">
        <f aca="false">-Overheads!Z42</f>
        <v>-2328.75</v>
      </c>
      <c r="AA46" s="58" t="n">
        <f aca="false">-Overheads!AA42</f>
        <v>-2328.75</v>
      </c>
      <c r="AB46" s="58" t="n">
        <f aca="false">-Overheads!AB42</f>
        <v>-2328.75</v>
      </c>
    </row>
    <row r="47" customFormat="false" ht="15" hidden="false" customHeight="false" outlineLevel="0" collapsed="false">
      <c r="A47" s="27" t="s">
        <v>364</v>
      </c>
      <c r="B47" s="56" t="s">
        <v>71</v>
      </c>
      <c r="C47" s="57" t="n">
        <f aca="false">SUM(E47:P47)</f>
        <v>-20345</v>
      </c>
      <c r="D47" s="57" t="n">
        <f aca="false">SUM(Q47:AB47)</f>
        <v>-21735</v>
      </c>
      <c r="E47" s="58" t="n">
        <f aca="false">-Overheads!E43</f>
        <v>-1687</v>
      </c>
      <c r="F47" s="58" t="n">
        <f aca="false">-Overheads!F43</f>
        <v>-1848</v>
      </c>
      <c r="G47" s="58" t="n">
        <f aca="false">-Overheads!G43</f>
        <v>-1800</v>
      </c>
      <c r="H47" s="58" t="n">
        <f aca="false">-Overheads!H43</f>
        <v>-1716</v>
      </c>
      <c r="I47" s="58" t="n">
        <f aca="false">-Overheads!I43</f>
        <v>-1422</v>
      </c>
      <c r="J47" s="58" t="n">
        <f aca="false">-Overheads!J43</f>
        <v>-1619</v>
      </c>
      <c r="K47" s="58" t="n">
        <f aca="false">-Overheads!K43</f>
        <v>-1791</v>
      </c>
      <c r="L47" s="58" t="n">
        <f aca="false">-Overheads!L43</f>
        <v>-1462</v>
      </c>
      <c r="M47" s="58" t="n">
        <f aca="false">-Overheads!M43</f>
        <v>-1750</v>
      </c>
      <c r="N47" s="58" t="n">
        <f aca="false">-Overheads!N43</f>
        <v>-1750</v>
      </c>
      <c r="O47" s="58" t="n">
        <f aca="false">-Overheads!O43</f>
        <v>-1750</v>
      </c>
      <c r="P47" s="58" t="n">
        <f aca="false">-Overheads!P43</f>
        <v>-1750</v>
      </c>
      <c r="Q47" s="58" t="n">
        <f aca="false">-Overheads!Q43</f>
        <v>-1811.25</v>
      </c>
      <c r="R47" s="58" t="n">
        <f aca="false">-Overheads!R43</f>
        <v>-1811.25</v>
      </c>
      <c r="S47" s="58" t="n">
        <f aca="false">-Overheads!S43</f>
        <v>-1811.25</v>
      </c>
      <c r="T47" s="58" t="n">
        <f aca="false">-Overheads!T43</f>
        <v>-1811.25</v>
      </c>
      <c r="U47" s="58" t="n">
        <f aca="false">-Overheads!U43</f>
        <v>-1811.25</v>
      </c>
      <c r="V47" s="58" t="n">
        <f aca="false">-Overheads!V43</f>
        <v>-1811.25</v>
      </c>
      <c r="W47" s="58" t="n">
        <f aca="false">-Overheads!W43</f>
        <v>-1811.25</v>
      </c>
      <c r="X47" s="58" t="n">
        <f aca="false">-Overheads!X43</f>
        <v>-1811.25</v>
      </c>
      <c r="Y47" s="58" t="n">
        <f aca="false">-Overheads!Y43</f>
        <v>-1811.25</v>
      </c>
      <c r="Z47" s="58" t="n">
        <f aca="false">-Overheads!Z43</f>
        <v>-1811.25</v>
      </c>
      <c r="AA47" s="58" t="n">
        <f aca="false">-Overheads!AA43</f>
        <v>-1811.25</v>
      </c>
      <c r="AB47" s="58" t="n">
        <f aca="false">-Overheads!AB43</f>
        <v>-1811.25</v>
      </c>
    </row>
    <row r="48" customFormat="false" ht="15" hidden="false" customHeight="false" outlineLevel="0" collapsed="false">
      <c r="A48" s="27" t="s">
        <v>365</v>
      </c>
      <c r="B48" s="56" t="s">
        <v>71</v>
      </c>
      <c r="C48" s="57" t="n">
        <f aca="false">SUM(E48:P48)</f>
        <v>-10283</v>
      </c>
      <c r="D48" s="57" t="n">
        <f aca="false">SUM(Q48:AB48)</f>
        <v>-10681.2</v>
      </c>
      <c r="E48" s="58" t="n">
        <f aca="false">-Overheads!E44</f>
        <v>-834</v>
      </c>
      <c r="F48" s="58" t="n">
        <f aca="false">-Overheads!F44</f>
        <v>-647</v>
      </c>
      <c r="G48" s="58" t="n">
        <f aca="false">-Overheads!G44</f>
        <v>-726</v>
      </c>
      <c r="H48" s="58" t="n">
        <f aca="false">-Overheads!H44</f>
        <v>-977</v>
      </c>
      <c r="I48" s="58" t="n">
        <f aca="false">-Overheads!I44</f>
        <v>-860</v>
      </c>
      <c r="J48" s="58" t="n">
        <f aca="false">-Overheads!J44</f>
        <v>-897</v>
      </c>
      <c r="K48" s="58" t="n">
        <f aca="false">-Overheads!K44</f>
        <v>-1040</v>
      </c>
      <c r="L48" s="58" t="n">
        <f aca="false">-Overheads!L44</f>
        <v>-862</v>
      </c>
      <c r="M48" s="58" t="n">
        <f aca="false">-Overheads!M44</f>
        <v>-860</v>
      </c>
      <c r="N48" s="58" t="n">
        <f aca="false">-Overheads!N44</f>
        <v>-860</v>
      </c>
      <c r="O48" s="58" t="n">
        <f aca="false">-Overheads!O44</f>
        <v>-860</v>
      </c>
      <c r="P48" s="58" t="n">
        <f aca="false">-Overheads!P44</f>
        <v>-860</v>
      </c>
      <c r="Q48" s="58" t="n">
        <f aca="false">-Overheads!Q44</f>
        <v>-890.1</v>
      </c>
      <c r="R48" s="58" t="n">
        <f aca="false">-Overheads!R44</f>
        <v>-890.1</v>
      </c>
      <c r="S48" s="58" t="n">
        <f aca="false">-Overheads!S44</f>
        <v>-890.1</v>
      </c>
      <c r="T48" s="58" t="n">
        <f aca="false">-Overheads!T44</f>
        <v>-890.1</v>
      </c>
      <c r="U48" s="58" t="n">
        <f aca="false">-Overheads!U44</f>
        <v>-890.1</v>
      </c>
      <c r="V48" s="58" t="n">
        <f aca="false">-Overheads!V44</f>
        <v>-890.1</v>
      </c>
      <c r="W48" s="58" t="n">
        <f aca="false">-Overheads!W44</f>
        <v>-890.1</v>
      </c>
      <c r="X48" s="58" t="n">
        <f aca="false">-Overheads!X44</f>
        <v>-890.1</v>
      </c>
      <c r="Y48" s="58" t="n">
        <f aca="false">-Overheads!Y44</f>
        <v>-890.1</v>
      </c>
      <c r="Z48" s="58" t="n">
        <f aca="false">-Overheads!Z44</f>
        <v>-890.1</v>
      </c>
      <c r="AA48" s="58" t="n">
        <f aca="false">-Overheads!AA44</f>
        <v>-890.1</v>
      </c>
      <c r="AB48" s="58" t="n">
        <f aca="false">-Overheads!AB44</f>
        <v>-890.1</v>
      </c>
    </row>
    <row r="49" customFormat="false" ht="15" hidden="false" customHeight="false" outlineLevel="0" collapsed="false">
      <c r="A49" s="27" t="s">
        <v>366</v>
      </c>
      <c r="B49" s="56" t="s">
        <v>71</v>
      </c>
      <c r="C49" s="57" t="n">
        <f aca="false">SUM(E49:P49)</f>
        <v>-7144</v>
      </c>
      <c r="D49" s="57" t="n">
        <f aca="false">SUM(Q49:AB49)</f>
        <v>-5858.6</v>
      </c>
      <c r="E49" s="58" t="n">
        <f aca="false">-Overheads!E46</f>
        <v>-274.666666666667</v>
      </c>
      <c r="F49" s="58" t="n">
        <f aca="false">-Overheads!F46</f>
        <v>-432</v>
      </c>
      <c r="G49" s="58" t="n">
        <f aca="false">-Overheads!G46</f>
        <v>-432</v>
      </c>
      <c r="H49" s="58" t="n">
        <f aca="false">-Overheads!H46</f>
        <v>-477.333333333333</v>
      </c>
      <c r="I49" s="58" t="n">
        <f aca="false">-Overheads!I46</f>
        <v>-458.666666666667</v>
      </c>
      <c r="J49" s="58" t="n">
        <f aca="false">-Overheads!J46</f>
        <v>-458.666666666667</v>
      </c>
      <c r="K49" s="58" t="n">
        <f aca="false">-Overheads!K46</f>
        <v>-510.666666666667</v>
      </c>
      <c r="L49" s="58" t="n">
        <f aca="false">-Overheads!L46</f>
        <v>-830.666666666667</v>
      </c>
      <c r="M49" s="58" t="n">
        <f aca="false">-Overheads!M46</f>
        <v>-830.666666666667</v>
      </c>
      <c r="N49" s="58" t="n">
        <f aca="false">-Overheads!N46</f>
        <v>-830.666666666667</v>
      </c>
      <c r="O49" s="58" t="n">
        <f aca="false">-Overheads!O46</f>
        <v>-882.666666666667</v>
      </c>
      <c r="P49" s="58" t="n">
        <f aca="false">-Overheads!P46</f>
        <v>-725.333333333333</v>
      </c>
      <c r="Q49" s="58" t="n">
        <f aca="false">-Overheads!Q46</f>
        <v>-759.666666666667</v>
      </c>
      <c r="R49" s="58" t="n">
        <f aca="false">-Overheads!R46</f>
        <v>-759.666666666667</v>
      </c>
      <c r="S49" s="58" t="n">
        <f aca="false">-Overheads!S46</f>
        <v>-510.333333333333</v>
      </c>
      <c r="T49" s="58" t="n">
        <f aca="false">-Overheads!T46</f>
        <v>-373</v>
      </c>
      <c r="U49" s="58" t="n">
        <f aca="false">-Overheads!U46</f>
        <v>-397</v>
      </c>
      <c r="V49" s="58" t="n">
        <f aca="false">-Overheads!V46</f>
        <v>-397</v>
      </c>
      <c r="W49" s="58" t="n">
        <f aca="false">-Overheads!W46</f>
        <v>-448.2</v>
      </c>
      <c r="X49" s="58" t="n">
        <f aca="false">-Overheads!X46</f>
        <v>-491.4</v>
      </c>
      <c r="Y49" s="58" t="n">
        <f aca="false">-Overheads!Y46</f>
        <v>-605</v>
      </c>
      <c r="Z49" s="58" t="n">
        <f aca="false">-Overheads!Z46</f>
        <v>-466.666666666667</v>
      </c>
      <c r="AA49" s="58" t="n">
        <f aca="false">-Overheads!AA46</f>
        <v>-442.666666666667</v>
      </c>
      <c r="AB49" s="58" t="n">
        <f aca="false">-Overheads!AB46</f>
        <v>-208</v>
      </c>
    </row>
    <row r="50" customFormat="false" ht="15" hidden="false" customHeight="false" outlineLevel="0" collapsed="false">
      <c r="A50" s="27" t="s">
        <v>367</v>
      </c>
      <c r="B50" s="56" t="s">
        <v>71</v>
      </c>
      <c r="C50" s="57" t="n">
        <f aca="false">SUM(E50:P50)</f>
        <v>-9500</v>
      </c>
      <c r="D50" s="57" t="n">
        <f aca="false">SUM(Q50:AB50)</f>
        <v>0</v>
      </c>
      <c r="E50" s="58" t="n">
        <f aca="false">-Overheads!E47</f>
        <v>-0</v>
      </c>
      <c r="F50" s="58" t="n">
        <f aca="false">-Overheads!F47</f>
        <v>-0</v>
      </c>
      <c r="G50" s="58" t="n">
        <f aca="false">-Overheads!G47</f>
        <v>-0</v>
      </c>
      <c r="H50" s="58" t="n">
        <f aca="false">-Overheads!H47</f>
        <v>-0</v>
      </c>
      <c r="I50" s="58" t="n">
        <f aca="false">-Overheads!I47</f>
        <v>-0</v>
      </c>
      <c r="J50" s="58" t="n">
        <f aca="false">-Overheads!J47</f>
        <v>-9500</v>
      </c>
      <c r="K50" s="58" t="n">
        <f aca="false">-Overheads!K47</f>
        <v>-0</v>
      </c>
      <c r="L50" s="58" t="n">
        <f aca="false">-Overheads!L47</f>
        <v>-0</v>
      </c>
      <c r="M50" s="58" t="n">
        <f aca="false">-Overheads!M47</f>
        <v>-0</v>
      </c>
      <c r="N50" s="58" t="n">
        <f aca="false">-Overheads!N47</f>
        <v>-0</v>
      </c>
      <c r="O50" s="58" t="n">
        <f aca="false">-Overheads!O47</f>
        <v>-0</v>
      </c>
      <c r="P50" s="58" t="n">
        <f aca="false">-Overheads!P47</f>
        <v>-0</v>
      </c>
      <c r="Q50" s="58" t="n">
        <f aca="false">-Overheads!Q47</f>
        <v>-0</v>
      </c>
      <c r="R50" s="58" t="n">
        <f aca="false">-Overheads!R47</f>
        <v>-0</v>
      </c>
      <c r="S50" s="58" t="n">
        <f aca="false">-Overheads!S47</f>
        <v>-0</v>
      </c>
      <c r="T50" s="58" t="n">
        <f aca="false">-Overheads!T47</f>
        <v>-0</v>
      </c>
      <c r="U50" s="58" t="n">
        <f aca="false">-Overheads!U47</f>
        <v>-0</v>
      </c>
      <c r="V50" s="58" t="n">
        <f aca="false">-Overheads!V47</f>
        <v>-0</v>
      </c>
      <c r="W50" s="58" t="n">
        <f aca="false">-Overheads!W47</f>
        <v>-0</v>
      </c>
      <c r="X50" s="58" t="n">
        <f aca="false">-Overheads!X47</f>
        <v>-0</v>
      </c>
      <c r="Y50" s="58" t="n">
        <f aca="false">-Overheads!Y47</f>
        <v>-0</v>
      </c>
      <c r="Z50" s="58" t="n">
        <f aca="false">-Overheads!Z47</f>
        <v>-0</v>
      </c>
      <c r="AA50" s="58" t="n">
        <f aca="false">-Overheads!AA47</f>
        <v>-0</v>
      </c>
      <c r="AB50" s="58" t="n">
        <f aca="false">-Overheads!AB47</f>
        <v>-0</v>
      </c>
    </row>
    <row r="51" customFormat="false" ht="15" hidden="false" customHeight="false" outlineLevel="0" collapsed="false">
      <c r="A51" s="67" t="s">
        <v>368</v>
      </c>
      <c r="B51" s="68"/>
      <c r="C51" s="69" t="n">
        <f aca="false">SUM(E51:P51)</f>
        <v>-1086198.55</v>
      </c>
      <c r="D51" s="69" t="n">
        <f aca="false">SUM(Q51:AB51)</f>
        <v>-1280553.008</v>
      </c>
      <c r="E51" s="69" t="n">
        <f aca="false">SUM(E39:E50)</f>
        <v>-87390.1916666667</v>
      </c>
      <c r="F51" s="69" t="n">
        <f aca="false">SUM(F39:F50)</f>
        <v>-86786.4125</v>
      </c>
      <c r="G51" s="69" t="n">
        <f aca="false">SUM(G39:G50)</f>
        <v>-86367.8</v>
      </c>
      <c r="H51" s="69" t="n">
        <f aca="false">SUM(H39:H50)</f>
        <v>-87554.2958333333</v>
      </c>
      <c r="I51" s="69" t="n">
        <f aca="false">SUM(I39:I50)</f>
        <v>-87329.4791666667</v>
      </c>
      <c r="J51" s="69" t="n">
        <f aca="false">SUM(J39:J50)</f>
        <v>-98834.6666666667</v>
      </c>
      <c r="K51" s="69" t="n">
        <f aca="false">SUM(K39:K50)</f>
        <v>-89848.3666666667</v>
      </c>
      <c r="L51" s="69" t="n">
        <f aca="false">SUM(L39:L50)</f>
        <v>-86998.7541666667</v>
      </c>
      <c r="M51" s="69" t="n">
        <f aca="false">SUM(M39:M50)</f>
        <v>-91291.9166666667</v>
      </c>
      <c r="N51" s="69" t="n">
        <f aca="false">SUM(N39:N50)</f>
        <v>-91357.4666666667</v>
      </c>
      <c r="O51" s="69" t="n">
        <f aca="false">SUM(O39:O50)</f>
        <v>-96298.2666666667</v>
      </c>
      <c r="P51" s="69" t="n">
        <f aca="false">SUM(P39:P50)</f>
        <v>-96140.9333333333</v>
      </c>
      <c r="Q51" s="69" t="n">
        <f aca="false">SUM(Q39:Q50)</f>
        <v>-106984.200666667</v>
      </c>
      <c r="R51" s="69" t="n">
        <f aca="false">SUM(R39:R50)</f>
        <v>-106984.200666667</v>
      </c>
      <c r="S51" s="69" t="n">
        <f aca="false">SUM(S39:S50)</f>
        <v>-106734.867333333</v>
      </c>
      <c r="T51" s="69" t="n">
        <f aca="false">SUM(T39:T50)</f>
        <v>-106597.534</v>
      </c>
      <c r="U51" s="69" t="n">
        <f aca="false">SUM(U39:U50)</f>
        <v>-106621.534</v>
      </c>
      <c r="V51" s="69" t="n">
        <f aca="false">SUM(V39:V50)</f>
        <v>-106621.534</v>
      </c>
      <c r="W51" s="69" t="n">
        <f aca="false">SUM(W39:W50)</f>
        <v>-106672.734</v>
      </c>
      <c r="X51" s="69" t="n">
        <f aca="false">SUM(X39:X50)</f>
        <v>-106715.934</v>
      </c>
      <c r="Y51" s="69" t="n">
        <f aca="false">SUM(Y39:Y50)</f>
        <v>-106829.534</v>
      </c>
      <c r="Z51" s="69" t="n">
        <f aca="false">SUM(Z39:Z50)</f>
        <v>-106691.200666667</v>
      </c>
      <c r="AA51" s="69" t="n">
        <f aca="false">SUM(AA39:AA50)</f>
        <v>-106667.200666667</v>
      </c>
      <c r="AB51" s="69" t="n">
        <f aca="false">SUM(AB39:AB50)</f>
        <v>-106432.534</v>
      </c>
    </row>
    <row r="52" customFormat="false" ht="15" hidden="false" customHeight="false" outlineLevel="0" collapsed="false">
      <c r="A52" s="27" t="s">
        <v>305</v>
      </c>
      <c r="B52" s="56"/>
      <c r="C52" s="59" t="n">
        <f aca="false">IF(C13=0,0,-C51/C13)</f>
        <v>0.11809799573253</v>
      </c>
      <c r="D52" s="59" t="n">
        <f aca="false">IF(D13=0,0,-D51/D13)</f>
        <v>0.131969169544528</v>
      </c>
      <c r="E52" s="60" t="n">
        <f aca="false">IF(E13=0,0,-E51/E13)</f>
        <v>0.131604955989717</v>
      </c>
      <c r="F52" s="60" t="n">
        <f aca="false">IF(F13=0,0,-F51/F13)</f>
        <v>0.153306093629468</v>
      </c>
      <c r="G52" s="60" t="n">
        <f aca="false">IF(G13=0,0,-G51/G13)</f>
        <v>0.175923653259641</v>
      </c>
      <c r="H52" s="60" t="n">
        <f aca="false">IF(H13=0,0,-H51/H13)</f>
        <v>0.193117680544666</v>
      </c>
      <c r="I52" s="60" t="n">
        <f aca="false">IF(I13=0,0,-I51/I13)</f>
        <v>0.183191448091968</v>
      </c>
      <c r="J52" s="60" t="n">
        <f aca="false">IF(J13=0,0,-J51/J13)</f>
        <v>0.152894760243495</v>
      </c>
      <c r="K52" s="60" t="n">
        <f aca="false">IF(K13=0,0,-K51/K13)</f>
        <v>0.102009652419226</v>
      </c>
      <c r="L52" s="60" t="n">
        <f aca="false">IF(L13=0,0,-L51/L13)</f>
        <v>0.0916701127746794</v>
      </c>
      <c r="M52" s="60" t="n">
        <f aca="false">IF(M13=0,0,-M51/M13)</f>
        <v>0.0849792176714455</v>
      </c>
      <c r="N52" s="60" t="n">
        <f aca="false">IF(N13=0,0,-N51/N13)</f>
        <v>0.0850177647125427</v>
      </c>
      <c r="O52" s="60" t="n">
        <f aca="false">IF(O13=0,0,-O51/O13)</f>
        <v>0.0955121075366911</v>
      </c>
      <c r="P52" s="60" t="n">
        <f aca="false">IF(P13=0,0,-P51/P13)</f>
        <v>0.105308582496166</v>
      </c>
      <c r="Q52" s="60" t="n">
        <f aca="false">IF(Q13=0,0,-Q51/Q13)</f>
        <v>0.130077023659397</v>
      </c>
      <c r="R52" s="60" t="n">
        <f aca="false">IF(R13=0,0,-R51/R13)</f>
        <v>0.158762733284128</v>
      </c>
      <c r="S52" s="60" t="n">
        <f aca="false">IF(S13=0,0,-S51/S13)</f>
        <v>0.183495457638406</v>
      </c>
      <c r="T52" s="60" t="n">
        <f aca="false">IF(T13=0,0,-T51/T13)</f>
        <v>0.157640991558814</v>
      </c>
      <c r="U52" s="60" t="n">
        <f aca="false">IF(U13=0,0,-U51/U13)</f>
        <v>0.125243256746008</v>
      </c>
      <c r="V52" s="60" t="n">
        <f aca="false">IF(V13=0,0,-V51/V13)</f>
        <v>0.109948171121595</v>
      </c>
      <c r="W52" s="60" t="n">
        <f aca="false">IF(W13=0,0,-W51/W13)</f>
        <v>0.105570189330599</v>
      </c>
      <c r="X52" s="60" t="n">
        <f aca="false">IF(X13=0,0,-X51/X13)</f>
        <v>0.109703636568639</v>
      </c>
      <c r="Y52" s="60" t="n">
        <f aca="false">IF(Y13=0,0,-Y51/Y13)</f>
        <v>0.121636484380031</v>
      </c>
      <c r="Z52" s="60" t="n">
        <f aca="false">IF(Z13=0,0,-Z51/Z13)</f>
        <v>0.132724477942245</v>
      </c>
      <c r="AA52" s="60" t="n">
        <f aca="false">IF(AA13=0,0,-AA51/AA13)</f>
        <v>0.141070533583614</v>
      </c>
      <c r="AB52" s="60" t="n">
        <f aca="false">IF(AB13=0,0,-AB51/AB13)</f>
        <v>0.150605785367683</v>
      </c>
    </row>
    <row r="53" customFormat="false" ht="15" hidden="false" customHeight="false" outlineLevel="0" collapsed="false">
      <c r="A53" s="67" t="s">
        <v>307</v>
      </c>
      <c r="B53" s="68"/>
      <c r="C53" s="69" t="n">
        <f aca="false">SUM(E53:P53)</f>
        <v>424278.315480134</v>
      </c>
      <c r="D53" s="69" t="n">
        <f aca="false">SUM(Q53:AB53)</f>
        <v>263955.868423479</v>
      </c>
      <c r="E53" s="69" t="n">
        <f aca="false">E36+E51</f>
        <v>16970.3758333332</v>
      </c>
      <c r="F53" s="69" t="n">
        <f aca="false">F36+F51</f>
        <v>1462.05500000008</v>
      </c>
      <c r="G53" s="69" t="n">
        <f aca="false">G36+G51</f>
        <v>-23103.8525</v>
      </c>
      <c r="H53" s="69" t="n">
        <f aca="false">H36+H51</f>
        <v>-26620.5583333332</v>
      </c>
      <c r="I53" s="69" t="n">
        <f aca="false">I36+I51</f>
        <v>-53248.4041666667</v>
      </c>
      <c r="J53" s="69" t="n">
        <f aca="false">J36+J51</f>
        <v>-28006.4216666666</v>
      </c>
      <c r="K53" s="69" t="n">
        <f aca="false">K36+K51</f>
        <v>61987.5583333333</v>
      </c>
      <c r="L53" s="69" t="n">
        <f aca="false">L36+L51</f>
        <v>95183.0533333334</v>
      </c>
      <c r="M53" s="69" t="n">
        <f aca="false">M36+M51</f>
        <v>94463.850922313</v>
      </c>
      <c r="N53" s="69" t="n">
        <f aca="false">N36+N51</f>
        <v>105374.146755143</v>
      </c>
      <c r="O53" s="69" t="n">
        <f aca="false">O36+O51</f>
        <v>100290.650759091</v>
      </c>
      <c r="P53" s="69" t="n">
        <f aca="false">P36+P51</f>
        <v>79525.8612102542</v>
      </c>
      <c r="Q53" s="69" t="n">
        <f aca="false">Q36+Q51</f>
        <v>28781.9712433877</v>
      </c>
      <c r="R53" s="69" t="n">
        <f aca="false">R36+R51</f>
        <v>-19906.0625545844</v>
      </c>
      <c r="S53" s="69" t="n">
        <f aca="false">S36+S51</f>
        <v>-47726.4590096708</v>
      </c>
      <c r="T53" s="69" t="n">
        <f aca="false">T36+T51</f>
        <v>-24132.0136591271</v>
      </c>
      <c r="U53" s="69" t="n">
        <f aca="false">U36+U51</f>
        <v>29474.6400493281</v>
      </c>
      <c r="V53" s="69" t="n">
        <f aca="false">V36+V51</f>
        <v>66696.3200145209</v>
      </c>
      <c r="W53" s="69" t="n">
        <f aca="false">W36+W51</f>
        <v>80035.8182458901</v>
      </c>
      <c r="X53" s="69" t="n">
        <f aca="false">X36+X51</f>
        <v>69907.1183400919</v>
      </c>
      <c r="Y53" s="69" t="n">
        <f aca="false">Y36+Y51</f>
        <v>45410.4106406802</v>
      </c>
      <c r="Z53" s="69" t="n">
        <f aca="false">Z36+Z51</f>
        <v>26818.8299250774</v>
      </c>
      <c r="AA53" s="69" t="n">
        <f aca="false">AA36+AA51</f>
        <v>13516.7007959712</v>
      </c>
      <c r="AB53" s="69" t="n">
        <f aca="false">AB36+AB51</f>
        <v>-4921.40560808656</v>
      </c>
    </row>
    <row r="54" customFormat="false" ht="15" hidden="false" customHeight="false" outlineLevel="0" collapsed="false">
      <c r="A54" s="27" t="s">
        <v>306</v>
      </c>
      <c r="B54" s="56"/>
      <c r="C54" s="59" t="n">
        <f aca="false">IF(C13=0,0,C53/C13)</f>
        <v>0.0461300732642095</v>
      </c>
      <c r="D54" s="59" t="n">
        <f aca="false">IF(D13=0,0,D53/D13)</f>
        <v>0.0272023387822546</v>
      </c>
      <c r="E54" s="60" t="n">
        <f aca="false">IF(E13=0,0,E53/E13)</f>
        <v>0.0255564786171152</v>
      </c>
      <c r="F54" s="60" t="n">
        <f aca="false">IF(F13=0,0,F53/F13)</f>
        <v>0.00258268471140508</v>
      </c>
      <c r="G54" s="60" t="n">
        <f aca="false">IF(G13=0,0,G53/G13)</f>
        <v>-0.0470605264481889</v>
      </c>
      <c r="H54" s="60" t="n">
        <f aca="false">IF(H13=0,0,H53/H13)</f>
        <v>-0.0587167132258525</v>
      </c>
      <c r="I54" s="60" t="n">
        <f aca="false">IF(I13=0,0,I53/I13)</f>
        <v>-0.111699421099964</v>
      </c>
      <c r="J54" s="60" t="n">
        <f aca="false">IF(J13=0,0,J53/J13)</f>
        <v>-0.043325234661285</v>
      </c>
      <c r="K54" s="60" t="n">
        <f aca="false">IF(K13=0,0,K53/K13)</f>
        <v>0.0703777877605621</v>
      </c>
      <c r="L54" s="60" t="n">
        <f aca="false">IF(L13=0,0,L53/L13)</f>
        <v>0.100293864169473</v>
      </c>
      <c r="M54" s="60" t="n">
        <f aca="false">IF(M13=0,0,M53/M13)</f>
        <v>0.0879318174348428</v>
      </c>
      <c r="N54" s="60" t="n">
        <f aca="false">IF(N13=0,0,N53/N13)</f>
        <v>0.0980617648724972</v>
      </c>
      <c r="O54" s="60" t="n">
        <f aca="false">IF(O13=0,0,O53/O13)</f>
        <v>0.0994718986312012</v>
      </c>
      <c r="P54" s="60" t="n">
        <f aca="false">IF(P13=0,0,P53/P13)</f>
        <v>0.0871091576238638</v>
      </c>
      <c r="Q54" s="60" t="n">
        <f aca="false">IF(Q13=0,0,Q53/Q13)</f>
        <v>0.0349946359468079</v>
      </c>
      <c r="R54" s="60" t="n">
        <f aca="false">IF(R13=0,0,R53/R13)</f>
        <v>-0.0295402580978981</v>
      </c>
      <c r="S54" s="60" t="n">
        <f aca="false">IF(S13=0,0,S53/S13)</f>
        <v>-0.0820499304139312</v>
      </c>
      <c r="T54" s="60" t="n">
        <f aca="false">IF(T13=0,0,T53/T13)</f>
        <v>-0.0356874537222939</v>
      </c>
      <c r="U54" s="60" t="n">
        <f aca="false">IF(U13=0,0,U53/U13)</f>
        <v>0.0346224610798992</v>
      </c>
      <c r="V54" s="60" t="n">
        <f aca="false">IF(V13=0,0,V53/V13)</f>
        <v>0.0687772735115326</v>
      </c>
      <c r="W54" s="60" t="n">
        <f aca="false">IF(W13=0,0,W53/W13)</f>
        <v>0.079208586567661</v>
      </c>
      <c r="X54" s="60" t="n">
        <f aca="false">IF(X13=0,0,X53/X13)</f>
        <v>0.0718642925801714</v>
      </c>
      <c r="Y54" s="60" t="n">
        <f aca="false">IF(Y13=0,0,Y53/Y13)</f>
        <v>0.0517044537944525</v>
      </c>
      <c r="Z54" s="60" t="n">
        <f aca="false">IF(Z13=0,0,Z53/Z13)</f>
        <v>0.03336278135953</v>
      </c>
      <c r="AA54" s="60" t="n">
        <f aca="false">IF(AA13=0,0,AA53/AA13)</f>
        <v>0.017876237321878</v>
      </c>
      <c r="AB54" s="60" t="n">
        <f aca="false">IF(AB13=0,0,AB53/AB13)</f>
        <v>-0.00696396232301294</v>
      </c>
    </row>
    <row r="55" customFormat="false" ht="15" hidden="false" customHeight="false" outlineLevel="0" collapsed="false">
      <c r="A55" s="21" t="s">
        <v>369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row>
    <row r="56" customFormat="false" ht="15" hidden="false" customHeight="false" outlineLevel="0" collapsed="false">
      <c r="A56" s="27" t="s">
        <v>370</v>
      </c>
      <c r="B56" s="56" t="s">
        <v>73</v>
      </c>
      <c r="C56" s="57" t="n">
        <f aca="false">SUM(E56:P56)</f>
        <v>-139009.722222222</v>
      </c>
      <c r="D56" s="57" t="n">
        <f aca="false">SUM(Q56:AB56)</f>
        <v>-153104.361111111</v>
      </c>
      <c r="E56" s="58" t="n">
        <f aca="false">-Fixed_Assets!E34</f>
        <v>-10856.9444444444</v>
      </c>
      <c r="F56" s="58" t="n">
        <f aca="false">-Fixed_Assets!F34</f>
        <v>-10856.9444444444</v>
      </c>
      <c r="G56" s="58" t="n">
        <f aca="false">-Fixed_Assets!G34</f>
        <v>-11023.6111111111</v>
      </c>
      <c r="H56" s="58" t="n">
        <f aca="false">-Fixed_Assets!H34</f>
        <v>-11684.0277777778</v>
      </c>
      <c r="I56" s="58" t="n">
        <f aca="false">-Fixed_Assets!I34</f>
        <v>-11684.0277777778</v>
      </c>
      <c r="J56" s="58" t="n">
        <f aca="false">-Fixed_Assets!J34</f>
        <v>-11748.6111111111</v>
      </c>
      <c r="K56" s="58" t="n">
        <f aca="false">-Fixed_Assets!K34</f>
        <v>-11773.6111111111</v>
      </c>
      <c r="L56" s="58" t="n">
        <f aca="false">-Fixed_Assets!L34</f>
        <v>-11826.3888888889</v>
      </c>
      <c r="M56" s="58" t="n">
        <f aca="false">-Fixed_Assets!M34</f>
        <v>-11851.3888888889</v>
      </c>
      <c r="N56" s="58" t="n">
        <f aca="false">-Fixed_Assets!N34</f>
        <v>-11876.3888888889</v>
      </c>
      <c r="O56" s="58" t="n">
        <f aca="false">-Fixed_Assets!O34</f>
        <v>-11901.3888888889</v>
      </c>
      <c r="P56" s="58" t="n">
        <f aca="false">-Fixed_Assets!P34</f>
        <v>-11926.3888888889</v>
      </c>
      <c r="Q56" s="58" t="n">
        <f aca="false">-Fixed_Assets!Q34</f>
        <v>-12285.5972222222</v>
      </c>
      <c r="R56" s="58" t="n">
        <f aca="false">-Fixed_Assets!R34</f>
        <v>-12311.4722222222</v>
      </c>
      <c r="S56" s="58" t="n">
        <f aca="false">-Fixed_Assets!S34</f>
        <v>-13637.3472222222</v>
      </c>
      <c r="T56" s="58" t="n">
        <f aca="false">-Fixed_Assets!T34</f>
        <v>-13663.2222222222</v>
      </c>
      <c r="U56" s="58" t="n">
        <f aca="false">-Fixed_Assets!U34</f>
        <v>-13689.0972222222</v>
      </c>
      <c r="V56" s="58" t="n">
        <f aca="false">-Fixed_Assets!V34</f>
        <v>-13714.9722222222</v>
      </c>
      <c r="W56" s="58" t="n">
        <f aca="false">-Fixed_Assets!W34</f>
        <v>-13740.8472222222</v>
      </c>
      <c r="X56" s="58" t="n">
        <f aca="false">-Fixed_Assets!X34</f>
        <v>-13766.7222222222</v>
      </c>
      <c r="Y56" s="58" t="n">
        <f aca="false">-Fixed_Assets!Y34</f>
        <v>-11603.7083333333</v>
      </c>
      <c r="Z56" s="58" t="n">
        <f aca="false">-Fixed_Assets!Z34</f>
        <v>-11537.9166666667</v>
      </c>
      <c r="AA56" s="58" t="n">
        <f aca="false">-Fixed_Assets!AA34</f>
        <v>-11563.7916666667</v>
      </c>
      <c r="AB56" s="58" t="n">
        <f aca="false">-Fixed_Assets!AB34</f>
        <v>-11589.6666666667</v>
      </c>
    </row>
    <row r="57" customFormat="false" ht="15" hidden="false" customHeight="false" outlineLevel="0" collapsed="false">
      <c r="A57" s="67" t="s">
        <v>371</v>
      </c>
      <c r="B57" s="68"/>
      <c r="C57" s="69" t="n">
        <f aca="false">SUM(E57:P57)</f>
        <v>285268.593257912</v>
      </c>
      <c r="D57" s="69" t="n">
        <f aca="false">SUM(Q57:AB57)</f>
        <v>110851.507312367</v>
      </c>
      <c r="E57" s="69" t="n">
        <f aca="false">E53+E56</f>
        <v>6113.43138888877</v>
      </c>
      <c r="F57" s="69" t="n">
        <f aca="false">F53+F56</f>
        <v>-9394.88944444436</v>
      </c>
      <c r="G57" s="69" t="n">
        <f aca="false">G53+G56</f>
        <v>-34127.4636111112</v>
      </c>
      <c r="H57" s="69" t="n">
        <f aca="false">H53+H56</f>
        <v>-38304.586111111</v>
      </c>
      <c r="I57" s="69" t="n">
        <f aca="false">I53+I56</f>
        <v>-64932.4319444444</v>
      </c>
      <c r="J57" s="69" t="n">
        <f aca="false">J53+J56</f>
        <v>-39755.0327777777</v>
      </c>
      <c r="K57" s="69" t="n">
        <f aca="false">K53+K56</f>
        <v>50213.9472222222</v>
      </c>
      <c r="L57" s="69" t="n">
        <f aca="false">L53+L56</f>
        <v>83356.6644444445</v>
      </c>
      <c r="M57" s="69" t="n">
        <f aca="false">M53+M56</f>
        <v>82612.4620334242</v>
      </c>
      <c r="N57" s="69" t="n">
        <f aca="false">N53+N56</f>
        <v>93497.7578662537</v>
      </c>
      <c r="O57" s="69" t="n">
        <f aca="false">O53+O56</f>
        <v>88389.2618702023</v>
      </c>
      <c r="P57" s="69" t="n">
        <f aca="false">P53+P56</f>
        <v>67599.4723213654</v>
      </c>
      <c r="Q57" s="69" t="n">
        <f aca="false">Q53+Q56</f>
        <v>16496.3740211655</v>
      </c>
      <c r="R57" s="69" t="n">
        <f aca="false">R53+R56</f>
        <v>-32217.5347768066</v>
      </c>
      <c r="S57" s="69" t="n">
        <f aca="false">S53+S56</f>
        <v>-61363.806231893</v>
      </c>
      <c r="T57" s="69" t="n">
        <f aca="false">T53+T56</f>
        <v>-37795.2358813493</v>
      </c>
      <c r="U57" s="69" t="n">
        <f aca="false">U53+U56</f>
        <v>15785.5428271058</v>
      </c>
      <c r="V57" s="69" t="n">
        <f aca="false">V53+V56</f>
        <v>52981.3477922986</v>
      </c>
      <c r="W57" s="69" t="n">
        <f aca="false">W53+W56</f>
        <v>66294.9710236679</v>
      </c>
      <c r="X57" s="69" t="n">
        <f aca="false">X53+X56</f>
        <v>56140.3961178697</v>
      </c>
      <c r="Y57" s="69" t="n">
        <f aca="false">Y53+Y56</f>
        <v>33806.7023073469</v>
      </c>
      <c r="Z57" s="69" t="n">
        <f aca="false">Z53+Z56</f>
        <v>15280.9132584107</v>
      </c>
      <c r="AA57" s="69" t="n">
        <f aca="false">AA53+AA56</f>
        <v>1952.9091293045</v>
      </c>
      <c r="AB57" s="69" t="n">
        <f aca="false">AB53+AB56</f>
        <v>-16511.0722747532</v>
      </c>
    </row>
    <row r="58" customFormat="false" ht="15" hidden="false" customHeight="false" outlineLevel="0" collapsed="false">
      <c r="A58" s="27" t="s">
        <v>372</v>
      </c>
      <c r="B58" s="56" t="s">
        <v>75</v>
      </c>
      <c r="C58" s="57" t="n">
        <f aca="false">SUM(E58:P58)</f>
        <v>-9657.628125</v>
      </c>
      <c r="D58" s="57" t="n">
        <f aca="false">SUM(Q58:AB58)</f>
        <v>-9999.2859375</v>
      </c>
      <c r="E58" s="58" t="n">
        <f aca="false">-Debt!E19</f>
        <v>-805</v>
      </c>
      <c r="F58" s="58" t="n">
        <f aca="false">-Debt!F19</f>
        <v>-782.575</v>
      </c>
      <c r="G58" s="58" t="n">
        <f aca="false">-Debt!G19</f>
        <v>-760.15</v>
      </c>
      <c r="H58" s="58" t="n">
        <f aca="false">-Debt!H19</f>
        <v>-737.725</v>
      </c>
      <c r="I58" s="58" t="n">
        <f aca="false">-Debt!I19</f>
        <v>-914.5375</v>
      </c>
      <c r="J58" s="58" t="n">
        <f aca="false">-Debt!J19</f>
        <v>-887.96171875</v>
      </c>
      <c r="K58" s="58" t="n">
        <f aca="false">-Debt!K19</f>
        <v>-861.3859375</v>
      </c>
      <c r="L58" s="58" t="n">
        <f aca="false">-Debt!L19</f>
        <v>-834.81015625</v>
      </c>
      <c r="M58" s="58" t="n">
        <f aca="false">-Debt!M19</f>
        <v>-808.234375</v>
      </c>
      <c r="N58" s="58" t="n">
        <f aca="false">-Debt!N19</f>
        <v>-781.65859375</v>
      </c>
      <c r="O58" s="58" t="n">
        <f aca="false">-Debt!O19</f>
        <v>-755.0828125</v>
      </c>
      <c r="P58" s="58" t="n">
        <f aca="false">-Debt!P19</f>
        <v>-728.50703125</v>
      </c>
      <c r="Q58" s="58" t="n">
        <f aca="false">-Debt!Q19</f>
        <v>-701.93125</v>
      </c>
      <c r="R58" s="58" t="n">
        <f aca="false">-Debt!R19</f>
        <v>-675.35546875</v>
      </c>
      <c r="S58" s="58" t="n">
        <f aca="false">-Debt!S19</f>
        <v>-648.7796875</v>
      </c>
      <c r="T58" s="58" t="n">
        <f aca="false">-Debt!T19</f>
        <v>-1025.85390625</v>
      </c>
      <c r="U58" s="58" t="n">
        <f aca="false">-Debt!U19</f>
        <v>-990.86875</v>
      </c>
      <c r="V58" s="58" t="n">
        <f aca="false">-Debt!V19</f>
        <v>-955.88359375</v>
      </c>
      <c r="W58" s="58" t="n">
        <f aca="false">-Debt!W19</f>
        <v>-920.8984375</v>
      </c>
      <c r="X58" s="58" t="n">
        <f aca="false">-Debt!X19</f>
        <v>-885.91328125</v>
      </c>
      <c r="Y58" s="58" t="n">
        <f aca="false">-Debt!Y19</f>
        <v>-850.928125</v>
      </c>
      <c r="Z58" s="58" t="n">
        <f aca="false">-Debt!Z19</f>
        <v>-815.94296875</v>
      </c>
      <c r="AA58" s="58" t="n">
        <f aca="false">-Debt!AA19</f>
        <v>-780.9578125</v>
      </c>
      <c r="AB58" s="58" t="n">
        <f aca="false">-Debt!AB19</f>
        <v>-745.97265625</v>
      </c>
    </row>
    <row r="59" customFormat="false" ht="15" hidden="false" customHeight="false" outlineLevel="0" collapsed="false">
      <c r="A59" s="67" t="s">
        <v>373</v>
      </c>
      <c r="B59" s="68"/>
      <c r="C59" s="69" t="n">
        <f aca="false">SUM(E59:P59)</f>
        <v>275610.965132912</v>
      </c>
      <c r="D59" s="69" t="n">
        <f aca="false">SUM(Q59:AB59)</f>
        <v>100852.221374867</v>
      </c>
      <c r="E59" s="69" t="n">
        <f aca="false">E57+E58</f>
        <v>5308.43138888877</v>
      </c>
      <c r="F59" s="69" t="n">
        <f aca="false">F57+F58</f>
        <v>-10177.4644444444</v>
      </c>
      <c r="G59" s="69" t="n">
        <f aca="false">G57+G58</f>
        <v>-34887.6136111112</v>
      </c>
      <c r="H59" s="69" t="n">
        <f aca="false">H57+H58</f>
        <v>-39042.311111111</v>
      </c>
      <c r="I59" s="69" t="n">
        <f aca="false">I57+I58</f>
        <v>-65846.9694444445</v>
      </c>
      <c r="J59" s="69" t="n">
        <f aca="false">J57+J58</f>
        <v>-40642.9944965277</v>
      </c>
      <c r="K59" s="69" t="n">
        <f aca="false">K57+K58</f>
        <v>49352.5612847222</v>
      </c>
      <c r="L59" s="69" t="n">
        <f aca="false">L57+L58</f>
        <v>82521.8542881945</v>
      </c>
      <c r="M59" s="69" t="n">
        <f aca="false">M57+M58</f>
        <v>81804.2276584242</v>
      </c>
      <c r="N59" s="69" t="n">
        <f aca="false">N57+N58</f>
        <v>92716.0992725037</v>
      </c>
      <c r="O59" s="69" t="n">
        <f aca="false">O57+O58</f>
        <v>87634.1790577023</v>
      </c>
      <c r="P59" s="69" t="n">
        <f aca="false">P57+P58</f>
        <v>66870.9652901154</v>
      </c>
      <c r="Q59" s="69" t="n">
        <f aca="false">Q57+Q58</f>
        <v>15794.4427711655</v>
      </c>
      <c r="R59" s="69" t="n">
        <f aca="false">R57+R58</f>
        <v>-32892.8902455567</v>
      </c>
      <c r="S59" s="69" t="n">
        <f aca="false">S57+S58</f>
        <v>-62012.585919393</v>
      </c>
      <c r="T59" s="69" t="n">
        <f aca="false">T57+T58</f>
        <v>-38821.0897875993</v>
      </c>
      <c r="U59" s="69" t="n">
        <f aca="false">U57+U58</f>
        <v>14794.6740771058</v>
      </c>
      <c r="V59" s="69" t="n">
        <f aca="false">V57+V58</f>
        <v>52025.4641985486</v>
      </c>
      <c r="W59" s="69" t="n">
        <f aca="false">W57+W58</f>
        <v>65374.0725861679</v>
      </c>
      <c r="X59" s="69" t="n">
        <f aca="false">X57+X58</f>
        <v>55254.4828366197</v>
      </c>
      <c r="Y59" s="69" t="n">
        <f aca="false">Y57+Y58</f>
        <v>32955.7741823469</v>
      </c>
      <c r="Z59" s="69" t="n">
        <f aca="false">Z57+Z58</f>
        <v>14464.9702896607</v>
      </c>
      <c r="AA59" s="69" t="n">
        <f aca="false">AA57+AA58</f>
        <v>1171.9513168045</v>
      </c>
      <c r="AB59" s="69" t="n">
        <f aca="false">AB57+AB58</f>
        <v>-17257.0449310032</v>
      </c>
    </row>
    <row r="60" customFormat="false" ht="15" hidden="false" customHeight="false" outlineLevel="0" collapsed="false">
      <c r="A60" s="27" t="s">
        <v>374</v>
      </c>
      <c r="B60" s="56"/>
      <c r="E60" s="58" t="n">
        <f aca="false">SUMIFS(PL!$E$59:$AB$59,Assumptions!$E$98:$AB$98,Assumptions!E$98,Assumptions!$E$96:$AB$96,"&lt;="&amp;Assumptions!E$96)</f>
        <v>5308.43138888877</v>
      </c>
      <c r="F60" s="58" t="n">
        <f aca="false">SUMIFS(PL!$E$59:$AB$59,Assumptions!$E$98:$AB$98,Assumptions!F$98,Assumptions!$E$96:$AB$96,"&lt;="&amp;Assumptions!F$96)</f>
        <v>-4869.0330555556</v>
      </c>
      <c r="G60" s="58" t="n">
        <f aca="false">SUMIFS(PL!$E$59:$AB$59,Assumptions!$E$98:$AB$98,Assumptions!G$98,Assumptions!$E$96:$AB$96,"&lt;="&amp;Assumptions!G$96)</f>
        <v>-39756.6466666668</v>
      </c>
      <c r="H60" s="58" t="n">
        <f aca="false">SUMIFS(PL!$E$59:$AB$59,Assumptions!$E$98:$AB$98,Assumptions!H$98,Assumptions!$E$96:$AB$96,"&lt;="&amp;Assumptions!H$96)</f>
        <v>-78798.9577777778</v>
      </c>
      <c r="I60" s="58" t="n">
        <f aca="false">SUMIFS(PL!$E$59:$AB$59,Assumptions!$E$98:$AB$98,Assumptions!I$98,Assumptions!$E$96:$AB$96,"&lt;="&amp;Assumptions!I$96)</f>
        <v>-144645.927222222</v>
      </c>
      <c r="J60" s="58" t="n">
        <f aca="false">SUMIFS(PL!$E$59:$AB$59,Assumptions!$E$98:$AB$98,Assumptions!J$98,Assumptions!$E$96:$AB$96,"&lt;="&amp;Assumptions!J$96)</f>
        <v>-185288.92171875</v>
      </c>
      <c r="K60" s="58" t="n">
        <f aca="false">SUMIFS(PL!$E$59:$AB$59,Assumptions!$E$98:$AB$98,Assumptions!K$98,Assumptions!$E$96:$AB$96,"&lt;="&amp;Assumptions!K$96)</f>
        <v>-135936.360434028</v>
      </c>
      <c r="L60" s="58" t="n">
        <f aca="false">SUMIFS(PL!$E$59:$AB$59,Assumptions!$E$98:$AB$98,Assumptions!L$98,Assumptions!$E$96:$AB$96,"&lt;="&amp;Assumptions!L$96)</f>
        <v>-53414.5061458333</v>
      </c>
      <c r="M60" s="58" t="n">
        <f aca="false">SUMIFS(PL!$E$59:$AB$59,Assumptions!$E$98:$AB$98,Assumptions!M$98,Assumptions!$E$96:$AB$96,"&lt;="&amp;Assumptions!M$96)</f>
        <v>28389.7215125909</v>
      </c>
      <c r="N60" s="58" t="n">
        <f aca="false">SUMIFS(PL!$E$59:$AB$59,Assumptions!$E$98:$AB$98,Assumptions!N$98,Assumptions!$E$96:$AB$96,"&lt;="&amp;Assumptions!N$96)</f>
        <v>121105.820785095</v>
      </c>
      <c r="O60" s="58" t="n">
        <f aca="false">SUMIFS(PL!$E$59:$AB$59,Assumptions!$E$98:$AB$98,Assumptions!O$98,Assumptions!$E$96:$AB$96,"&lt;="&amp;Assumptions!O$96)</f>
        <v>208739.999842797</v>
      </c>
      <c r="P60" s="58" t="n">
        <f aca="false">SUMIFS(PL!$E$59:$AB$59,Assumptions!$E$98:$AB$98,Assumptions!P$98,Assumptions!$E$96:$AB$96,"&lt;="&amp;Assumptions!P$96)</f>
        <v>275610.965132912</v>
      </c>
      <c r="Q60" s="58" t="n">
        <f aca="false">SUMIFS(PL!$E$59:$AB$59,Assumptions!$E$98:$AB$98,Assumptions!Q$98,Assumptions!$E$96:$AB$96,"&lt;="&amp;Assumptions!Q$96)</f>
        <v>15794.4427711655</v>
      </c>
      <c r="R60" s="58" t="n">
        <f aca="false">SUMIFS(PL!$E$59:$AB$59,Assumptions!$E$98:$AB$98,Assumptions!R$98,Assumptions!$E$96:$AB$96,"&lt;="&amp;Assumptions!R$96)</f>
        <v>-17098.4474743911</v>
      </c>
      <c r="S60" s="58" t="n">
        <f aca="false">SUMIFS(PL!$E$59:$AB$59,Assumptions!$E$98:$AB$98,Assumptions!S$98,Assumptions!$E$96:$AB$96,"&lt;="&amp;Assumptions!S$96)</f>
        <v>-79111.0333937842</v>
      </c>
      <c r="T60" s="58" t="n">
        <f aca="false">SUMIFS(PL!$E$59:$AB$59,Assumptions!$E$98:$AB$98,Assumptions!T$98,Assumptions!$E$96:$AB$96,"&lt;="&amp;Assumptions!T$96)</f>
        <v>-117932.123181383</v>
      </c>
      <c r="U60" s="58" t="n">
        <f aca="false">SUMIFS(PL!$E$59:$AB$59,Assumptions!$E$98:$AB$98,Assumptions!U$98,Assumptions!$E$96:$AB$96,"&lt;="&amp;Assumptions!U$96)</f>
        <v>-103137.449104278</v>
      </c>
      <c r="V60" s="58" t="n">
        <f aca="false">SUMIFS(PL!$E$59:$AB$59,Assumptions!$E$98:$AB$98,Assumptions!V$98,Assumptions!$E$96:$AB$96,"&lt;="&amp;Assumptions!V$96)</f>
        <v>-51111.984905729</v>
      </c>
      <c r="W60" s="58" t="n">
        <f aca="false">SUMIFS(PL!$E$59:$AB$59,Assumptions!$E$98:$AB$98,Assumptions!W$98,Assumptions!$E$96:$AB$96,"&lt;="&amp;Assumptions!W$96)</f>
        <v>14262.0876804389</v>
      </c>
      <c r="X60" s="58" t="n">
        <f aca="false">SUMIFS(PL!$E$59:$AB$59,Assumptions!$E$98:$AB$98,Assumptions!X$98,Assumptions!$E$96:$AB$96,"&lt;="&amp;Assumptions!X$96)</f>
        <v>69516.5705170586</v>
      </c>
      <c r="Y60" s="58" t="n">
        <f aca="false">SUMIFS(PL!$E$59:$AB$59,Assumptions!$E$98:$AB$98,Assumptions!Y$98,Assumptions!$E$96:$AB$96,"&lt;="&amp;Assumptions!Y$96)</f>
        <v>102472.344699405</v>
      </c>
      <c r="Z60" s="58" t="n">
        <f aca="false">SUMIFS(PL!$E$59:$AB$59,Assumptions!$E$98:$AB$98,Assumptions!Z$98,Assumptions!$E$96:$AB$96,"&lt;="&amp;Assumptions!Z$96)</f>
        <v>116937.314989066</v>
      </c>
      <c r="AA60" s="58" t="n">
        <f aca="false">SUMIFS(PL!$E$59:$AB$59,Assumptions!$E$98:$AB$98,Assumptions!AA$98,Assumptions!$E$96:$AB$96,"&lt;="&amp;Assumptions!AA$96)</f>
        <v>118109.266305871</v>
      </c>
      <c r="AB60" s="58" t="n">
        <f aca="false">SUMIFS(PL!$E$59:$AB$59,Assumptions!$E$98:$AB$98,Assumptions!AB$98,Assumptions!$E$96:$AB$96,"&lt;="&amp;Assumptions!AB$96)</f>
        <v>100852.221374867</v>
      </c>
    </row>
    <row r="61" customFormat="false" ht="15" hidden="false" customHeight="false" outlineLevel="0" collapsed="false">
      <c r="A61" s="27" t="s">
        <v>375</v>
      </c>
      <c r="B61" s="56"/>
      <c r="E61" s="58" t="n">
        <f aca="false">MAX(0,E60*Assumptions!$C$20)</f>
        <v>663.553923611096</v>
      </c>
      <c r="F61" s="58" t="n">
        <f aca="false">MAX(0,F60*Assumptions!$C$20)</f>
        <v>0</v>
      </c>
      <c r="G61" s="58" t="n">
        <f aca="false">MAX(0,G60*Assumptions!$C$20)</f>
        <v>0</v>
      </c>
      <c r="H61" s="58" t="n">
        <f aca="false">MAX(0,H60*Assumptions!$C$20)</f>
        <v>0</v>
      </c>
      <c r="I61" s="58" t="n">
        <f aca="false">MAX(0,I60*Assumptions!$C$20)</f>
        <v>0</v>
      </c>
      <c r="J61" s="58" t="n">
        <f aca="false">MAX(0,J60*Assumptions!$C$20)</f>
        <v>0</v>
      </c>
      <c r="K61" s="58" t="n">
        <f aca="false">MAX(0,K60*Assumptions!$C$20)</f>
        <v>0</v>
      </c>
      <c r="L61" s="58" t="n">
        <f aca="false">MAX(0,L60*Assumptions!$C$20)</f>
        <v>0</v>
      </c>
      <c r="M61" s="58" t="n">
        <f aca="false">MAX(0,M60*Assumptions!$C$20)</f>
        <v>3548.71518907386</v>
      </c>
      <c r="N61" s="58" t="n">
        <f aca="false">MAX(0,N60*Assumptions!$C$20)</f>
        <v>15138.2275981368</v>
      </c>
      <c r="O61" s="58" t="n">
        <f aca="false">MAX(0,O60*Assumptions!$C$20)</f>
        <v>26092.4999803496</v>
      </c>
      <c r="P61" s="58" t="n">
        <f aca="false">MAX(0,P60*Assumptions!$C$20)</f>
        <v>34451.370641614</v>
      </c>
      <c r="Q61" s="58" t="n">
        <f aca="false">MAX(0,Q60*Assumptions!$C$20)</f>
        <v>1974.30534639569</v>
      </c>
      <c r="R61" s="58" t="n">
        <f aca="false">MAX(0,R60*Assumptions!$C$20)</f>
        <v>0</v>
      </c>
      <c r="S61" s="58" t="n">
        <f aca="false">MAX(0,S60*Assumptions!$C$20)</f>
        <v>0</v>
      </c>
      <c r="T61" s="58" t="n">
        <f aca="false">MAX(0,T60*Assumptions!$C$20)</f>
        <v>0</v>
      </c>
      <c r="U61" s="58" t="n">
        <f aca="false">MAX(0,U60*Assumptions!$C$20)</f>
        <v>0</v>
      </c>
      <c r="V61" s="58" t="n">
        <f aca="false">MAX(0,V60*Assumptions!$C$20)</f>
        <v>0</v>
      </c>
      <c r="W61" s="58" t="n">
        <f aca="false">MAX(0,W60*Assumptions!$C$20)</f>
        <v>1782.76096005487</v>
      </c>
      <c r="X61" s="58" t="n">
        <f aca="false">MAX(0,X60*Assumptions!$C$20)</f>
        <v>8689.57131463233</v>
      </c>
      <c r="Y61" s="58" t="n">
        <f aca="false">MAX(0,Y60*Assumptions!$C$20)</f>
        <v>12809.0430874257</v>
      </c>
      <c r="Z61" s="58" t="n">
        <f aca="false">MAX(0,Z60*Assumptions!$C$20)</f>
        <v>14617.1643736333</v>
      </c>
      <c r="AA61" s="58" t="n">
        <f aca="false">MAX(0,AA60*Assumptions!$C$20)</f>
        <v>14763.6582882338</v>
      </c>
      <c r="AB61" s="58" t="n">
        <f aca="false">MAX(0,AB60*Assumptions!$C$20)</f>
        <v>12606.5276718584</v>
      </c>
    </row>
    <row r="62" customFormat="false" ht="15" hidden="false" customHeight="false" outlineLevel="0" collapsed="false">
      <c r="A62" s="27" t="s">
        <v>376</v>
      </c>
      <c r="B62" s="56" t="s">
        <v>377</v>
      </c>
      <c r="C62" s="57" t="n">
        <f aca="false">SUM(E62:P62)</f>
        <v>-34451.370641614</v>
      </c>
      <c r="D62" s="57" t="n">
        <f aca="false">SUM(Q62:AB62)</f>
        <v>-12606.5276718584</v>
      </c>
      <c r="E62" s="58" t="n">
        <f aca="false">-(E61-IF(Assumptions!E$99=1,0,0))</f>
        <v>-663.553923611096</v>
      </c>
      <c r="F62" s="58" t="n">
        <f aca="false">-(F61-IF(Assumptions!F$99=1,0,E61))</f>
        <v>663.553923611096</v>
      </c>
      <c r="G62" s="58" t="n">
        <f aca="false">-(G61-IF(Assumptions!G$99=1,0,F61))</f>
        <v>-0</v>
      </c>
      <c r="H62" s="58" t="n">
        <f aca="false">-(H61-IF(Assumptions!H$99=1,0,G61))</f>
        <v>-0</v>
      </c>
      <c r="I62" s="58" t="n">
        <f aca="false">-(I61-IF(Assumptions!I$99=1,0,H61))</f>
        <v>-0</v>
      </c>
      <c r="J62" s="58" t="n">
        <f aca="false">-(J61-IF(Assumptions!J$99=1,0,I61))</f>
        <v>-0</v>
      </c>
      <c r="K62" s="58" t="n">
        <f aca="false">-(K61-IF(Assumptions!K$99=1,0,J61))</f>
        <v>-0</v>
      </c>
      <c r="L62" s="58" t="n">
        <f aca="false">-(L61-IF(Assumptions!L$99=1,0,K61))</f>
        <v>-0</v>
      </c>
      <c r="M62" s="58" t="n">
        <f aca="false">-(M61-IF(Assumptions!M$99=1,0,L61))</f>
        <v>-3548.71518907386</v>
      </c>
      <c r="N62" s="58" t="n">
        <f aca="false">-(N61-IF(Assumptions!N$99=1,0,M61))</f>
        <v>-11589.512409063</v>
      </c>
      <c r="O62" s="58" t="n">
        <f aca="false">-(O61-IF(Assumptions!O$99=1,0,N61))</f>
        <v>-10954.2723822128</v>
      </c>
      <c r="P62" s="58" t="n">
        <f aca="false">-(P61-IF(Assumptions!P$99=1,0,O61))</f>
        <v>-8358.87066126442</v>
      </c>
      <c r="Q62" s="58" t="n">
        <f aca="false">-(Q61-IF(Assumptions!Q$99=1,0,P61))</f>
        <v>-1974.30534639569</v>
      </c>
      <c r="R62" s="58" t="n">
        <f aca="false">-(R61-IF(Assumptions!R$99=1,0,Q61))</f>
        <v>1974.30534639569</v>
      </c>
      <c r="S62" s="58" t="n">
        <f aca="false">-(S61-IF(Assumptions!S$99=1,0,R61))</f>
        <v>-0</v>
      </c>
      <c r="T62" s="58" t="n">
        <f aca="false">-(T61-IF(Assumptions!T$99=1,0,S61))</f>
        <v>-0</v>
      </c>
      <c r="U62" s="58" t="n">
        <f aca="false">-(U61-IF(Assumptions!U$99=1,0,T61))</f>
        <v>-0</v>
      </c>
      <c r="V62" s="58" t="n">
        <f aca="false">-(V61-IF(Assumptions!V$99=1,0,U61))</f>
        <v>-0</v>
      </c>
      <c r="W62" s="58" t="n">
        <f aca="false">-(W61-IF(Assumptions!W$99=1,0,V61))</f>
        <v>-1782.76096005487</v>
      </c>
      <c r="X62" s="58" t="n">
        <f aca="false">-(X61-IF(Assumptions!X$99=1,0,W61))</f>
        <v>-6906.81035457746</v>
      </c>
      <c r="Y62" s="58" t="n">
        <f aca="false">-(Y61-IF(Assumptions!Y$99=1,0,X61))</f>
        <v>-4119.47177279336</v>
      </c>
      <c r="Z62" s="58" t="n">
        <f aca="false">-(Z61-IF(Assumptions!Z$99=1,0,Y61))</f>
        <v>-1808.12128620759</v>
      </c>
      <c r="AA62" s="58" t="n">
        <f aca="false">-(AA61-IF(Assumptions!AA$99=1,0,Z61))</f>
        <v>-146.493914600562</v>
      </c>
      <c r="AB62" s="58" t="n">
        <f aca="false">-(AB61-IF(Assumptions!AB$99=1,0,AA61))</f>
        <v>2157.1306163754</v>
      </c>
    </row>
    <row r="63" customFormat="false" ht="15" hidden="false" customHeight="false" outlineLevel="0" collapsed="false">
      <c r="A63" s="67" t="s">
        <v>378</v>
      </c>
      <c r="B63" s="68"/>
      <c r="C63" s="69" t="n">
        <f aca="false">SUM(E63:P63)</f>
        <v>241159.594491298</v>
      </c>
      <c r="D63" s="69" t="n">
        <f aca="false">SUM(Q63:AB63)</f>
        <v>88245.693703009</v>
      </c>
      <c r="E63" s="69" t="n">
        <f aca="false">E59+E62</f>
        <v>4644.87746527767</v>
      </c>
      <c r="F63" s="69" t="n">
        <f aca="false">F59+F62</f>
        <v>-9513.91052083327</v>
      </c>
      <c r="G63" s="69" t="n">
        <f aca="false">G59+G62</f>
        <v>-34887.6136111112</v>
      </c>
      <c r="H63" s="69" t="n">
        <f aca="false">H59+H62</f>
        <v>-39042.311111111</v>
      </c>
      <c r="I63" s="69" t="n">
        <f aca="false">I59+I62</f>
        <v>-65846.9694444445</v>
      </c>
      <c r="J63" s="69" t="n">
        <f aca="false">J59+J62</f>
        <v>-40642.9944965277</v>
      </c>
      <c r="K63" s="69" t="n">
        <f aca="false">K59+K62</f>
        <v>49352.5612847222</v>
      </c>
      <c r="L63" s="69" t="n">
        <f aca="false">L59+L62</f>
        <v>82521.8542881945</v>
      </c>
      <c r="M63" s="69" t="n">
        <f aca="false">M59+M62</f>
        <v>78255.5124693503</v>
      </c>
      <c r="N63" s="69" t="n">
        <f aca="false">N59+N62</f>
        <v>81126.5868634407</v>
      </c>
      <c r="O63" s="69" t="n">
        <f aca="false">O59+O62</f>
        <v>76679.9066754895</v>
      </c>
      <c r="P63" s="69" t="n">
        <f aca="false">P59+P62</f>
        <v>58512.0946288509</v>
      </c>
      <c r="Q63" s="69" t="n">
        <f aca="false">Q59+Q62</f>
        <v>13820.1374247698</v>
      </c>
      <c r="R63" s="69" t="n">
        <f aca="false">R59+R62</f>
        <v>-30918.584899161</v>
      </c>
      <c r="S63" s="69" t="n">
        <f aca="false">S59+S62</f>
        <v>-62012.585919393</v>
      </c>
      <c r="T63" s="69" t="n">
        <f aca="false">T59+T62</f>
        <v>-38821.0897875993</v>
      </c>
      <c r="U63" s="69" t="n">
        <f aca="false">U59+U62</f>
        <v>14794.6740771058</v>
      </c>
      <c r="V63" s="69" t="n">
        <f aca="false">V59+V62</f>
        <v>52025.4641985486</v>
      </c>
      <c r="W63" s="69" t="n">
        <f aca="false">W59+W62</f>
        <v>63591.3116261131</v>
      </c>
      <c r="X63" s="69" t="n">
        <f aca="false">X59+X62</f>
        <v>48347.6724820422</v>
      </c>
      <c r="Y63" s="69" t="n">
        <f aca="false">Y59+Y62</f>
        <v>28836.3024095535</v>
      </c>
      <c r="Z63" s="69" t="n">
        <f aca="false">Z59+Z62</f>
        <v>12656.8490034531</v>
      </c>
      <c r="AA63" s="69" t="n">
        <f aca="false">AA59+AA62</f>
        <v>1025.45740220393</v>
      </c>
      <c r="AB63" s="69" t="n">
        <f aca="false">AB59+AB62</f>
        <v>-15099.9143146278</v>
      </c>
    </row>
    <row r="64" customFormat="false" ht="15" hidden="false" customHeight="false" outlineLevel="0" collapsed="false">
      <c r="A64" s="27" t="s">
        <v>379</v>
      </c>
      <c r="B64" s="56"/>
      <c r="C64" s="59" t="n">
        <f aca="false">IF(C13=0,0,C63/C13)</f>
        <v>0.0262203118951798</v>
      </c>
      <c r="D64" s="59" t="n">
        <f aca="false">IF(D13=0,0,D63/D13)</f>
        <v>0.00909428258034819</v>
      </c>
      <c r="E64" s="60" t="n">
        <f aca="false">IF(E13=0,0,E63/E13)</f>
        <v>0.00699493710606723</v>
      </c>
      <c r="F64" s="60" t="n">
        <f aca="false">IF(F13=0,0,F63/F13)</f>
        <v>-0.0168060922795864</v>
      </c>
      <c r="G64" s="60" t="n">
        <f aca="false">IF(G13=0,0,G63/G13)</f>
        <v>-0.0710630170037611</v>
      </c>
      <c r="H64" s="60" t="n">
        <f aca="false">IF(H13=0,0,H63/H13)</f>
        <v>-0.0861152556036031</v>
      </c>
      <c r="I64" s="60" t="n">
        <f aca="false">IF(I13=0,0,I63/I13)</f>
        <v>-0.138127489137707</v>
      </c>
      <c r="J64" s="60" t="n">
        <f aca="false">IF(J13=0,0,J63/J13)</f>
        <v>-0.062873697141937</v>
      </c>
      <c r="K64" s="60" t="n">
        <f aca="false">IF(K13=0,0,K63/K13)</f>
        <v>0.0560326003624595</v>
      </c>
      <c r="L64" s="60" t="n">
        <f aca="false">IF(L13=0,0,L63/L13)</f>
        <v>0.0869528277897212</v>
      </c>
      <c r="M64" s="60" t="n">
        <f aca="false">IF(M13=0,0,M63/M13)</f>
        <v>0.0728442612548584</v>
      </c>
      <c r="N64" s="60" t="n">
        <f aca="false">IF(N13=0,0,N63/N13)</f>
        <v>0.0754968512760241</v>
      </c>
      <c r="O64" s="60" t="n">
        <f aca="false">IF(O13=0,0,O63/O13)</f>
        <v>0.076053907778466</v>
      </c>
      <c r="P64" s="60" t="n">
        <f aca="false">IF(P13=0,0,P63/P13)</f>
        <v>0.0640915948140628</v>
      </c>
      <c r="Q64" s="60" t="n">
        <f aca="false">IF(Q13=0,0,Q63/Q13)</f>
        <v>0.0168032506816496</v>
      </c>
      <c r="R64" s="60" t="n">
        <f aca="false">IF(R13=0,0,R63/R13)</f>
        <v>-0.0458826538617826</v>
      </c>
      <c r="S64" s="60" t="n">
        <f aca="false">IF(S13=0,0,S63/S13)</f>
        <v>-0.10661022135422</v>
      </c>
      <c r="T64" s="60" t="n">
        <f aca="false">IF(T13=0,0,T63/T13)</f>
        <v>-0.0574102876292703</v>
      </c>
      <c r="U64" s="60" t="n">
        <f aca="false">IF(U13=0,0,U63/U13)</f>
        <v>0.0173786016238752</v>
      </c>
      <c r="V64" s="60" t="n">
        <f aca="false">IF(V13=0,0,V63/V13)</f>
        <v>0.0536486807663302</v>
      </c>
      <c r="W64" s="60" t="n">
        <f aca="false">IF(W13=0,0,W63/W13)</f>
        <v>0.0629340465591695</v>
      </c>
      <c r="X64" s="60" t="n">
        <f aca="false">IF(X13=0,0,X63/X13)</f>
        <v>0.0497012516510377</v>
      </c>
      <c r="Y64" s="60" t="n">
        <f aca="false">IF(Y13=0,0,Y63/Y13)</f>
        <v>0.0328331156777068</v>
      </c>
      <c r="Z64" s="60" t="n">
        <f aca="false">IF(Z13=0,0,Z63/Z13)</f>
        <v>0.0157451942229569</v>
      </c>
      <c r="AA64" s="60" t="n">
        <f aca="false">IF(AA13=0,0,AA63/AA13)</f>
        <v>0.00135619780018641</v>
      </c>
      <c r="AB64" s="60" t="n">
        <f aca="false">IF(AB13=0,0,AB63/AB13)</f>
        <v>-0.0213669107449724</v>
      </c>
    </row>
    <row r="65" customFormat="false" ht="15" hidden="false" customHeight="false" outlineLevel="0" collapsed="false">
      <c r="A65" s="24" t="s">
        <v>380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4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381</v>
      </c>
    </row>
    <row r="3" customFormat="false" ht="15" hidden="false" customHeight="false" outlineLevel="0" collapsed="false">
      <c r="A3" s="47" t="s">
        <v>382</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383</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325</v>
      </c>
      <c r="B9" s="56" t="s">
        <v>35</v>
      </c>
      <c r="C9" s="57" t="n">
        <f aca="false">P9</f>
        <v>632766.877670916</v>
      </c>
      <c r="D9" s="57" t="n">
        <f aca="false">AB9</f>
        <v>1114521.61690493</v>
      </c>
      <c r="E9" s="58" t="n">
        <f aca="false">CF!E43</f>
        <v>499752.21552</v>
      </c>
      <c r="F9" s="58" t="n">
        <f aca="false">CF!F43</f>
        <v>561106.32307</v>
      </c>
      <c r="G9" s="58" t="n">
        <f aca="false">CF!G43</f>
        <v>643340.888295628</v>
      </c>
      <c r="H9" s="58" t="n">
        <f aca="false">CF!H43</f>
        <v>716245.646465628</v>
      </c>
      <c r="I9" s="58" t="n">
        <f aca="false">CF!I43</f>
        <v>775741.170730385</v>
      </c>
      <c r="J9" s="58" t="n">
        <f aca="false">CF!J43</f>
        <v>768659.884341635</v>
      </c>
      <c r="K9" s="58" t="n">
        <f aca="false">CF!K43</f>
        <v>613881.91963017</v>
      </c>
      <c r="L9" s="58" t="n">
        <f aca="false">CF!L43</f>
        <v>634504.37266392</v>
      </c>
      <c r="M9" s="58" t="n">
        <f aca="false">CF!M43</f>
        <v>531875.831679909</v>
      </c>
      <c r="N9" s="58" t="n">
        <f aca="false">CF!N43</f>
        <v>418470.368426663</v>
      </c>
      <c r="O9" s="58" t="n">
        <f aca="false">CF!O43</f>
        <v>446648.18045888</v>
      </c>
      <c r="P9" s="58" t="n">
        <f aca="false">CF!P43</f>
        <v>632766.877670916</v>
      </c>
      <c r="Q9" s="58" t="n">
        <f aca="false">CF!Q43</f>
        <v>708530.019475196</v>
      </c>
      <c r="R9" s="58" t="n">
        <f aca="false">CF!R43</f>
        <v>813835.858165598</v>
      </c>
      <c r="S9" s="58" t="n">
        <f aca="false">CF!S43</f>
        <v>861509.021864304</v>
      </c>
      <c r="T9" s="58" t="n">
        <f aca="false">CF!T43</f>
        <v>1004245.74486494</v>
      </c>
      <c r="U9" s="58" t="n">
        <f aca="false">CF!U43</f>
        <v>980842.731154121</v>
      </c>
      <c r="V9" s="58" t="n">
        <f aca="false">CF!V43</f>
        <v>894873.013914298</v>
      </c>
      <c r="W9" s="58" t="n">
        <f aca="false">CF!W43</f>
        <v>832481.099336612</v>
      </c>
      <c r="X9" s="58" t="n">
        <f aca="false">CF!X43</f>
        <v>863046.229927896</v>
      </c>
      <c r="Y9" s="58" t="n">
        <f aca="false">CF!Y43</f>
        <v>912832.72504294</v>
      </c>
      <c r="Z9" s="58" t="n">
        <f aca="false">CF!Z43</f>
        <v>1048223.57619526</v>
      </c>
      <c r="AA9" s="58" t="n">
        <f aca="false">CF!AA43</f>
        <v>1076823.25709914</v>
      </c>
      <c r="AB9" s="58" t="n">
        <f aca="false">CF!AB43</f>
        <v>1114521.61690493</v>
      </c>
    </row>
    <row r="10" customFormat="false" ht="15" hidden="false" customHeight="false" outlineLevel="0" collapsed="false">
      <c r="A10" s="27" t="s">
        <v>384</v>
      </c>
      <c r="B10" s="56" t="s">
        <v>59</v>
      </c>
      <c r="C10" s="57" t="n">
        <f aca="false">P10</f>
        <v>900600.983772056</v>
      </c>
      <c r="D10" s="57" t="n">
        <f aca="false">AB10</f>
        <v>528495.498171461</v>
      </c>
      <c r="E10" s="58" t="n">
        <f aca="false">Receivables!E13</f>
        <v>469893.4905125</v>
      </c>
      <c r="F10" s="58" t="n">
        <f aca="false">Receivables!F13</f>
        <v>489890.7263575</v>
      </c>
      <c r="G10" s="58" t="n">
        <f aca="false">Receivables!G13</f>
        <v>456356.381275</v>
      </c>
      <c r="H10" s="58" t="n">
        <f aca="false">Receivables!H13</f>
        <v>377392.6959575</v>
      </c>
      <c r="I10" s="58" t="n">
        <f aca="false">Receivables!I13</f>
        <v>318466.0725175</v>
      </c>
      <c r="J10" s="58" t="n">
        <f aca="false">Receivables!J13</f>
        <v>277981.8962375</v>
      </c>
      <c r="K10" s="58" t="n">
        <f aca="false">Receivables!K13</f>
        <v>491050.872125</v>
      </c>
      <c r="L10" s="58" t="n">
        <f aca="false">Receivables!L13</f>
        <v>639439.1130705</v>
      </c>
      <c r="M10" s="58" t="n">
        <f aca="false">Receivables!M13</f>
        <v>701003.08154781</v>
      </c>
      <c r="N10" s="58" t="n">
        <f aca="false">Receivables!N13</f>
        <v>887154.59953888</v>
      </c>
      <c r="O10" s="58" t="n">
        <f aca="false">Receivables!O13</f>
        <v>924958.194730189</v>
      </c>
      <c r="P10" s="58" t="n">
        <f aca="false">Receivables!P13</f>
        <v>900600.983772056</v>
      </c>
      <c r="Q10" s="58" t="n">
        <f aca="false">Receivables!Q13</f>
        <v>770940.430913176</v>
      </c>
      <c r="R10" s="58" t="n">
        <f aca="false">Receivables!R13</f>
        <v>680482.42025234</v>
      </c>
      <c r="S10" s="58" t="n">
        <f aca="false">Receivables!S13</f>
        <v>581583.003474408</v>
      </c>
      <c r="T10" s="58" t="n">
        <f aca="false">Receivables!T13</f>
        <v>456245.625966442</v>
      </c>
      <c r="U10" s="58" t="n">
        <f aca="false">Receivables!U13</f>
        <v>454908.913870726</v>
      </c>
      <c r="V10" s="58" t="n">
        <f aca="false">Receivables!V13</f>
        <v>585730.424135703</v>
      </c>
      <c r="W10" s="58" t="n">
        <f aca="false">Receivables!W13</f>
        <v>699158.884234627</v>
      </c>
      <c r="X10" s="58" t="n">
        <f aca="false">Receivables!X13</f>
        <v>736646.149420048</v>
      </c>
      <c r="Y10" s="58" t="n">
        <f aca="false">Receivables!Y13</f>
        <v>698821.160438924</v>
      </c>
      <c r="Z10" s="58" t="n">
        <f aca="false">Receivables!Z13</f>
        <v>616524.060747945</v>
      </c>
      <c r="AA10" s="58" t="n">
        <f aca="false">Receivables!AA13</f>
        <v>504161.521144379</v>
      </c>
      <c r="AB10" s="58" t="n">
        <f aca="false">Receivables!AB13</f>
        <v>528495.498171461</v>
      </c>
    </row>
    <row r="11" customFormat="false" ht="15" hidden="false" customHeight="false" outlineLevel="0" collapsed="false">
      <c r="A11" s="27" t="s">
        <v>385</v>
      </c>
      <c r="B11" s="56" t="s">
        <v>59</v>
      </c>
      <c r="C11" s="57" t="n">
        <f aca="false">P11</f>
        <v>180933.329148484</v>
      </c>
      <c r="D11" s="57" t="n">
        <f aca="false">AB11</f>
        <v>205972.758614545</v>
      </c>
      <c r="E11" s="58" t="n">
        <f aca="false">Receivables!E14</f>
        <v>240218.66</v>
      </c>
      <c r="F11" s="58" t="n">
        <f aca="false">Receivables!F14</f>
        <v>178192.3</v>
      </c>
      <c r="G11" s="58" t="n">
        <f aca="false">Receivables!G14</f>
        <v>153187.4</v>
      </c>
      <c r="H11" s="58" t="n">
        <f aca="false">Receivables!H14</f>
        <v>127253.19</v>
      </c>
      <c r="I11" s="58" t="n">
        <f aca="false">Receivables!I14</f>
        <v>121763.65</v>
      </c>
      <c r="J11" s="58" t="n">
        <f aca="false">Receivables!J14</f>
        <v>152013.29</v>
      </c>
      <c r="K11" s="58" t="n">
        <f aca="false">Receivables!K14</f>
        <v>155368</v>
      </c>
      <c r="L11" s="58" t="n">
        <f aca="false">Receivables!L14</f>
        <v>108387.05</v>
      </c>
      <c r="M11" s="58" t="n">
        <f aca="false">Receivables!M14</f>
        <v>116372</v>
      </c>
      <c r="N11" s="58" t="n">
        <f aca="false">Receivables!N14</f>
        <v>168942</v>
      </c>
      <c r="O11" s="58" t="n">
        <f aca="false">Receivables!O14</f>
        <v>189148</v>
      </c>
      <c r="P11" s="58" t="n">
        <f aca="false">Receivables!P14</f>
        <v>180933.329148484</v>
      </c>
      <c r="Q11" s="58" t="n">
        <f aca="false">Receivables!Q14</f>
        <v>174210.179257461</v>
      </c>
      <c r="R11" s="58" t="n">
        <f aca="false">Receivables!R14</f>
        <v>164503.537983382</v>
      </c>
      <c r="S11" s="58" t="n">
        <f aca="false">Receivables!S14</f>
        <v>146104.58507095</v>
      </c>
      <c r="T11" s="58" t="n">
        <f aca="false">Receivables!T14</f>
        <v>127168.154933483</v>
      </c>
      <c r="U11" s="58" t="n">
        <f aca="false">Receivables!U14</f>
        <v>133584.602244281</v>
      </c>
      <c r="V11" s="58" t="n">
        <f aca="false">Receivables!V14</f>
        <v>161861.339456387</v>
      </c>
      <c r="W11" s="58" t="n">
        <f aca="false">Receivables!W14</f>
        <v>186499.980615314</v>
      </c>
      <c r="X11" s="58" t="n">
        <f aca="false">Receivables!X14</f>
        <v>202841.440328023</v>
      </c>
      <c r="Y11" s="58" t="n">
        <f aca="false">Receivables!Y14</f>
        <v>210487.898621011</v>
      </c>
      <c r="Z11" s="58" t="n">
        <f aca="false">Receivables!Z14</f>
        <v>209029.186767837</v>
      </c>
      <c r="AA11" s="58" t="n">
        <f aca="false">Receivables!AA14</f>
        <v>202795.306444943</v>
      </c>
      <c r="AB11" s="58" t="n">
        <f aca="false">Receivables!AB14</f>
        <v>205972.758614545</v>
      </c>
    </row>
    <row r="12" customFormat="false" ht="15" hidden="false" customHeight="false" outlineLevel="0" collapsed="false">
      <c r="A12" s="27" t="s">
        <v>386</v>
      </c>
      <c r="B12" s="56" t="s">
        <v>57</v>
      </c>
      <c r="C12" s="57" t="n">
        <f aca="false">P12</f>
        <v>186751.800075962</v>
      </c>
      <c r="D12" s="57" t="n">
        <f aca="false">AB12</f>
        <v>176168.117438047</v>
      </c>
      <c r="E12" s="58" t="n">
        <f aca="false">Retentions!E28</f>
        <v>116889.7435</v>
      </c>
      <c r="F12" s="58" t="n">
        <f aca="false">Retentions!F28</f>
        <v>136345.335</v>
      </c>
      <c r="G12" s="58" t="n">
        <f aca="false">Retentions!G28</f>
        <v>152728.1885</v>
      </c>
      <c r="H12" s="58" t="n">
        <f aca="false">Retentions!H28</f>
        <v>137761.1805</v>
      </c>
      <c r="I12" s="58" t="n">
        <f aca="false">Retentions!I28</f>
        <v>117960.5975</v>
      </c>
      <c r="J12" s="58" t="n">
        <f aca="false">Retentions!J28</f>
        <v>117103.181</v>
      </c>
      <c r="K12" s="58" t="n">
        <f aca="false">Retentions!K28</f>
        <v>132455.7665</v>
      </c>
      <c r="L12" s="58" t="n">
        <f aca="false">Retentions!L28</f>
        <v>154454.4872</v>
      </c>
      <c r="M12" s="58" t="n">
        <f aca="false">Retentions!M28</f>
        <v>176901.231075651</v>
      </c>
      <c r="N12" s="58" t="n">
        <f aca="false">Retentions!N28</f>
        <v>207048.653200023</v>
      </c>
      <c r="O12" s="58" t="n">
        <f aca="false">Retentions!O28</f>
        <v>209445.930316646</v>
      </c>
      <c r="P12" s="58" t="n">
        <f aca="false">Retentions!P28</f>
        <v>186751.800075962</v>
      </c>
      <c r="Q12" s="58" t="n">
        <f aca="false">Retentions!Q28</f>
        <v>201220.981306309</v>
      </c>
      <c r="R12" s="58" t="n">
        <f aca="false">Retentions!R28</f>
        <v>223572.222650909</v>
      </c>
      <c r="S12" s="58" t="n">
        <f aca="false">Retentions!S28</f>
        <v>192039.61791088</v>
      </c>
      <c r="T12" s="58" t="n">
        <f aca="false">Retentions!T28</f>
        <v>152299.676397462</v>
      </c>
      <c r="U12" s="58" t="n">
        <f aca="false">Retentions!U28</f>
        <v>138714.193153078</v>
      </c>
      <c r="V12" s="58" t="n">
        <f aca="false">Retentions!V28</f>
        <v>158533.898148148</v>
      </c>
      <c r="W12" s="58" t="n">
        <f aca="false">Retentions!W28</f>
        <v>182112.442649391</v>
      </c>
      <c r="X12" s="58" t="n">
        <f aca="false">Retentions!X28</f>
        <v>206952.477923525</v>
      </c>
      <c r="Y12" s="58" t="n">
        <f aca="false">Retentions!Y28</f>
        <v>230396.21208858</v>
      </c>
      <c r="Z12" s="58" t="n">
        <f aca="false">Retentions!Z28</f>
        <v>227718.196101508</v>
      </c>
      <c r="AA12" s="58" t="n">
        <f aca="false">Retentions!AA28</f>
        <v>238923.987414491</v>
      </c>
      <c r="AB12" s="58" t="n">
        <f aca="false">Retentions!AB28</f>
        <v>176168.117438047</v>
      </c>
    </row>
    <row r="13" customFormat="false" ht="15" hidden="false" customHeight="false" outlineLevel="0" collapsed="false">
      <c r="A13" s="27" t="s">
        <v>387</v>
      </c>
      <c r="B13" s="56" t="s">
        <v>388</v>
      </c>
      <c r="C13" s="57" t="n">
        <f aca="false">P13</f>
        <v>705867.618954026</v>
      </c>
      <c r="D13" s="57" t="n">
        <f aca="false">AB13</f>
        <v>468288.949866673</v>
      </c>
      <c r="E13" s="58" t="n">
        <f aca="false">WIP!E704+Residential!E76</f>
        <v>522647.887488987</v>
      </c>
      <c r="F13" s="58" t="n">
        <f aca="false">WIP!F704+Residential!F76</f>
        <v>440404.217929515</v>
      </c>
      <c r="G13" s="58" t="n">
        <f aca="false">WIP!G704+Residential!G76</f>
        <v>345645.377665198</v>
      </c>
      <c r="H13" s="58" t="n">
        <f aca="false">WIP!H704+Residential!H76</f>
        <v>294471.51154185</v>
      </c>
      <c r="I13" s="58" t="n">
        <f aca="false">WIP!I704+Residential!I76</f>
        <v>295297.33907489</v>
      </c>
      <c r="J13" s="58" t="n">
        <f aca="false">WIP!J704+Residential!J76</f>
        <v>426028.531629956</v>
      </c>
      <c r="K13" s="58" t="n">
        <f aca="false">WIP!K704+Residential!K76</f>
        <v>630048.720572687</v>
      </c>
      <c r="L13" s="58" t="n">
        <f aca="false">WIP!L704+Residential!L76</f>
        <v>721625.153876652</v>
      </c>
      <c r="M13" s="58" t="n">
        <f aca="false">WIP!M704+Residential!M76</f>
        <v>884433.047691516</v>
      </c>
      <c r="N13" s="58" t="n">
        <f aca="false">WIP!N704+Residential!N76</f>
        <v>880707.57259193</v>
      </c>
      <c r="O13" s="58" t="n">
        <f aca="false">WIP!O704+Residential!O76</f>
        <v>803811.56185323</v>
      </c>
      <c r="P13" s="58" t="n">
        <f aca="false">WIP!P704+Residential!P76</f>
        <v>705867.618954026</v>
      </c>
      <c r="Q13" s="58" t="n">
        <f aca="false">WIP!Q704+Residential!Q76</f>
        <v>629096.006216138</v>
      </c>
      <c r="R13" s="58" t="n">
        <f aca="false">WIP!R704+Residential!R76</f>
        <v>488965.545237166</v>
      </c>
      <c r="S13" s="58" t="n">
        <f aca="false">WIP!S704+Residential!S76</f>
        <v>388388.499827849</v>
      </c>
      <c r="T13" s="58" t="n">
        <f aca="false">WIP!T704+Residential!T76</f>
        <v>468267.009776143</v>
      </c>
      <c r="U13" s="58" t="n">
        <f aca="false">WIP!U704+Residential!U76</f>
        <v>622283.098337772</v>
      </c>
      <c r="V13" s="58" t="n">
        <f aca="false">WIP!V704+Residential!V76</f>
        <v>720521.098133856</v>
      </c>
      <c r="W13" s="58" t="n">
        <f aca="false">WIP!W704+Residential!W76</f>
        <v>751033.000518044</v>
      </c>
      <c r="X13" s="58" t="n">
        <f aca="false">WIP!X704+Residential!X76</f>
        <v>712262.166947441</v>
      </c>
      <c r="Y13" s="58" t="n">
        <f aca="false">WIP!Y704+Residential!Y76</f>
        <v>616641.815367473</v>
      </c>
      <c r="Z13" s="58" t="n">
        <f aca="false">WIP!Z704+Residential!Z76</f>
        <v>541742.085932886</v>
      </c>
      <c r="AA13" s="58" t="n">
        <f aca="false">WIP!AA704+Residential!AA76</f>
        <v>502973.947196747</v>
      </c>
      <c r="AB13" s="58" t="n">
        <f aca="false">WIP!AB704+Residential!AB76</f>
        <v>468288.949866673</v>
      </c>
    </row>
    <row r="14" customFormat="false" ht="15" hidden="false" customHeight="false" outlineLevel="0" collapsed="false">
      <c r="A14" s="27" t="s">
        <v>389</v>
      </c>
      <c r="B14" s="56" t="s">
        <v>390</v>
      </c>
      <c r="C14" s="57" t="n">
        <f aca="false">P14</f>
        <v>46000</v>
      </c>
      <c r="D14" s="57" t="n">
        <f aca="false">AB14</f>
        <v>46000</v>
      </c>
      <c r="E14" s="58" t="n">
        <f aca="false">Inputs_Actuals!$C$128</f>
        <v>46000</v>
      </c>
      <c r="F14" s="70" t="n">
        <f aca="false">E14</f>
        <v>46000</v>
      </c>
      <c r="G14" s="70" t="n">
        <f aca="false">F14</f>
        <v>46000</v>
      </c>
      <c r="H14" s="70" t="n">
        <f aca="false">G14</f>
        <v>46000</v>
      </c>
      <c r="I14" s="70" t="n">
        <f aca="false">H14</f>
        <v>46000</v>
      </c>
      <c r="J14" s="70" t="n">
        <f aca="false">I14</f>
        <v>46000</v>
      </c>
      <c r="K14" s="70" t="n">
        <f aca="false">J14</f>
        <v>46000</v>
      </c>
      <c r="L14" s="70" t="n">
        <f aca="false">K14</f>
        <v>46000</v>
      </c>
      <c r="M14" s="70" t="n">
        <f aca="false">L14</f>
        <v>46000</v>
      </c>
      <c r="N14" s="70" t="n">
        <f aca="false">M14</f>
        <v>46000</v>
      </c>
      <c r="O14" s="70" t="n">
        <f aca="false">N14</f>
        <v>46000</v>
      </c>
      <c r="P14" s="70" t="n">
        <f aca="false">O14</f>
        <v>46000</v>
      </c>
      <c r="Q14" s="70" t="n">
        <f aca="false">P14</f>
        <v>46000</v>
      </c>
      <c r="R14" s="70" t="n">
        <f aca="false">Q14</f>
        <v>46000</v>
      </c>
      <c r="S14" s="70" t="n">
        <f aca="false">R14</f>
        <v>46000</v>
      </c>
      <c r="T14" s="70" t="n">
        <f aca="false">S14</f>
        <v>46000</v>
      </c>
      <c r="U14" s="70" t="n">
        <f aca="false">T14</f>
        <v>46000</v>
      </c>
      <c r="V14" s="70" t="n">
        <f aca="false">U14</f>
        <v>46000</v>
      </c>
      <c r="W14" s="70" t="n">
        <f aca="false">V14</f>
        <v>46000</v>
      </c>
      <c r="X14" s="70" t="n">
        <f aca="false">W14</f>
        <v>46000</v>
      </c>
      <c r="Y14" s="70" t="n">
        <f aca="false">X14</f>
        <v>46000</v>
      </c>
      <c r="Z14" s="70" t="n">
        <f aca="false">Y14</f>
        <v>46000</v>
      </c>
      <c r="AA14" s="70" t="n">
        <f aca="false">Z14</f>
        <v>46000</v>
      </c>
      <c r="AB14" s="70" t="n">
        <f aca="false">AA14</f>
        <v>46000</v>
      </c>
    </row>
    <row r="15" customFormat="false" ht="15" hidden="false" customHeight="false" outlineLevel="0" collapsed="false">
      <c r="A15" s="27" t="s">
        <v>391</v>
      </c>
      <c r="B15" s="56" t="s">
        <v>73</v>
      </c>
      <c r="C15" s="57" t="n">
        <f aca="false">P15</f>
        <v>216790.277777778</v>
      </c>
      <c r="D15" s="57" t="n">
        <f aca="false">AB15</f>
        <v>168589.916666667</v>
      </c>
      <c r="E15" s="58" t="n">
        <f aca="false">Fixed_Assets!E35</f>
        <v>287943.055555556</v>
      </c>
      <c r="F15" s="58" t="n">
        <f aca="false">Fixed_Assets!F35</f>
        <v>277086.111111111</v>
      </c>
      <c r="G15" s="58" t="n">
        <f aca="false">Fixed_Assets!G35</f>
        <v>272662.5</v>
      </c>
      <c r="H15" s="58" t="n">
        <f aca="false">Fixed_Assets!H35</f>
        <v>300378.472222222</v>
      </c>
      <c r="I15" s="58" t="n">
        <f aca="false">Fixed_Assets!I35</f>
        <v>288694.444444444</v>
      </c>
      <c r="J15" s="58" t="n">
        <f aca="false">Fixed_Assets!J35</f>
        <v>280045.833333333</v>
      </c>
      <c r="K15" s="58" t="n">
        <f aca="false">Fixed_Assets!K35</f>
        <v>269472.222222222</v>
      </c>
      <c r="L15" s="58" t="n">
        <f aca="false">Fixed_Assets!L35</f>
        <v>259545.833333333</v>
      </c>
      <c r="M15" s="58" t="n">
        <f aca="false">Fixed_Assets!M35</f>
        <v>248894.444444444</v>
      </c>
      <c r="N15" s="58" t="n">
        <f aca="false">Fixed_Assets!N35</f>
        <v>238218.055555556</v>
      </c>
      <c r="O15" s="58" t="n">
        <f aca="false">Fixed_Assets!O35</f>
        <v>227516.666666667</v>
      </c>
      <c r="P15" s="58" t="n">
        <f aca="false">Fixed_Assets!P35</f>
        <v>216790.277777778</v>
      </c>
      <c r="Q15" s="58" t="n">
        <f aca="false">Fixed_Assets!Q35</f>
        <v>217746.680555556</v>
      </c>
      <c r="R15" s="58" t="n">
        <f aca="false">Fixed_Assets!R35</f>
        <v>206677.208333333</v>
      </c>
      <c r="S15" s="58" t="n">
        <f aca="false">Fixed_Assets!S35</f>
        <v>272281.861111111</v>
      </c>
      <c r="T15" s="58" t="n">
        <f aca="false">Fixed_Assets!T35</f>
        <v>259860.638888889</v>
      </c>
      <c r="U15" s="58" t="n">
        <f aca="false">Fixed_Assets!U35</f>
        <v>247413.541666667</v>
      </c>
      <c r="V15" s="58" t="n">
        <f aca="false">Fixed_Assets!V35</f>
        <v>234940.569444444</v>
      </c>
      <c r="W15" s="58" t="n">
        <f aca="false">Fixed_Assets!W35</f>
        <v>222441.722222222</v>
      </c>
      <c r="X15" s="58" t="n">
        <f aca="false">Fixed_Assets!X35</f>
        <v>209917</v>
      </c>
      <c r="Y15" s="58" t="n">
        <f aca="false">Fixed_Assets!Y35</f>
        <v>199555.291666667</v>
      </c>
      <c r="Z15" s="58" t="n">
        <f aca="false">Fixed_Assets!Z35</f>
        <v>189259.375</v>
      </c>
      <c r="AA15" s="58" t="n">
        <f aca="false">Fixed_Assets!AA35</f>
        <v>178937.583333333</v>
      </c>
      <c r="AB15" s="58" t="n">
        <f aca="false">Fixed_Assets!AB35</f>
        <v>168589.916666667</v>
      </c>
    </row>
    <row r="16" customFormat="false" ht="15" hidden="false" customHeight="false" outlineLevel="0" collapsed="false">
      <c r="A16" s="67" t="s">
        <v>392</v>
      </c>
      <c r="B16" s="68"/>
      <c r="C16" s="69" t="n">
        <f aca="false">P16</f>
        <v>2869710.88739922</v>
      </c>
      <c r="D16" s="69" t="n">
        <f aca="false">AB16</f>
        <v>2708036.85766232</v>
      </c>
      <c r="E16" s="69" t="n">
        <f aca="false">SUM(E9:E15)</f>
        <v>2183345.05257704</v>
      </c>
      <c r="F16" s="69" t="n">
        <f aca="false">SUM(F9:F15)</f>
        <v>2129025.01346813</v>
      </c>
      <c r="G16" s="69" t="n">
        <f aca="false">SUM(G9:G15)</f>
        <v>2069920.73573583</v>
      </c>
      <c r="H16" s="69" t="n">
        <f aca="false">SUM(H9:H15)</f>
        <v>1999502.6966872</v>
      </c>
      <c r="I16" s="69" t="n">
        <f aca="false">SUM(I9:I15)</f>
        <v>1963923.27426722</v>
      </c>
      <c r="J16" s="69" t="n">
        <f aca="false">SUM(J9:J15)</f>
        <v>2067832.61654242</v>
      </c>
      <c r="K16" s="69" t="n">
        <f aca="false">SUM(K9:K15)</f>
        <v>2338277.50105008</v>
      </c>
      <c r="L16" s="69" t="n">
        <f aca="false">SUM(L9:L15)</f>
        <v>2563956.01014441</v>
      </c>
      <c r="M16" s="69" t="n">
        <f aca="false">SUM(M9:M15)</f>
        <v>2705479.63643933</v>
      </c>
      <c r="N16" s="69" t="n">
        <f aca="false">SUM(N9:N15)</f>
        <v>2846541.24931305</v>
      </c>
      <c r="O16" s="69" t="n">
        <f aca="false">SUM(O9:O15)</f>
        <v>2847528.53402561</v>
      </c>
      <c r="P16" s="69" t="n">
        <f aca="false">SUM(P9:P15)</f>
        <v>2869710.88739922</v>
      </c>
      <c r="Q16" s="69" t="n">
        <f aca="false">SUM(Q9:Q15)</f>
        <v>2747744.29772384</v>
      </c>
      <c r="R16" s="69" t="n">
        <f aca="false">SUM(R9:R15)</f>
        <v>2624036.79262273</v>
      </c>
      <c r="S16" s="69" t="n">
        <f aca="false">SUM(S9:S15)</f>
        <v>2487906.5892595</v>
      </c>
      <c r="T16" s="69" t="n">
        <f aca="false">SUM(T9:T15)</f>
        <v>2514086.85082736</v>
      </c>
      <c r="U16" s="69" t="n">
        <f aca="false">SUM(U9:U15)</f>
        <v>2623747.08042664</v>
      </c>
      <c r="V16" s="69" t="n">
        <f aca="false">SUM(V9:V15)</f>
        <v>2802460.34323284</v>
      </c>
      <c r="W16" s="69" t="n">
        <f aca="false">SUM(W9:W15)</f>
        <v>2919727.12957621</v>
      </c>
      <c r="X16" s="69" t="n">
        <f aca="false">SUM(X9:X15)</f>
        <v>2977665.46454693</v>
      </c>
      <c r="Y16" s="69" t="n">
        <f aca="false">SUM(Y9:Y15)</f>
        <v>2914735.10322559</v>
      </c>
      <c r="Z16" s="69" t="n">
        <f aca="false">SUM(Z9:Z15)</f>
        <v>2878496.48074543</v>
      </c>
      <c r="AA16" s="69" t="n">
        <f aca="false">SUM(AA9:AA15)</f>
        <v>2750615.60263303</v>
      </c>
      <c r="AB16" s="69" t="n">
        <f aca="false">SUM(AB9:AB15)</f>
        <v>2708036.85766232</v>
      </c>
    </row>
    <row r="17" customFormat="false" ht="15" hidden="false" customHeight="false" outlineLevel="0" collapsed="false">
      <c r="A17" s="21" t="s">
        <v>393</v>
      </c>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row>
    <row r="18" customFormat="false" ht="15" hidden="false" customHeight="false" outlineLevel="0" collapsed="false">
      <c r="A18" s="27" t="s">
        <v>394</v>
      </c>
      <c r="B18" s="56" t="s">
        <v>65</v>
      </c>
      <c r="C18" s="57" t="n">
        <f aca="false">P18</f>
        <v>376097.787365075</v>
      </c>
      <c r="D18" s="57" t="n">
        <f aca="false">AB18</f>
        <v>291880.857202905</v>
      </c>
      <c r="E18" s="58" t="n">
        <f aca="false">Payables!E14</f>
        <v>252395.4585</v>
      </c>
      <c r="F18" s="58" t="n">
        <f aca="false">Payables!F14</f>
        <v>218548.6225</v>
      </c>
      <c r="G18" s="58" t="n">
        <f aca="false">Payables!G14</f>
        <v>180318.2245</v>
      </c>
      <c r="H18" s="58" t="n">
        <f aca="false">Payables!H14</f>
        <v>158742.0755</v>
      </c>
      <c r="I18" s="58" t="n">
        <f aca="false">Payables!I14</f>
        <v>174451.557</v>
      </c>
      <c r="J18" s="58" t="n">
        <f aca="false">Payables!J14</f>
        <v>229204.573</v>
      </c>
      <c r="K18" s="58" t="n">
        <f aca="false">Payables!K14</f>
        <v>336942.863</v>
      </c>
      <c r="L18" s="58" t="n">
        <f aca="false">Payables!L14</f>
        <v>405551.8435</v>
      </c>
      <c r="M18" s="58" t="n">
        <f aca="false">Payables!M14</f>
        <v>424201.605049898</v>
      </c>
      <c r="N18" s="58" t="n">
        <f aca="false">Payables!N14</f>
        <v>429265.407999561</v>
      </c>
      <c r="O18" s="58" t="n">
        <f aca="false">Payables!O14</f>
        <v>401333.568604503</v>
      </c>
      <c r="P18" s="58" t="n">
        <f aca="false">Payables!P14</f>
        <v>376097.787365075</v>
      </c>
      <c r="Q18" s="58" t="n">
        <f aca="false">Payables!Q14</f>
        <v>330962.344005828</v>
      </c>
      <c r="R18" s="58" t="n">
        <f aca="false">Payables!R14</f>
        <v>260768.755327567</v>
      </c>
      <c r="S18" s="58" t="n">
        <f aca="false">Payables!S14</f>
        <v>239722.828056388</v>
      </c>
      <c r="T18" s="58" t="n">
        <f aca="false">Payables!T14</f>
        <v>270480.381871575</v>
      </c>
      <c r="U18" s="58" t="n">
        <f aca="false">Payables!U14</f>
        <v>334893.19167928</v>
      </c>
      <c r="V18" s="58" t="n">
        <f aca="false">Payables!V14</f>
        <v>375050.676002867</v>
      </c>
      <c r="W18" s="58" t="n">
        <f aca="false">Payables!W14</f>
        <v>394309.025595455</v>
      </c>
      <c r="X18" s="58" t="n">
        <f aca="false">Payables!X14</f>
        <v>380268.290478718</v>
      </c>
      <c r="Y18" s="58" t="n">
        <f aca="false">Payables!Y14</f>
        <v>337018.140211633</v>
      </c>
      <c r="Z18" s="58" t="n">
        <f aca="false">Payables!Z14</f>
        <v>309925.234879269</v>
      </c>
      <c r="AA18" s="58" t="n">
        <f aca="false">Payables!AA14</f>
        <v>277464.863809414</v>
      </c>
      <c r="AB18" s="58" t="n">
        <f aca="false">Payables!AB14</f>
        <v>291880.857202905</v>
      </c>
    </row>
    <row r="19" customFormat="false" ht="15" hidden="false" customHeight="false" outlineLevel="0" collapsed="false">
      <c r="A19" s="27" t="s">
        <v>395</v>
      </c>
      <c r="B19" s="56" t="s">
        <v>46</v>
      </c>
      <c r="C19" s="57" t="n">
        <f aca="false">P19</f>
        <v>101607.393348179</v>
      </c>
      <c r="D19" s="57" t="n">
        <f aca="false">AB19</f>
        <v>93286.5735154373</v>
      </c>
      <c r="E19" s="58" t="n">
        <f aca="false">WIP!E709</f>
        <v>35307.1965</v>
      </c>
      <c r="F19" s="58" t="n">
        <f aca="false">WIP!F709</f>
        <v>42257.5025</v>
      </c>
      <c r="G19" s="58" t="n">
        <f aca="false">WIP!G709</f>
        <v>46736.3405</v>
      </c>
      <c r="H19" s="58" t="n">
        <f aca="false">WIP!H709</f>
        <v>39731.0295</v>
      </c>
      <c r="I19" s="58" t="n">
        <f aca="false">WIP!I709</f>
        <v>30987.578</v>
      </c>
      <c r="J19" s="58" t="n">
        <f aca="false">WIP!J709</f>
        <v>38466.992</v>
      </c>
      <c r="K19" s="58" t="n">
        <f aca="false">WIP!K709</f>
        <v>49491.122</v>
      </c>
      <c r="L19" s="58" t="n">
        <f aca="false">WIP!L709</f>
        <v>61484.1515</v>
      </c>
      <c r="M19" s="58" t="n">
        <f aca="false">WIP!M709</f>
        <v>76097.2131726863</v>
      </c>
      <c r="N19" s="58" t="n">
        <f aca="false">WIP!N709</f>
        <v>90951.2486680909</v>
      </c>
      <c r="O19" s="58" t="n">
        <f aca="false">WIP!O709</f>
        <v>104472.860599613</v>
      </c>
      <c r="P19" s="58" t="n">
        <f aca="false">WIP!P709</f>
        <v>101607.393348179</v>
      </c>
      <c r="Q19" s="58" t="n">
        <f aca="false">WIP!Q709</f>
        <v>108063.131794136</v>
      </c>
      <c r="R19" s="58" t="n">
        <f aca="false">WIP!R709</f>
        <v>115726.718525833</v>
      </c>
      <c r="S19" s="58" t="n">
        <f aca="false">WIP!S709</f>
        <v>94680.1895680864</v>
      </c>
      <c r="T19" s="58" t="n">
        <f aca="false">WIP!T709</f>
        <v>80100.7155804321</v>
      </c>
      <c r="U19" s="58" t="n">
        <f aca="false">WIP!U709</f>
        <v>76897.0374075926</v>
      </c>
      <c r="V19" s="58" t="n">
        <f aca="false">WIP!V709</f>
        <v>88737.4215125309</v>
      </c>
      <c r="W19" s="58" t="n">
        <f aca="false">WIP!W709</f>
        <v>101166.22135821</v>
      </c>
      <c r="X19" s="58" t="n">
        <f aca="false">WIP!X709</f>
        <v>112760.341671441</v>
      </c>
      <c r="Y19" s="58" t="n">
        <f aca="false">WIP!Y709</f>
        <v>122204.41953258</v>
      </c>
      <c r="Z19" s="58" t="n">
        <f aca="false">WIP!Z709</f>
        <v>118697.83578531</v>
      </c>
      <c r="AA19" s="58" t="n">
        <f aca="false">WIP!AA709</f>
        <v>123508.979794729</v>
      </c>
      <c r="AB19" s="58" t="n">
        <f aca="false">WIP!AB709</f>
        <v>93286.5735154373</v>
      </c>
    </row>
    <row r="20" customFormat="false" ht="15" hidden="false" customHeight="false" outlineLevel="0" collapsed="false">
      <c r="A20" s="27" t="s">
        <v>396</v>
      </c>
      <c r="B20" s="56" t="s">
        <v>65</v>
      </c>
      <c r="C20" s="57" t="n">
        <f aca="false">P20</f>
        <v>371685.894267101</v>
      </c>
      <c r="D20" s="57" t="n">
        <f aca="false">AB20</f>
        <v>292584.499599649</v>
      </c>
      <c r="E20" s="58" t="n">
        <f aca="false">Payables!E21</f>
        <v>218555.8369</v>
      </c>
      <c r="F20" s="58" t="n">
        <f aca="false">Payables!F21</f>
        <v>214146.3441</v>
      </c>
      <c r="G20" s="58" t="n">
        <f aca="false">Payables!G21</f>
        <v>210234.8021</v>
      </c>
      <c r="H20" s="58" t="n">
        <f aca="false">Payables!H21</f>
        <v>179830.1234</v>
      </c>
      <c r="I20" s="58" t="n">
        <f aca="false">Payables!I21</f>
        <v>189119.496</v>
      </c>
      <c r="J20" s="58" t="n">
        <f aca="false">Payables!J21</f>
        <v>261846.9917</v>
      </c>
      <c r="K20" s="58" t="n">
        <f aca="false">Payables!K21</f>
        <v>362464.743</v>
      </c>
      <c r="L20" s="58" t="n">
        <f aca="false">Payables!L21</f>
        <v>400005.8374</v>
      </c>
      <c r="M20" s="58" t="n">
        <f aca="false">Payables!M21</f>
        <v>413888.683650169</v>
      </c>
      <c r="N20" s="58" t="n">
        <f aca="false">Payables!N21</f>
        <v>425911.443048801</v>
      </c>
      <c r="O20" s="58" t="n">
        <f aca="false">Payables!O21</f>
        <v>405840.459104938</v>
      </c>
      <c r="P20" s="58" t="n">
        <f aca="false">Payables!P21</f>
        <v>371685.894267101</v>
      </c>
      <c r="Q20" s="58" t="n">
        <f aca="false">Payables!Q21</f>
        <v>337796.202566006</v>
      </c>
      <c r="R20" s="58" t="n">
        <f aca="false">Payables!R21</f>
        <v>289695.193797773</v>
      </c>
      <c r="S20" s="58" t="n">
        <f aca="false">Payables!S21</f>
        <v>247050.987288153</v>
      </c>
      <c r="T20" s="58" t="n">
        <f aca="false">Payables!T21</f>
        <v>258982.312971211</v>
      </c>
      <c r="U20" s="58" t="n">
        <f aca="false">Payables!U21</f>
        <v>316739.30313662</v>
      </c>
      <c r="V20" s="58" t="n">
        <f aca="false">Payables!V21</f>
        <v>371221.890274912</v>
      </c>
      <c r="W20" s="58" t="n">
        <f aca="false">Payables!W21</f>
        <v>398121.278168341</v>
      </c>
      <c r="X20" s="58" t="n">
        <f aca="false">Payables!X21</f>
        <v>394301.986538776</v>
      </c>
      <c r="Y20" s="58" t="n">
        <f aca="false">Payables!Y21</f>
        <v>365391.428947508</v>
      </c>
      <c r="Z20" s="58" t="n">
        <f aca="false">Payables!Z21</f>
        <v>333895.459028342</v>
      </c>
      <c r="AA20" s="58" t="n">
        <f aca="false">Payables!AA21</f>
        <v>311848.600379158</v>
      </c>
      <c r="AB20" s="58" t="n">
        <f aca="false">Payables!AB21</f>
        <v>292584.499599649</v>
      </c>
    </row>
    <row r="21" customFormat="false" ht="15" hidden="false" customHeight="false" outlineLevel="0" collapsed="false">
      <c r="A21" s="27" t="s">
        <v>397</v>
      </c>
      <c r="B21" s="56" t="s">
        <v>65</v>
      </c>
      <c r="C21" s="57" t="n">
        <f aca="false">P21</f>
        <v>87835.1059540364</v>
      </c>
      <c r="D21" s="57" t="n">
        <f aca="false">AB21</f>
        <v>67015.9011329958</v>
      </c>
      <c r="E21" s="58" t="n">
        <f aca="false">Payables!E26</f>
        <v>61614.4819</v>
      </c>
      <c r="F21" s="58" t="n">
        <f aca="false">Payables!F26</f>
        <v>48915.2997</v>
      </c>
      <c r="G21" s="58" t="n">
        <f aca="false">Payables!G26</f>
        <v>42861.8215</v>
      </c>
      <c r="H21" s="58" t="n">
        <f aca="false">Payables!H26</f>
        <v>39095.4823</v>
      </c>
      <c r="I21" s="58" t="n">
        <f aca="false">Payables!I26</f>
        <v>51569.1803</v>
      </c>
      <c r="J21" s="58" t="n">
        <f aca="false">Payables!J26</f>
        <v>73416.6069</v>
      </c>
      <c r="K21" s="58" t="n">
        <f aca="false">Payables!K26</f>
        <v>76893.3621</v>
      </c>
      <c r="L21" s="58" t="n">
        <f aca="false">Payables!L26</f>
        <v>104898.6373</v>
      </c>
      <c r="M21" s="58" t="n">
        <f aca="false">Payables!M26</f>
        <v>105265.00888457</v>
      </c>
      <c r="N21" s="58" t="n">
        <f aca="false">Payables!N26</f>
        <v>104026.632737275</v>
      </c>
      <c r="O21" s="58" t="n">
        <f aca="false">Payables!O26</f>
        <v>97039.2701897786</v>
      </c>
      <c r="P21" s="58" t="n">
        <f aca="false">Payables!P26</f>
        <v>87835.1059540364</v>
      </c>
      <c r="Q21" s="58" t="n">
        <f aca="false">Payables!Q26</f>
        <v>80455.670064581</v>
      </c>
      <c r="R21" s="58" t="n">
        <f aca="false">Payables!R26</f>
        <v>66517.0080683851</v>
      </c>
      <c r="S21" s="58" t="n">
        <f aca="false">Payables!S26</f>
        <v>56339.2316702656</v>
      </c>
      <c r="T21" s="58" t="n">
        <f aca="false">Payables!T26</f>
        <v>63938.3989971462</v>
      </c>
      <c r="U21" s="58" t="n">
        <f aca="false">Payables!U26</f>
        <v>80572.7674752219</v>
      </c>
      <c r="V21" s="58" t="n">
        <f aca="false">Payables!V26</f>
        <v>91868.487443648</v>
      </c>
      <c r="W21" s="58" t="n">
        <f aca="false">Payables!W26</f>
        <v>95710.7097580614</v>
      </c>
      <c r="X21" s="58" t="n">
        <f aca="false">Payables!X26</f>
        <v>92001.3891681198</v>
      </c>
      <c r="Y21" s="58" t="n">
        <f aca="false">Payables!Y26</f>
        <v>82829.6627962928</v>
      </c>
      <c r="Z21" s="58" t="n">
        <f aca="false">Payables!Z26</f>
        <v>75622.1137828202</v>
      </c>
      <c r="AA21" s="58" t="n">
        <f aca="false">Payables!AA26</f>
        <v>71493.7098578387</v>
      </c>
      <c r="AB21" s="58" t="n">
        <f aca="false">Payables!AB26</f>
        <v>67015.9011329958</v>
      </c>
    </row>
    <row r="22" customFormat="false" ht="15" hidden="false" customHeight="false" outlineLevel="0" collapsed="false">
      <c r="A22" s="27" t="s">
        <v>398</v>
      </c>
      <c r="B22" s="56" t="s">
        <v>65</v>
      </c>
      <c r="C22" s="57" t="n">
        <f aca="false">P22</f>
        <v>50106.3114666667</v>
      </c>
      <c r="D22" s="57" t="n">
        <f aca="false">AB22</f>
        <v>51425.856368</v>
      </c>
      <c r="E22" s="58" t="n">
        <f aca="false">Payables!E31</f>
        <v>51160.6212666667</v>
      </c>
      <c r="F22" s="58" t="n">
        <f aca="false">Payables!F31</f>
        <v>43646.2394666667</v>
      </c>
      <c r="G22" s="58" t="n">
        <f aca="false">Payables!G31</f>
        <v>51745.4982666667</v>
      </c>
      <c r="H22" s="58" t="n">
        <f aca="false">Payables!H31</f>
        <v>52506.7116</v>
      </c>
      <c r="I22" s="58" t="n">
        <f aca="false">Payables!I31</f>
        <v>52841.7108666667</v>
      </c>
      <c r="J22" s="58" t="n">
        <f aca="false">Payables!J31</f>
        <v>46566.5087333334</v>
      </c>
      <c r="K22" s="58" t="n">
        <f aca="false">Payables!K31</f>
        <v>57268.9238</v>
      </c>
      <c r="L22" s="58" t="n">
        <f aca="false">Payables!L31</f>
        <v>56433.5188666667</v>
      </c>
      <c r="M22" s="58" t="n">
        <f aca="false">Payables!M31</f>
        <v>89007.3440896909</v>
      </c>
      <c r="N22" s="58" t="n">
        <f aca="false">Payables!N31</f>
        <v>84158.4726052307</v>
      </c>
      <c r="O22" s="58" t="n">
        <f aca="false">Payables!O31</f>
        <v>58994.1922257229</v>
      </c>
      <c r="P22" s="58" t="n">
        <f aca="false">Payables!P31</f>
        <v>50106.3114666667</v>
      </c>
      <c r="Q22" s="58" t="n">
        <f aca="false">Payables!Q31</f>
        <v>51867.1897013333</v>
      </c>
      <c r="R22" s="58" t="n">
        <f aca="false">Payables!R31</f>
        <v>51867.1897013333</v>
      </c>
      <c r="S22" s="58" t="n">
        <f aca="false">Payables!S31</f>
        <v>51667.7230346667</v>
      </c>
      <c r="T22" s="58" t="n">
        <f aca="false">Payables!T31</f>
        <v>51557.856368</v>
      </c>
      <c r="U22" s="58" t="n">
        <f aca="false">Payables!U31</f>
        <v>51577.056368</v>
      </c>
      <c r="V22" s="58" t="n">
        <f aca="false">Payables!V31</f>
        <v>51577.056368</v>
      </c>
      <c r="W22" s="58" t="n">
        <f aca="false">Payables!W31</f>
        <v>51618.016368</v>
      </c>
      <c r="X22" s="58" t="n">
        <f aca="false">Payables!X31</f>
        <v>51652.576368</v>
      </c>
      <c r="Y22" s="58" t="n">
        <f aca="false">Payables!Y31</f>
        <v>51743.456368</v>
      </c>
      <c r="Z22" s="58" t="n">
        <f aca="false">Payables!Z31</f>
        <v>51632.7897013333</v>
      </c>
      <c r="AA22" s="58" t="n">
        <f aca="false">Payables!AA31</f>
        <v>51613.5897013333</v>
      </c>
      <c r="AB22" s="58" t="n">
        <f aca="false">Payables!AB31</f>
        <v>51425.856368</v>
      </c>
    </row>
    <row r="23" customFormat="false" ht="15" hidden="false" customHeight="false" outlineLevel="0" collapsed="false">
      <c r="A23" s="27" t="s">
        <v>399</v>
      </c>
      <c r="B23" s="56" t="s">
        <v>67</v>
      </c>
      <c r="C23" s="57" t="n">
        <f aca="false">P23</f>
        <v>13118.4399298022</v>
      </c>
      <c r="D23" s="57" t="n">
        <f aca="false">AB23</f>
        <v>9075.5790694864</v>
      </c>
      <c r="E23" s="58" t="n">
        <f aca="false">VAT_RCT!E33</f>
        <v>6029.18552</v>
      </c>
      <c r="F23" s="58" t="n">
        <f aca="false">VAT_RCT!F33</f>
        <v>8282.06557</v>
      </c>
      <c r="G23" s="58" t="n">
        <f aca="false">VAT_RCT!G33</f>
        <v>7034.10478</v>
      </c>
      <c r="H23" s="58" t="n">
        <f aca="false">VAT_RCT!H33</f>
        <v>6026.11045</v>
      </c>
      <c r="I23" s="58" t="n">
        <f aca="false">VAT_RCT!I33</f>
        <v>5720.14265</v>
      </c>
      <c r="J23" s="58" t="n">
        <f aca="false">VAT_RCT!J33</f>
        <v>6221.81048</v>
      </c>
      <c r="K23" s="58" t="n">
        <f aca="false">VAT_RCT!K33</f>
        <v>7168.54909</v>
      </c>
      <c r="L23" s="58" t="n">
        <f aca="false">VAT_RCT!L33</f>
        <v>9652.50228</v>
      </c>
      <c r="M23" s="58" t="n">
        <f aca="false">VAT_RCT!M33</f>
        <v>13379.9469350333</v>
      </c>
      <c r="N23" s="58" t="n">
        <f aca="false">VAT_RCT!N33</f>
        <v>13819.4609718623</v>
      </c>
      <c r="O23" s="58" t="n">
        <f aca="false">VAT_RCT!O33</f>
        <v>14015.2438718505</v>
      </c>
      <c r="P23" s="58" t="n">
        <f aca="false">VAT_RCT!P33</f>
        <v>13118.4399298022</v>
      </c>
      <c r="Q23" s="58" t="n">
        <f aca="false">VAT_RCT!Q33</f>
        <v>12290.9893293153</v>
      </c>
      <c r="R23" s="58" t="n">
        <f aca="false">VAT_RCT!R33</f>
        <v>10829.4763382125</v>
      </c>
      <c r="S23" s="58" t="n">
        <f aca="false">VAT_RCT!S33</f>
        <v>8550.80213950438</v>
      </c>
      <c r="T23" s="58" t="n">
        <f aca="false">VAT_RCT!T33</f>
        <v>7833.46426069023</v>
      </c>
      <c r="U23" s="58" t="n">
        <f aca="false">VAT_RCT!U33</f>
        <v>8811.57496233464</v>
      </c>
      <c r="V23" s="58" t="n">
        <f aca="false">VAT_RCT!V33</f>
        <v>10898.4015687707</v>
      </c>
      <c r="W23" s="58" t="n">
        <f aca="false">VAT_RCT!W33</f>
        <v>12225.6445469403</v>
      </c>
      <c r="X23" s="58" t="n">
        <f aca="false">VAT_RCT!X33</f>
        <v>12864.3401494497</v>
      </c>
      <c r="Y23" s="58" t="n">
        <f aca="false">VAT_RCT!Y33</f>
        <v>12423.9490210285</v>
      </c>
      <c r="Z23" s="58" t="n">
        <f aca="false">VAT_RCT!Z33</f>
        <v>11026.5120596776</v>
      </c>
      <c r="AA23" s="58" t="n">
        <f aca="false">VAT_RCT!AA33</f>
        <v>10130.6904155489</v>
      </c>
      <c r="AB23" s="58" t="n">
        <f aca="false">VAT_RCT!AB33</f>
        <v>9075.5790694864</v>
      </c>
    </row>
    <row r="24" customFormat="false" ht="15" hidden="false" customHeight="false" outlineLevel="0" collapsed="false">
      <c r="A24" s="27" t="s">
        <v>400</v>
      </c>
      <c r="B24" s="56" t="s">
        <v>71</v>
      </c>
      <c r="C24" s="57" t="n">
        <f aca="false">P24</f>
        <v>66114.6</v>
      </c>
      <c r="D24" s="57" t="n">
        <f aca="false">AB24</f>
        <v>76289.643</v>
      </c>
      <c r="E24" s="58" t="n">
        <f aca="false">Overheads!E54</f>
        <v>58044.9275</v>
      </c>
      <c r="F24" s="58" t="n">
        <f aca="false">Overheads!F54</f>
        <v>57708.035</v>
      </c>
      <c r="G24" s="58" t="n">
        <f aca="false">Overheads!G54</f>
        <v>57462.9125</v>
      </c>
      <c r="H24" s="58" t="n">
        <f aca="false">Overheads!H54</f>
        <v>55481.405</v>
      </c>
      <c r="I24" s="58" t="n">
        <f aca="false">Overheads!I54</f>
        <v>55407.7475</v>
      </c>
      <c r="J24" s="58" t="n">
        <f aca="false">Overheads!J54</f>
        <v>59364.725</v>
      </c>
      <c r="K24" s="58" t="n">
        <f aca="false">Overheads!K54</f>
        <v>62800.465</v>
      </c>
      <c r="L24" s="58" t="n">
        <f aca="false">Overheads!L54</f>
        <v>61120.43</v>
      </c>
      <c r="M24" s="58" t="n">
        <f aca="false">Overheads!M54</f>
        <v>61200.125</v>
      </c>
      <c r="N24" s="58" t="n">
        <f aca="false">Overheads!N54</f>
        <v>61428.2</v>
      </c>
      <c r="O24" s="58" t="n">
        <f aca="false">Overheads!O54</f>
        <v>66114.6</v>
      </c>
      <c r="P24" s="58" t="n">
        <f aca="false">Overheads!P54</f>
        <v>66114.6</v>
      </c>
      <c r="Q24" s="58" t="n">
        <f aca="false">Overheads!Q54</f>
        <v>71021.079</v>
      </c>
      <c r="R24" s="58" t="n">
        <f aca="false">Overheads!R54</f>
        <v>72714.546</v>
      </c>
      <c r="S24" s="58" t="n">
        <f aca="false">Overheads!S54</f>
        <v>74073.501</v>
      </c>
      <c r="T24" s="58" t="n">
        <f aca="false">Overheads!T54</f>
        <v>76289.643</v>
      </c>
      <c r="U24" s="58" t="n">
        <f aca="false">Overheads!U54</f>
        <v>76289.643</v>
      </c>
      <c r="V24" s="58" t="n">
        <f aca="false">Overheads!V54</f>
        <v>76289.643</v>
      </c>
      <c r="W24" s="58" t="n">
        <f aca="false">Overheads!W54</f>
        <v>76289.643</v>
      </c>
      <c r="X24" s="58" t="n">
        <f aca="false">Overheads!X54</f>
        <v>76289.643</v>
      </c>
      <c r="Y24" s="58" t="n">
        <f aca="false">Overheads!Y54</f>
        <v>76289.643</v>
      </c>
      <c r="Z24" s="58" t="n">
        <f aca="false">Overheads!Z54</f>
        <v>76289.643</v>
      </c>
      <c r="AA24" s="58" t="n">
        <f aca="false">Overheads!AA54</f>
        <v>76289.643</v>
      </c>
      <c r="AB24" s="58" t="n">
        <f aca="false">Overheads!AB54</f>
        <v>76289.643</v>
      </c>
    </row>
    <row r="25" customFormat="false" ht="15" hidden="false" customHeight="false" outlineLevel="0" collapsed="false">
      <c r="A25" s="27" t="s">
        <v>401</v>
      </c>
      <c r="B25" s="56" t="s">
        <v>67</v>
      </c>
      <c r="C25" s="57" t="n">
        <f aca="false">P25</f>
        <v>90920.6641115637</v>
      </c>
      <c r="D25" s="57" t="n">
        <f aca="false">AB25</f>
        <v>47491.9467275102</v>
      </c>
      <c r="E25" s="58" t="n">
        <f aca="false">VAT_RCT!E28</f>
        <v>11889.9569539097</v>
      </c>
      <c r="F25" s="58" t="n">
        <f aca="false">VAT_RCT!F28</f>
        <v>23131.9689843723</v>
      </c>
      <c r="G25" s="58" t="n">
        <f aca="false">VAT_RCT!G28</f>
        <v>16575.7428130947</v>
      </c>
      <c r="H25" s="58" t="n">
        <f aca="false">VAT_RCT!H28</f>
        <v>24543.1004352423</v>
      </c>
      <c r="I25" s="58" t="n">
        <f aca="false">VAT_RCT!I28</f>
        <v>15908.2321221145</v>
      </c>
      <c r="J25" s="58" t="n">
        <f aca="false">VAT_RCT!J28</f>
        <v>22020.5873839648</v>
      </c>
      <c r="K25" s="58" t="n">
        <f aca="false">VAT_RCT!K28</f>
        <v>7038.79137736785</v>
      </c>
      <c r="L25" s="58" t="n">
        <f aca="false">VAT_RCT!L28</f>
        <v>24951.0953312379</v>
      </c>
      <c r="M25" s="58" t="n">
        <f aca="false">VAT_RCT!M28</f>
        <v>8809.28448335364</v>
      </c>
      <c r="N25" s="58" t="n">
        <f aca="false">VAT_RCT!N28</f>
        <v>36632.790153109</v>
      </c>
      <c r="O25" s="58" t="n">
        <f aca="false">VAT_RCT!O28</f>
        <v>44187.2662098124</v>
      </c>
      <c r="P25" s="58" t="n">
        <f aca="false">VAT_RCT!P28</f>
        <v>90920.6641115637</v>
      </c>
      <c r="Q25" s="58" t="n">
        <f aca="false">VAT_RCT!Q28</f>
        <v>33609.4330488886</v>
      </c>
      <c r="R25" s="58" t="n">
        <f aca="false">VAT_RCT!R28</f>
        <v>73303.9594735649</v>
      </c>
      <c r="S25" s="58" t="n">
        <f aca="false">VAT_RCT!S28</f>
        <v>22495.3412525763</v>
      </c>
      <c r="T25" s="58" t="n">
        <f aca="false">VAT_RCT!T28</f>
        <v>48385.9085360924</v>
      </c>
      <c r="U25" s="58" t="n">
        <f aca="false">VAT_RCT!U28</f>
        <v>7371.85520663789</v>
      </c>
      <c r="V25" s="58" t="n">
        <f aca="false">VAT_RCT!V28</f>
        <v>19731.6661888641</v>
      </c>
      <c r="W25" s="58" t="n">
        <f aca="false">VAT_RCT!W28</f>
        <v>17637.2674498884</v>
      </c>
      <c r="X25" s="58" t="n">
        <f aca="false">VAT_RCT!X28</f>
        <v>39913.9412741087</v>
      </c>
      <c r="Y25" s="58" t="n">
        <f aca="false">VAT_RCT!Y28</f>
        <v>25843.6541181644</v>
      </c>
      <c r="Z25" s="58" t="n">
        <f aca="false">VAT_RCT!Z28</f>
        <v>52834.7997492946</v>
      </c>
      <c r="AA25" s="58" t="n">
        <f aca="false">VAT_RCT!AA28</f>
        <v>21226.8889550031</v>
      </c>
      <c r="AB25" s="58" t="n">
        <f aca="false">VAT_RCT!AB28</f>
        <v>47491.9467275102</v>
      </c>
    </row>
    <row r="26" customFormat="false" ht="15" hidden="false" customHeight="false" outlineLevel="0" collapsed="false">
      <c r="A26" s="27" t="s">
        <v>402</v>
      </c>
      <c r="B26" s="56" t="s">
        <v>388</v>
      </c>
      <c r="C26" s="57" t="n">
        <f aca="false">P26</f>
        <v>15852.8193238862</v>
      </c>
      <c r="D26" s="57" t="n">
        <f aca="false">AB26</f>
        <v>17089.6493217856</v>
      </c>
      <c r="E26" s="58" t="n">
        <f aca="false">WIP!E705+Residential!E77</f>
        <v>10253.0496475771</v>
      </c>
      <c r="F26" s="58" t="n">
        <f aca="false">WIP!F705+Residential!F77</f>
        <v>8372.06220264318</v>
      </c>
      <c r="G26" s="58" t="n">
        <f aca="false">WIP!G705+Residential!G77</f>
        <v>31722.0289427313</v>
      </c>
      <c r="H26" s="58" t="n">
        <f aca="false">WIP!H705+Residential!H77</f>
        <v>26609.7097797357</v>
      </c>
      <c r="I26" s="58" t="n">
        <f aca="false">WIP!I705+Residential!I77</f>
        <v>41449.5255506608</v>
      </c>
      <c r="J26" s="58" t="n">
        <f aca="false">WIP!J705+Residential!J77</f>
        <v>29520.5865638766</v>
      </c>
      <c r="K26" s="58" t="n">
        <f aca="false">WIP!K705+Residential!K77</f>
        <v>32274.7606167401</v>
      </c>
      <c r="L26" s="58" t="n">
        <f aca="false">WIP!L705+Residential!L77</f>
        <v>16024.0936123348</v>
      </c>
      <c r="M26" s="58" t="n">
        <f aca="false">WIP!M705+Residential!M77</f>
        <v>18614.1721613382</v>
      </c>
      <c r="N26" s="58" t="n">
        <f aca="false">WIP!N705+Residential!N77</f>
        <v>17237.1158440268</v>
      </c>
      <c r="O26" s="58" t="n">
        <f aca="false">WIP!O705+Residential!O77</f>
        <v>21408.2918765969</v>
      </c>
      <c r="P26" s="58" t="n">
        <f aca="false">WIP!P705+Residential!P77</f>
        <v>15852.8193238862</v>
      </c>
      <c r="Q26" s="58" t="n">
        <f aca="false">WIP!Q705+Residential!Q77</f>
        <v>14133.81880967</v>
      </c>
      <c r="R26" s="58" t="n">
        <f aca="false">WIP!R705+Residential!R77</f>
        <v>12584.2712315387</v>
      </c>
      <c r="S26" s="58" t="n">
        <f aca="false">WIP!S705+Residential!S77</f>
        <v>19730.772010734</v>
      </c>
      <c r="T26" s="58" t="n">
        <f aca="false">WIP!T705+Residential!T77</f>
        <v>27828.420790683</v>
      </c>
      <c r="U26" s="58" t="n">
        <f aca="false">WIP!U705+Residential!U77</f>
        <v>33194.6036623235</v>
      </c>
      <c r="V26" s="58" t="n">
        <f aca="false">WIP!V705+Residential!V77</f>
        <v>33743.9641460604</v>
      </c>
      <c r="W26" s="58" t="n">
        <f aca="false">WIP!W705+Residential!W77</f>
        <v>30018.4890179629</v>
      </c>
      <c r="X26" s="58" t="n">
        <f aca="false">WIP!X705+Residential!X77</f>
        <v>25812.0137483496</v>
      </c>
      <c r="Y26" s="58" t="n">
        <f aca="false">WIP!Y705+Residential!Y77</f>
        <v>24769.7785396851</v>
      </c>
      <c r="Z26" s="58" t="n">
        <f aca="false">WIP!Z705+Residential!Z77</f>
        <v>23970.5267790228</v>
      </c>
      <c r="AA26" s="58" t="n">
        <f aca="false">WIP!AA705+Residential!AA77</f>
        <v>21800.8650644503</v>
      </c>
      <c r="AB26" s="58" t="n">
        <f aca="false">WIP!AB705+Residential!AB77</f>
        <v>17089.6493217856</v>
      </c>
    </row>
    <row r="27" customFormat="false" ht="15" hidden="false" customHeight="false" outlineLevel="0" collapsed="false">
      <c r="A27" s="27" t="s">
        <v>403</v>
      </c>
      <c r="B27" s="56" t="s">
        <v>46</v>
      </c>
      <c r="C27" s="57" t="n">
        <f aca="false">P27</f>
        <v>0</v>
      </c>
      <c r="D27" s="57" t="n">
        <f aca="false">AB27</f>
        <v>0</v>
      </c>
      <c r="E27" s="58" t="n">
        <f aca="false">WIP!E706</f>
        <v>0</v>
      </c>
      <c r="F27" s="58" t="n">
        <f aca="false">WIP!F706</f>
        <v>0</v>
      </c>
      <c r="G27" s="58" t="n">
        <f aca="false">WIP!G706</f>
        <v>0</v>
      </c>
      <c r="H27" s="58" t="n">
        <f aca="false">WIP!H706</f>
        <v>0</v>
      </c>
      <c r="I27" s="58" t="n">
        <f aca="false">WIP!I706</f>
        <v>0</v>
      </c>
      <c r="J27" s="58" t="n">
        <f aca="false">WIP!J706</f>
        <v>0</v>
      </c>
      <c r="K27" s="58" t="n">
        <f aca="false">WIP!K706</f>
        <v>0</v>
      </c>
      <c r="L27" s="58" t="n">
        <f aca="false">WIP!L706</f>
        <v>0</v>
      </c>
      <c r="M27" s="58" t="n">
        <f aca="false">WIP!M706</f>
        <v>0</v>
      </c>
      <c r="N27" s="58" t="n">
        <f aca="false">WIP!N706</f>
        <v>0</v>
      </c>
      <c r="O27" s="58" t="n">
        <f aca="false">WIP!O706</f>
        <v>0</v>
      </c>
      <c r="P27" s="58" t="n">
        <f aca="false">WIP!P706</f>
        <v>0</v>
      </c>
      <c r="Q27" s="58" t="n">
        <f aca="false">WIP!Q706</f>
        <v>0</v>
      </c>
      <c r="R27" s="58" t="n">
        <f aca="false">WIP!R706</f>
        <v>0</v>
      </c>
      <c r="S27" s="58" t="n">
        <f aca="false">WIP!S706</f>
        <v>0</v>
      </c>
      <c r="T27" s="58" t="n">
        <f aca="false">WIP!T706</f>
        <v>0</v>
      </c>
      <c r="U27" s="58" t="n">
        <f aca="false">WIP!U706</f>
        <v>0</v>
      </c>
      <c r="V27" s="58" t="n">
        <f aca="false">WIP!V706</f>
        <v>0</v>
      </c>
      <c r="W27" s="58" t="n">
        <f aca="false">WIP!W706</f>
        <v>0</v>
      </c>
      <c r="X27" s="58" t="n">
        <f aca="false">WIP!X706</f>
        <v>0</v>
      </c>
      <c r="Y27" s="58" t="n">
        <f aca="false">WIP!Y706</f>
        <v>0</v>
      </c>
      <c r="Z27" s="58" t="n">
        <f aca="false">WIP!Z706</f>
        <v>0</v>
      </c>
      <c r="AA27" s="58" t="n">
        <f aca="false">WIP!AA706</f>
        <v>0</v>
      </c>
      <c r="AB27" s="58" t="n">
        <f aca="false">WIP!AB706</f>
        <v>0</v>
      </c>
    </row>
    <row r="28" customFormat="false" ht="15" hidden="false" customHeight="false" outlineLevel="0" collapsed="false">
      <c r="A28" s="27" t="s">
        <v>404</v>
      </c>
      <c r="B28" s="56"/>
      <c r="E28" s="58" t="n">
        <f aca="false">Inputs_Actuals!$C$142</f>
        <v>6000</v>
      </c>
      <c r="F28" s="70" t="n">
        <f aca="false">E31</f>
        <v>6663.5539236111</v>
      </c>
      <c r="G28" s="70" t="n">
        <f aca="false">F31</f>
        <v>6000</v>
      </c>
      <c r="H28" s="70" t="n">
        <f aca="false">G31</f>
        <v>6000</v>
      </c>
      <c r="I28" s="70" t="n">
        <f aca="false">H31</f>
        <v>6000</v>
      </c>
      <c r="J28" s="70" t="n">
        <f aca="false">I31</f>
        <v>6000</v>
      </c>
      <c r="K28" s="70" t="n">
        <f aca="false">J31</f>
        <v>6000</v>
      </c>
      <c r="L28" s="70" t="n">
        <f aca="false">K31</f>
        <v>6000</v>
      </c>
      <c r="M28" s="70" t="n">
        <f aca="false">L31</f>
        <v>6000</v>
      </c>
      <c r="N28" s="70" t="n">
        <f aca="false">M31</f>
        <v>3548.71518907386</v>
      </c>
      <c r="O28" s="70" t="n">
        <f aca="false">N31</f>
        <v>15138.2275981368</v>
      </c>
      <c r="P28" s="70" t="n">
        <f aca="false">O31</f>
        <v>-5907.5000196504</v>
      </c>
      <c r="Q28" s="70" t="n">
        <f aca="false">P31</f>
        <v>2451.37064161402</v>
      </c>
      <c r="R28" s="70" t="n">
        <f aca="false">Q31</f>
        <v>4425.67598800971</v>
      </c>
      <c r="S28" s="70" t="n">
        <f aca="false">R31</f>
        <v>2451.37064161402</v>
      </c>
      <c r="T28" s="70" t="n">
        <f aca="false">S31</f>
        <v>2451.37064161402</v>
      </c>
      <c r="U28" s="70" t="n">
        <f aca="false">T31</f>
        <v>2451.37064161402</v>
      </c>
      <c r="V28" s="70" t="n">
        <f aca="false">U31</f>
        <v>2451.37064161402</v>
      </c>
      <c r="W28" s="70" t="n">
        <f aca="false">V31</f>
        <v>2451.37064161402</v>
      </c>
      <c r="X28" s="70" t="n">
        <f aca="false">W31</f>
        <v>4234.13160166889</v>
      </c>
      <c r="Y28" s="70" t="n">
        <f aca="false">X31</f>
        <v>11140.9419562463</v>
      </c>
      <c r="Z28" s="70" t="n">
        <f aca="false">Y31</f>
        <v>12809.0430874257</v>
      </c>
      <c r="AA28" s="70" t="n">
        <f aca="false">Z31</f>
        <v>14617.1643736333</v>
      </c>
      <c r="AB28" s="70" t="n">
        <f aca="false">AA31</f>
        <v>-19687.7123533802</v>
      </c>
    </row>
    <row r="29" customFormat="false" ht="15" hidden="false" customHeight="false" outlineLevel="0" collapsed="false">
      <c r="A29" s="27" t="s">
        <v>405</v>
      </c>
      <c r="B29" s="56" t="s">
        <v>30</v>
      </c>
      <c r="C29" s="57" t="n">
        <f aca="false">SUM(E29:P29)</f>
        <v>34451.370641614</v>
      </c>
      <c r="D29" s="57" t="n">
        <f aca="false">SUM(Q29:AB29)</f>
        <v>12606.5276718584</v>
      </c>
      <c r="E29" s="58" t="n">
        <f aca="false">-PL!E62</f>
        <v>663.553923611096</v>
      </c>
      <c r="F29" s="58" t="n">
        <f aca="false">-PL!F62</f>
        <v>-663.553923611096</v>
      </c>
      <c r="G29" s="58" t="n">
        <f aca="false">-PL!G62</f>
        <v>0</v>
      </c>
      <c r="H29" s="58" t="n">
        <f aca="false">-PL!H62</f>
        <v>0</v>
      </c>
      <c r="I29" s="58" t="n">
        <f aca="false">-PL!I62</f>
        <v>0</v>
      </c>
      <c r="J29" s="58" t="n">
        <f aca="false">-PL!J62</f>
        <v>0</v>
      </c>
      <c r="K29" s="58" t="n">
        <f aca="false">-PL!K62</f>
        <v>0</v>
      </c>
      <c r="L29" s="58" t="n">
        <f aca="false">-PL!L62</f>
        <v>0</v>
      </c>
      <c r="M29" s="58" t="n">
        <f aca="false">-PL!M62</f>
        <v>3548.71518907386</v>
      </c>
      <c r="N29" s="58" t="n">
        <f aca="false">-PL!N62</f>
        <v>11589.512409063</v>
      </c>
      <c r="O29" s="58" t="n">
        <f aca="false">-PL!O62</f>
        <v>10954.2723822128</v>
      </c>
      <c r="P29" s="58" t="n">
        <f aca="false">-PL!P62</f>
        <v>8358.87066126442</v>
      </c>
      <c r="Q29" s="58" t="n">
        <f aca="false">-PL!Q62</f>
        <v>1974.30534639569</v>
      </c>
      <c r="R29" s="58" t="n">
        <f aca="false">-PL!R62</f>
        <v>-1974.30534639569</v>
      </c>
      <c r="S29" s="58" t="n">
        <f aca="false">-PL!S62</f>
        <v>0</v>
      </c>
      <c r="T29" s="58" t="n">
        <f aca="false">-PL!T62</f>
        <v>0</v>
      </c>
      <c r="U29" s="58" t="n">
        <f aca="false">-PL!U62</f>
        <v>0</v>
      </c>
      <c r="V29" s="58" t="n">
        <f aca="false">-PL!V62</f>
        <v>0</v>
      </c>
      <c r="W29" s="58" t="n">
        <f aca="false">-PL!W62</f>
        <v>1782.76096005487</v>
      </c>
      <c r="X29" s="58" t="n">
        <f aca="false">-PL!X62</f>
        <v>6906.81035457746</v>
      </c>
      <c r="Y29" s="58" t="n">
        <f aca="false">-PL!Y62</f>
        <v>4119.47177279336</v>
      </c>
      <c r="Z29" s="58" t="n">
        <f aca="false">-PL!Z62</f>
        <v>1808.12128620759</v>
      </c>
      <c r="AA29" s="58" t="n">
        <f aca="false">-PL!AA62</f>
        <v>146.493914600562</v>
      </c>
      <c r="AB29" s="58" t="n">
        <f aca="false">-PL!AB62</f>
        <v>-2157.1306163754</v>
      </c>
    </row>
    <row r="30" customFormat="false" ht="15" hidden="false" customHeight="false" outlineLevel="0" collapsed="false">
      <c r="A30" s="27" t="s">
        <v>406</v>
      </c>
      <c r="B30" s="56" t="s">
        <v>407</v>
      </c>
      <c r="C30" s="57" t="n">
        <f aca="false">SUM(E30:P30)</f>
        <v>-38000</v>
      </c>
      <c r="D30" s="57" t="n">
        <f aca="false">SUM(Q30:AB30)</f>
        <v>-36902.741283228</v>
      </c>
      <c r="E30" s="58" t="n">
        <f aca="false">-(IF(Assumptions!E$106=1,IF(Assumptions!E$98=YEAR(Assumptions!$C$8),Inputs_Actuals!$C$142,(-PL!$C$62)-Assumptions!$C$21),0)+IF(Assumptions!E$107=1,IF(Assumptions!E$98=YEAR(Assumptions!$C$8),IF(Assumptions!$C$21&lt;=Assumptions!$C$22,Assumptions!$C$21,0.9*(-PL!$C$62)),IF((-PL!$C$62)&lt;=Assumptions!$C$22,(-PL!$C$62),0.9*(-PL!$D$62))),0))</f>
        <v>-0</v>
      </c>
      <c r="F30" s="58" t="n">
        <f aca="false">-(IF(Assumptions!F$106=1,IF(Assumptions!F$98=YEAR(Assumptions!$C$8),Inputs_Actuals!$C$142,(-PL!$C$62)-Assumptions!$C$21),0)+IF(Assumptions!F$107=1,IF(Assumptions!F$98=YEAR(Assumptions!$C$8),IF(Assumptions!$C$21&lt;=Assumptions!$C$22,Assumptions!$C$21,0.9*(-PL!$C$62)),IF((-PL!$C$62)&lt;=Assumptions!$C$22,(-PL!$C$62),0.9*(-PL!$D$62))),0))</f>
        <v>-0</v>
      </c>
      <c r="G30" s="58" t="n">
        <f aca="false">-(IF(Assumptions!G$106=1,IF(Assumptions!G$98=YEAR(Assumptions!$C$8),Inputs_Actuals!$C$142,(-PL!$C$62)-Assumptions!$C$21),0)+IF(Assumptions!G$107=1,IF(Assumptions!G$98=YEAR(Assumptions!$C$8),IF(Assumptions!$C$21&lt;=Assumptions!$C$22,Assumptions!$C$21,0.9*(-PL!$C$62)),IF((-PL!$C$62)&lt;=Assumptions!$C$22,(-PL!$C$62),0.9*(-PL!$D$62))),0))</f>
        <v>-0</v>
      </c>
      <c r="H30" s="58" t="n">
        <f aca="false">-(IF(Assumptions!H$106=1,IF(Assumptions!H$98=YEAR(Assumptions!$C$8),Inputs_Actuals!$C$142,(-PL!$C$62)-Assumptions!$C$21),0)+IF(Assumptions!H$107=1,IF(Assumptions!H$98=YEAR(Assumptions!$C$8),IF(Assumptions!$C$21&lt;=Assumptions!$C$22,Assumptions!$C$21,0.9*(-PL!$C$62)),IF((-PL!$C$62)&lt;=Assumptions!$C$22,(-PL!$C$62),0.9*(-PL!$D$62))),0))</f>
        <v>-0</v>
      </c>
      <c r="I30" s="58" t="n">
        <f aca="false">-(IF(Assumptions!I$106=1,IF(Assumptions!I$98=YEAR(Assumptions!$C$8),Inputs_Actuals!$C$142,(-PL!$C$62)-Assumptions!$C$21),0)+IF(Assumptions!I$107=1,IF(Assumptions!I$98=YEAR(Assumptions!$C$8),IF(Assumptions!$C$21&lt;=Assumptions!$C$22,Assumptions!$C$21,0.9*(-PL!$C$62)),IF((-PL!$C$62)&lt;=Assumptions!$C$22,(-PL!$C$62),0.9*(-PL!$D$62))),0))</f>
        <v>-0</v>
      </c>
      <c r="J30" s="58" t="n">
        <f aca="false">-(IF(Assumptions!J$106=1,IF(Assumptions!J$98=YEAR(Assumptions!$C$8),Inputs_Actuals!$C$142,(-PL!$C$62)-Assumptions!$C$21),0)+IF(Assumptions!J$107=1,IF(Assumptions!J$98=YEAR(Assumptions!$C$8),IF(Assumptions!$C$21&lt;=Assumptions!$C$22,Assumptions!$C$21,0.9*(-PL!$C$62)),IF((-PL!$C$62)&lt;=Assumptions!$C$22,(-PL!$C$62),0.9*(-PL!$D$62))),0))</f>
        <v>-0</v>
      </c>
      <c r="K30" s="58" t="n">
        <f aca="false">-(IF(Assumptions!K$106=1,IF(Assumptions!K$98=YEAR(Assumptions!$C$8),Inputs_Actuals!$C$142,(-PL!$C$62)-Assumptions!$C$21),0)+IF(Assumptions!K$107=1,IF(Assumptions!K$98=YEAR(Assumptions!$C$8),IF(Assumptions!$C$21&lt;=Assumptions!$C$22,Assumptions!$C$21,0.9*(-PL!$C$62)),IF((-PL!$C$62)&lt;=Assumptions!$C$22,(-PL!$C$62),0.9*(-PL!$D$62))),0))</f>
        <v>-0</v>
      </c>
      <c r="L30" s="58" t="n">
        <f aca="false">-(IF(Assumptions!L$106=1,IF(Assumptions!L$98=YEAR(Assumptions!$C$8),Inputs_Actuals!$C$142,(-PL!$C$62)-Assumptions!$C$21),0)+IF(Assumptions!L$107=1,IF(Assumptions!L$98=YEAR(Assumptions!$C$8),IF(Assumptions!$C$21&lt;=Assumptions!$C$22,Assumptions!$C$21,0.9*(-PL!$C$62)),IF((-PL!$C$62)&lt;=Assumptions!$C$22,(-PL!$C$62),0.9*(-PL!$D$62))),0))</f>
        <v>-0</v>
      </c>
      <c r="M30" s="58" t="n">
        <f aca="false">-(IF(Assumptions!M$106=1,IF(Assumptions!M$98=YEAR(Assumptions!$C$8),Inputs_Actuals!$C$142,(-PL!$C$62)-Assumptions!$C$21),0)+IF(Assumptions!M$107=1,IF(Assumptions!M$98=YEAR(Assumptions!$C$8),IF(Assumptions!$C$21&lt;=Assumptions!$C$22,Assumptions!$C$21,0.9*(-PL!$C$62)),IF((-PL!$C$62)&lt;=Assumptions!$C$22,(-PL!$C$62),0.9*(-PL!$D$62))),0))</f>
        <v>-6000</v>
      </c>
      <c r="N30" s="58" t="n">
        <f aca="false">-(IF(Assumptions!N$106=1,IF(Assumptions!N$98=YEAR(Assumptions!$C$8),Inputs_Actuals!$C$142,(-PL!$C$62)-Assumptions!$C$21),0)+IF(Assumptions!N$107=1,IF(Assumptions!N$98=YEAR(Assumptions!$C$8),IF(Assumptions!$C$21&lt;=Assumptions!$C$22,Assumptions!$C$21,0.9*(-PL!$C$62)),IF((-PL!$C$62)&lt;=Assumptions!$C$22,(-PL!$C$62),0.9*(-PL!$D$62))),0))</f>
        <v>-0</v>
      </c>
      <c r="O30" s="58" t="n">
        <f aca="false">-(IF(Assumptions!O$106=1,IF(Assumptions!O$98=YEAR(Assumptions!$C$8),Inputs_Actuals!$C$142,(-PL!$C$62)-Assumptions!$C$21),0)+IF(Assumptions!O$107=1,IF(Assumptions!O$98=YEAR(Assumptions!$C$8),IF(Assumptions!$C$21&lt;=Assumptions!$C$22,Assumptions!$C$21,0.9*(-PL!$C$62)),IF((-PL!$C$62)&lt;=Assumptions!$C$22,(-PL!$C$62),0.9*(-PL!$D$62))),0))</f>
        <v>-32000</v>
      </c>
      <c r="P30" s="58" t="n">
        <f aca="false">-(IF(Assumptions!P$106=1,IF(Assumptions!P$98=YEAR(Assumptions!$C$8),Inputs_Actuals!$C$142,(-PL!$C$62)-Assumptions!$C$21),0)+IF(Assumptions!P$107=1,IF(Assumptions!P$98=YEAR(Assumptions!$C$8),IF(Assumptions!$C$21&lt;=Assumptions!$C$22,Assumptions!$C$21,0.9*(-PL!$C$62)),IF((-PL!$C$62)&lt;=Assumptions!$C$22,(-PL!$C$62),0.9*(-PL!$D$62))),0))</f>
        <v>-0</v>
      </c>
      <c r="Q30" s="58" t="n">
        <f aca="false">-(IF(Assumptions!Q$106=1,IF(Assumptions!Q$98=YEAR(Assumptions!$C$8),Inputs_Actuals!$C$142,(-PL!$C$62)-Assumptions!$C$21),0)+IF(Assumptions!Q$107=1,IF(Assumptions!Q$98=YEAR(Assumptions!$C$8),IF(Assumptions!$C$21&lt;=Assumptions!$C$22,Assumptions!$C$21,0.9*(-PL!$C$62)),IF((-PL!$C$62)&lt;=Assumptions!$C$22,(-PL!$C$62),0.9*(-PL!$D$62))),0))</f>
        <v>-0</v>
      </c>
      <c r="R30" s="58" t="n">
        <f aca="false">-(IF(Assumptions!R$106=1,IF(Assumptions!R$98=YEAR(Assumptions!$C$8),Inputs_Actuals!$C$142,(-PL!$C$62)-Assumptions!$C$21),0)+IF(Assumptions!R$107=1,IF(Assumptions!R$98=YEAR(Assumptions!$C$8),IF(Assumptions!$C$21&lt;=Assumptions!$C$22,Assumptions!$C$21,0.9*(-PL!$C$62)),IF((-PL!$C$62)&lt;=Assumptions!$C$22,(-PL!$C$62),0.9*(-PL!$D$62))),0))</f>
        <v>-0</v>
      </c>
      <c r="S30" s="58" t="n">
        <f aca="false">-(IF(Assumptions!S$106=1,IF(Assumptions!S$98=YEAR(Assumptions!$C$8),Inputs_Actuals!$C$142,(-PL!$C$62)-Assumptions!$C$21),0)+IF(Assumptions!S$107=1,IF(Assumptions!S$98=YEAR(Assumptions!$C$8),IF(Assumptions!$C$21&lt;=Assumptions!$C$22,Assumptions!$C$21,0.9*(-PL!$C$62)),IF((-PL!$C$62)&lt;=Assumptions!$C$22,(-PL!$C$62),0.9*(-PL!$D$62))),0))</f>
        <v>-0</v>
      </c>
      <c r="T30" s="58" t="n">
        <f aca="false">-(IF(Assumptions!T$106=1,IF(Assumptions!T$98=YEAR(Assumptions!$C$8),Inputs_Actuals!$C$142,(-PL!$C$62)-Assumptions!$C$21),0)+IF(Assumptions!T$107=1,IF(Assumptions!T$98=YEAR(Assumptions!$C$8),IF(Assumptions!$C$21&lt;=Assumptions!$C$22,Assumptions!$C$21,0.9*(-PL!$C$62)),IF((-PL!$C$62)&lt;=Assumptions!$C$22,(-PL!$C$62),0.9*(-PL!$D$62))),0))</f>
        <v>-0</v>
      </c>
      <c r="U30" s="58" t="n">
        <f aca="false">-(IF(Assumptions!U$106=1,IF(Assumptions!U$98=YEAR(Assumptions!$C$8),Inputs_Actuals!$C$142,(-PL!$C$62)-Assumptions!$C$21),0)+IF(Assumptions!U$107=1,IF(Assumptions!U$98=YEAR(Assumptions!$C$8),IF(Assumptions!$C$21&lt;=Assumptions!$C$22,Assumptions!$C$21,0.9*(-PL!$C$62)),IF((-PL!$C$62)&lt;=Assumptions!$C$22,(-PL!$C$62),0.9*(-PL!$D$62))),0))</f>
        <v>-0</v>
      </c>
      <c r="V30" s="58" t="n">
        <f aca="false">-(IF(Assumptions!V$106=1,IF(Assumptions!V$98=YEAR(Assumptions!$C$8),Inputs_Actuals!$C$142,(-PL!$C$62)-Assumptions!$C$21),0)+IF(Assumptions!V$107=1,IF(Assumptions!V$98=YEAR(Assumptions!$C$8),IF(Assumptions!$C$21&lt;=Assumptions!$C$22,Assumptions!$C$21,0.9*(-PL!$C$62)),IF((-PL!$C$62)&lt;=Assumptions!$C$22,(-PL!$C$62),0.9*(-PL!$D$62))),0))</f>
        <v>-0</v>
      </c>
      <c r="W30" s="58" t="n">
        <f aca="false">-(IF(Assumptions!W$106=1,IF(Assumptions!W$98=YEAR(Assumptions!$C$8),Inputs_Actuals!$C$142,(-PL!$C$62)-Assumptions!$C$21),0)+IF(Assumptions!W$107=1,IF(Assumptions!W$98=YEAR(Assumptions!$C$8),IF(Assumptions!$C$21&lt;=Assumptions!$C$22,Assumptions!$C$21,0.9*(-PL!$C$62)),IF((-PL!$C$62)&lt;=Assumptions!$C$22,(-PL!$C$62),0.9*(-PL!$D$62))),0))</f>
        <v>-0</v>
      </c>
      <c r="X30" s="58" t="n">
        <f aca="false">-(IF(Assumptions!X$106=1,IF(Assumptions!X$98=YEAR(Assumptions!$C$8),Inputs_Actuals!$C$142,(-PL!$C$62)-Assumptions!$C$21),0)+IF(Assumptions!X$107=1,IF(Assumptions!X$98=YEAR(Assumptions!$C$8),IF(Assumptions!$C$21&lt;=Assumptions!$C$22,Assumptions!$C$21,0.9*(-PL!$C$62)),IF((-PL!$C$62)&lt;=Assumptions!$C$22,(-PL!$C$62),0.9*(-PL!$D$62))),0))</f>
        <v>-0</v>
      </c>
      <c r="Y30" s="58" t="n">
        <f aca="false">-(IF(Assumptions!Y$106=1,IF(Assumptions!Y$98=YEAR(Assumptions!$C$8),Inputs_Actuals!$C$142,(-PL!$C$62)-Assumptions!$C$21),0)+IF(Assumptions!Y$107=1,IF(Assumptions!Y$98=YEAR(Assumptions!$C$8),IF(Assumptions!$C$21&lt;=Assumptions!$C$22,Assumptions!$C$21,0.9*(-PL!$C$62)),IF((-PL!$C$62)&lt;=Assumptions!$C$22,(-PL!$C$62),0.9*(-PL!$D$62))),0))</f>
        <v>-2451.37064161402</v>
      </c>
      <c r="Z30" s="58" t="n">
        <f aca="false">-(IF(Assumptions!Z$106=1,IF(Assumptions!Z$98=YEAR(Assumptions!$C$8),Inputs_Actuals!$C$142,(-PL!$C$62)-Assumptions!$C$21),0)+IF(Assumptions!Z$107=1,IF(Assumptions!Z$98=YEAR(Assumptions!$C$8),IF(Assumptions!$C$21&lt;=Assumptions!$C$22,Assumptions!$C$21,0.9*(-PL!$C$62)),IF((-PL!$C$62)&lt;=Assumptions!$C$22,(-PL!$C$62),0.9*(-PL!$D$62))),0))</f>
        <v>-0</v>
      </c>
      <c r="AA30" s="58" t="n">
        <f aca="false">-(IF(Assumptions!AA$106=1,IF(Assumptions!AA$98=YEAR(Assumptions!$C$8),Inputs_Actuals!$C$142,(-PL!$C$62)-Assumptions!$C$21),0)+IF(Assumptions!AA$107=1,IF(Assumptions!AA$98=YEAR(Assumptions!$C$8),IF(Assumptions!$C$21&lt;=Assumptions!$C$22,Assumptions!$C$21,0.9*(-PL!$C$62)),IF((-PL!$C$62)&lt;=Assumptions!$C$22,(-PL!$C$62),0.9*(-PL!$D$62))),0))</f>
        <v>-34451.370641614</v>
      </c>
      <c r="AB30" s="58" t="n">
        <f aca="false">-(IF(Assumptions!AB$106=1,IF(Assumptions!AB$98=YEAR(Assumptions!$C$8),Inputs_Actuals!$C$142,(-PL!$C$62)-Assumptions!$C$21),0)+IF(Assumptions!AB$107=1,IF(Assumptions!AB$98=YEAR(Assumptions!$C$8),IF(Assumptions!$C$21&lt;=Assumptions!$C$22,Assumptions!$C$21,0.9*(-PL!$C$62)),IF((-PL!$C$62)&lt;=Assumptions!$C$22,(-PL!$C$62),0.9*(-PL!$D$62))),0))</f>
        <v>-0</v>
      </c>
    </row>
    <row r="31" customFormat="false" ht="15" hidden="false" customHeight="false" outlineLevel="0" collapsed="false">
      <c r="A31" s="27" t="s">
        <v>408</v>
      </c>
      <c r="B31" s="56" t="s">
        <v>409</v>
      </c>
      <c r="C31" s="57" t="n">
        <f aca="false">P31</f>
        <v>2451.37064161402</v>
      </c>
      <c r="D31" s="57" t="n">
        <f aca="false">AB31</f>
        <v>-21844.8429697556</v>
      </c>
      <c r="E31" s="70" t="n">
        <f aca="false">E28+E29+E30</f>
        <v>6663.5539236111</v>
      </c>
      <c r="F31" s="70" t="n">
        <f aca="false">F28+F29+F30</f>
        <v>6000</v>
      </c>
      <c r="G31" s="70" t="n">
        <f aca="false">G28+G29+G30</f>
        <v>6000</v>
      </c>
      <c r="H31" s="70" t="n">
        <f aca="false">H28+H29+H30</f>
        <v>6000</v>
      </c>
      <c r="I31" s="70" t="n">
        <f aca="false">I28+I29+I30</f>
        <v>6000</v>
      </c>
      <c r="J31" s="70" t="n">
        <f aca="false">J28+J29+J30</f>
        <v>6000</v>
      </c>
      <c r="K31" s="70" t="n">
        <f aca="false">K28+K29+K30</f>
        <v>6000</v>
      </c>
      <c r="L31" s="70" t="n">
        <f aca="false">L28+L29+L30</f>
        <v>6000</v>
      </c>
      <c r="M31" s="70" t="n">
        <f aca="false">M28+M29+M30</f>
        <v>3548.71518907386</v>
      </c>
      <c r="N31" s="70" t="n">
        <f aca="false">N28+N29+N30</f>
        <v>15138.2275981368</v>
      </c>
      <c r="O31" s="70" t="n">
        <f aca="false">O28+O29+O30</f>
        <v>-5907.5000196504</v>
      </c>
      <c r="P31" s="70" t="n">
        <f aca="false">P28+P29+P30</f>
        <v>2451.37064161402</v>
      </c>
      <c r="Q31" s="70" t="n">
        <f aca="false">Q28+Q29+Q30</f>
        <v>4425.67598800971</v>
      </c>
      <c r="R31" s="70" t="n">
        <f aca="false">R28+R29+R30</f>
        <v>2451.37064161402</v>
      </c>
      <c r="S31" s="70" t="n">
        <f aca="false">S28+S29+S30</f>
        <v>2451.37064161402</v>
      </c>
      <c r="T31" s="70" t="n">
        <f aca="false">T28+T29+T30</f>
        <v>2451.37064161402</v>
      </c>
      <c r="U31" s="70" t="n">
        <f aca="false">U28+U29+U30</f>
        <v>2451.37064161402</v>
      </c>
      <c r="V31" s="70" t="n">
        <f aca="false">V28+V29+V30</f>
        <v>2451.37064161402</v>
      </c>
      <c r="W31" s="70" t="n">
        <f aca="false">W28+W29+W30</f>
        <v>4234.13160166889</v>
      </c>
      <c r="X31" s="70" t="n">
        <f aca="false">X28+X29+X30</f>
        <v>11140.9419562463</v>
      </c>
      <c r="Y31" s="70" t="n">
        <f aca="false">Y28+Y29+Y30</f>
        <v>12809.0430874257</v>
      </c>
      <c r="Z31" s="70" t="n">
        <f aca="false">Z28+Z29+Z30</f>
        <v>14617.1643736333</v>
      </c>
      <c r="AA31" s="70" t="n">
        <f aca="false">AA28+AA29+AA30</f>
        <v>-19687.7123533802</v>
      </c>
      <c r="AB31" s="70" t="n">
        <f aca="false">AB28+AB29+AB30</f>
        <v>-21844.8429697556</v>
      </c>
    </row>
    <row r="32" customFormat="false" ht="15" hidden="false" customHeight="false" outlineLevel="0" collapsed="false">
      <c r="A32" s="27" t="s">
        <v>410</v>
      </c>
      <c r="B32" s="56" t="s">
        <v>75</v>
      </c>
      <c r="C32" s="57" t="n">
        <f aca="false">P32</f>
        <v>55462.5</v>
      </c>
      <c r="D32" s="57" t="n">
        <f aca="false">AB32</f>
        <v>73012.5</v>
      </c>
      <c r="E32" s="58" t="n">
        <f aca="false">Debt!E21</f>
        <v>46800</v>
      </c>
      <c r="F32" s="58" t="n">
        <f aca="false">Debt!F21</f>
        <v>46800</v>
      </c>
      <c r="G32" s="58" t="n">
        <f aca="false">Debt!G21</f>
        <v>46800</v>
      </c>
      <c r="H32" s="58" t="n">
        <f aca="false">Debt!H21</f>
        <v>46800</v>
      </c>
      <c r="I32" s="58" t="n">
        <f aca="false">Debt!I21</f>
        <v>55462.5</v>
      </c>
      <c r="J32" s="58" t="n">
        <f aca="false">Debt!J21</f>
        <v>55462.5</v>
      </c>
      <c r="K32" s="58" t="n">
        <f aca="false">Debt!K21</f>
        <v>55462.5</v>
      </c>
      <c r="L32" s="58" t="n">
        <f aca="false">Debt!L21</f>
        <v>55462.5</v>
      </c>
      <c r="M32" s="58" t="n">
        <f aca="false">Debt!M21</f>
        <v>55462.5</v>
      </c>
      <c r="N32" s="58" t="n">
        <f aca="false">Debt!N21</f>
        <v>55462.5</v>
      </c>
      <c r="O32" s="58" t="n">
        <f aca="false">Debt!O21</f>
        <v>55462.5</v>
      </c>
      <c r="P32" s="58" t="n">
        <f aca="false">Debt!P21</f>
        <v>55462.5</v>
      </c>
      <c r="Q32" s="58" t="n">
        <f aca="false">Debt!Q21</f>
        <v>55462.5</v>
      </c>
      <c r="R32" s="58" t="n">
        <f aca="false">Debt!R21</f>
        <v>55462.5</v>
      </c>
      <c r="S32" s="58" t="n">
        <f aca="false">Debt!S21</f>
        <v>55462.5</v>
      </c>
      <c r="T32" s="58" t="n">
        <f aca="false">Debt!T21</f>
        <v>73012.5</v>
      </c>
      <c r="U32" s="58" t="n">
        <f aca="false">Debt!U21</f>
        <v>73012.5</v>
      </c>
      <c r="V32" s="58" t="n">
        <f aca="false">Debt!V21</f>
        <v>73012.5</v>
      </c>
      <c r="W32" s="58" t="n">
        <f aca="false">Debt!W21</f>
        <v>73012.5</v>
      </c>
      <c r="X32" s="58" t="n">
        <f aca="false">Debt!X21</f>
        <v>73012.5</v>
      </c>
      <c r="Y32" s="58" t="n">
        <f aca="false">Debt!Y21</f>
        <v>73012.5</v>
      </c>
      <c r="Z32" s="58" t="n">
        <f aca="false">Debt!Z21</f>
        <v>73012.5</v>
      </c>
      <c r="AA32" s="58" t="n">
        <f aca="false">Debt!AA21</f>
        <v>73012.5</v>
      </c>
      <c r="AB32" s="58" t="n">
        <f aca="false">Debt!AB21</f>
        <v>73012.5</v>
      </c>
    </row>
    <row r="33" customFormat="false" ht="15" hidden="false" customHeight="false" outlineLevel="0" collapsed="false">
      <c r="A33" s="27" t="s">
        <v>411</v>
      </c>
      <c r="B33" s="56" t="s">
        <v>75</v>
      </c>
      <c r="C33" s="57" t="n">
        <f aca="false">P33</f>
        <v>66612.5</v>
      </c>
      <c r="D33" s="57" t="n">
        <f aca="false">AB33</f>
        <v>50637.5</v>
      </c>
      <c r="E33" s="58" t="n">
        <f aca="false">Debt!E22</f>
        <v>89300</v>
      </c>
      <c r="F33" s="58" t="n">
        <f aca="false">Debt!F22</f>
        <v>85400</v>
      </c>
      <c r="G33" s="58" t="n">
        <f aca="false">Debt!G22</f>
        <v>81500</v>
      </c>
      <c r="H33" s="58" t="n">
        <f aca="false">Debt!H22</f>
        <v>112250</v>
      </c>
      <c r="I33" s="58" t="n">
        <f aca="false">Debt!I22</f>
        <v>98965.625</v>
      </c>
      <c r="J33" s="58" t="n">
        <f aca="false">Debt!J22</f>
        <v>94343.75</v>
      </c>
      <c r="K33" s="58" t="n">
        <f aca="false">Debt!K22</f>
        <v>89721.875</v>
      </c>
      <c r="L33" s="58" t="n">
        <f aca="false">Debt!L22</f>
        <v>85100</v>
      </c>
      <c r="M33" s="58" t="n">
        <f aca="false">Debt!M22</f>
        <v>80478.125</v>
      </c>
      <c r="N33" s="58" t="n">
        <f aca="false">Debt!N22</f>
        <v>75856.25</v>
      </c>
      <c r="O33" s="58" t="n">
        <f aca="false">Debt!O22</f>
        <v>71234.375</v>
      </c>
      <c r="P33" s="58" t="n">
        <f aca="false">Debt!P22</f>
        <v>66612.5</v>
      </c>
      <c r="Q33" s="58" t="n">
        <f aca="false">Debt!Q22</f>
        <v>61990.625</v>
      </c>
      <c r="R33" s="58" t="n">
        <f aca="false">Debt!R22</f>
        <v>57368.75</v>
      </c>
      <c r="S33" s="58" t="n">
        <f aca="false">Debt!S22</f>
        <v>122946.875</v>
      </c>
      <c r="T33" s="58" t="n">
        <f aca="false">Debt!T22</f>
        <v>99312.5</v>
      </c>
      <c r="U33" s="58" t="n">
        <f aca="false">Debt!U22</f>
        <v>93228.125</v>
      </c>
      <c r="V33" s="58" t="n">
        <f aca="false">Debt!V22</f>
        <v>87143.75</v>
      </c>
      <c r="W33" s="58" t="n">
        <f aca="false">Debt!W22</f>
        <v>81059.375</v>
      </c>
      <c r="X33" s="58" t="n">
        <f aca="false">Debt!X22</f>
        <v>74975</v>
      </c>
      <c r="Y33" s="58" t="n">
        <f aca="false">Debt!Y22</f>
        <v>68890.625</v>
      </c>
      <c r="Z33" s="58" t="n">
        <f aca="false">Debt!Z22</f>
        <v>62806.25</v>
      </c>
      <c r="AA33" s="58" t="n">
        <f aca="false">Debt!AA22</f>
        <v>56721.875</v>
      </c>
      <c r="AB33" s="58" t="n">
        <f aca="false">Debt!AB22</f>
        <v>50637.5</v>
      </c>
    </row>
    <row r="34" customFormat="false" ht="15" hidden="false" customHeight="false" outlineLevel="0" collapsed="false">
      <c r="A34" s="67" t="s">
        <v>412</v>
      </c>
      <c r="B34" s="68"/>
      <c r="C34" s="69" t="n">
        <f aca="false">P34</f>
        <v>1297865.38640792</v>
      </c>
      <c r="D34" s="69" t="n">
        <f aca="false">AB34</f>
        <v>1047945.66296801</v>
      </c>
      <c r="E34" s="69" t="n">
        <f aca="false">E18+E19+E20+E21+E22+E23+E24+E25+E26+E27+E31+E32+E33</f>
        <v>848014.268611765</v>
      </c>
      <c r="F34" s="69" t="n">
        <f aca="false">F18+F19+F20+F21+F22+F23+F24+F25+F26+F27+F31+F32+F33</f>
        <v>803208.140023682</v>
      </c>
      <c r="G34" s="69" t="n">
        <f aca="false">G18+G19+G20+G21+G22+G23+G24+G25+G26+G27+G31+G32+G33</f>
        <v>778991.475902493</v>
      </c>
      <c r="H34" s="69" t="n">
        <f aca="false">H18+H19+H20+H21+H22+H23+H24+H25+H26+H27+H31+H32+H33</f>
        <v>747615.747964978</v>
      </c>
      <c r="I34" s="69" t="n">
        <f aca="false">I18+I19+I20+I21+I22+I23+I24+I25+I26+I27+I31+I32+I33</f>
        <v>777883.294989442</v>
      </c>
      <c r="J34" s="69" t="n">
        <f aca="false">J18+J19+J20+J21+J22+J23+J24+J25+J26+J27+J31+J32+J33</f>
        <v>922435.631761175</v>
      </c>
      <c r="K34" s="69" t="n">
        <f aca="false">K18+K19+K20+K21+K22+K23+K24+K25+K26+K27+K31+K32+K33</f>
        <v>1143527.95498411</v>
      </c>
      <c r="L34" s="69" t="n">
        <f aca="false">L18+L19+L20+L21+L22+L23+L24+L25+L26+L27+L31+L32+L33</f>
        <v>1286684.60979024</v>
      </c>
      <c r="M34" s="69" t="n">
        <f aca="false">M18+M19+M20+M21+M22+M23+M24+M25+M26+M27+M31+M32+M33</f>
        <v>1349952.72361581</v>
      </c>
      <c r="N34" s="69" t="n">
        <f aca="false">N18+N19+N20+N21+N22+N23+N24+N25+N26+N27+N31+N32+N33</f>
        <v>1409887.74962609</v>
      </c>
      <c r="O34" s="69" t="n">
        <f aca="false">O18+O19+O20+O21+O22+O23+O24+O25+O26+O27+O31+O32+O33</f>
        <v>1334195.12766316</v>
      </c>
      <c r="P34" s="69" t="n">
        <f aca="false">P18+P19+P20+P21+P22+P23+P24+P25+P26+P27+P31+P32+P33</f>
        <v>1297865.38640792</v>
      </c>
      <c r="Q34" s="69" t="n">
        <f aca="false">Q18+Q19+Q20+Q21+Q22+Q23+Q24+Q25+Q26+Q27+Q31+Q32+Q33</f>
        <v>1162078.65930777</v>
      </c>
      <c r="R34" s="69" t="n">
        <f aca="false">R18+R19+R20+R21+R22+R23+R24+R25+R26+R27+R31+R32+R33</f>
        <v>1069289.73910582</v>
      </c>
      <c r="S34" s="69" t="n">
        <f aca="false">S18+S19+S20+S21+S22+S23+S24+S25+S26+S27+S31+S32+S33</f>
        <v>995172.121661988</v>
      </c>
      <c r="T34" s="69" t="n">
        <f aca="false">T18+T19+T20+T21+T22+T23+T24+T25+T26+T27+T31+T32+T33</f>
        <v>1060173.47301744</v>
      </c>
      <c r="U34" s="69" t="n">
        <f aca="false">U18+U19+U20+U21+U22+U23+U24+U25+U26+U27+U31+U32+U33</f>
        <v>1155039.02853962</v>
      </c>
      <c r="V34" s="69" t="n">
        <f aca="false">V18+V19+V20+V21+V22+V23+V24+V25+V26+V27+V31+V32+V33</f>
        <v>1281726.82714727</v>
      </c>
      <c r="W34" s="69" t="n">
        <f aca="false">W18+W19+W20+W21+W22+W23+W24+W25+W26+W27+W31+W32+W33</f>
        <v>1335402.30186453</v>
      </c>
      <c r="X34" s="69" t="n">
        <f aca="false">X18+X19+X20+X21+X22+X23+X24+X25+X26+X27+X31+X32+X33</f>
        <v>1344992.96435321</v>
      </c>
      <c r="Y34" s="69" t="n">
        <f aca="false">Y18+Y19+Y20+Y21+Y22+Y23+Y24+Y25+Y26+Y27+Y31+Y32+Y33</f>
        <v>1253226.30062232</v>
      </c>
      <c r="Z34" s="69" t="n">
        <f aca="false">Z18+Z19+Z20+Z21+Z22+Z23+Z24+Z25+Z26+Z27+Z31+Z32+Z33</f>
        <v>1204330.8291387</v>
      </c>
      <c r="AA34" s="69" t="n">
        <f aca="false">AA18+AA19+AA20+AA21+AA22+AA23+AA24+AA25+AA26+AA27+AA31+AA32+AA33</f>
        <v>1075424.49362409</v>
      </c>
      <c r="AB34" s="69" t="n">
        <f aca="false">AB18+AB19+AB20+AB21+AB22+AB23+AB24+AB25+AB26+AB27+AB31+AB32+AB33</f>
        <v>1047945.66296801</v>
      </c>
    </row>
    <row r="35" customFormat="false" ht="15" hidden="false" customHeight="false" outlineLevel="0" collapsed="false">
      <c r="A35" s="21" t="s">
        <v>413</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row>
    <row r="36" customFormat="false" ht="15" hidden="false" customHeight="false" outlineLevel="0" collapsed="false">
      <c r="A36" s="27" t="s">
        <v>414</v>
      </c>
      <c r="B36" s="56" t="s">
        <v>415</v>
      </c>
      <c r="C36" s="57" t="n">
        <f aca="false">P36</f>
        <v>100000</v>
      </c>
      <c r="D36" s="57" t="n">
        <f aca="false">AB36</f>
        <v>100000</v>
      </c>
      <c r="E36" s="58" t="n">
        <f aca="false">Inputs_Actuals!$C$144</f>
        <v>100000</v>
      </c>
      <c r="F36" s="70" t="n">
        <f aca="false">E36</f>
        <v>100000</v>
      </c>
      <c r="G36" s="70" t="n">
        <f aca="false">F36</f>
        <v>100000</v>
      </c>
      <c r="H36" s="70" t="n">
        <f aca="false">G36</f>
        <v>100000</v>
      </c>
      <c r="I36" s="70" t="n">
        <f aca="false">H36</f>
        <v>100000</v>
      </c>
      <c r="J36" s="70" t="n">
        <f aca="false">I36</f>
        <v>100000</v>
      </c>
      <c r="K36" s="70" t="n">
        <f aca="false">J36</f>
        <v>100000</v>
      </c>
      <c r="L36" s="70" t="n">
        <f aca="false">K36</f>
        <v>100000</v>
      </c>
      <c r="M36" s="70" t="n">
        <f aca="false">L36</f>
        <v>100000</v>
      </c>
      <c r="N36" s="70" t="n">
        <f aca="false">M36</f>
        <v>100000</v>
      </c>
      <c r="O36" s="70" t="n">
        <f aca="false">N36</f>
        <v>100000</v>
      </c>
      <c r="P36" s="70" t="n">
        <f aca="false">O36</f>
        <v>100000</v>
      </c>
      <c r="Q36" s="70" t="n">
        <f aca="false">P36</f>
        <v>100000</v>
      </c>
      <c r="R36" s="70" t="n">
        <f aca="false">Q36</f>
        <v>100000</v>
      </c>
      <c r="S36" s="70" t="n">
        <f aca="false">R36</f>
        <v>100000</v>
      </c>
      <c r="T36" s="70" t="n">
        <f aca="false">S36</f>
        <v>100000</v>
      </c>
      <c r="U36" s="70" t="n">
        <f aca="false">T36</f>
        <v>100000</v>
      </c>
      <c r="V36" s="70" t="n">
        <f aca="false">U36</f>
        <v>100000</v>
      </c>
      <c r="W36" s="70" t="n">
        <f aca="false">V36</f>
        <v>100000</v>
      </c>
      <c r="X36" s="70" t="n">
        <f aca="false">W36</f>
        <v>100000</v>
      </c>
      <c r="Y36" s="70" t="n">
        <f aca="false">X36</f>
        <v>100000</v>
      </c>
      <c r="Z36" s="70" t="n">
        <f aca="false">Y36</f>
        <v>100000</v>
      </c>
      <c r="AA36" s="70" t="n">
        <f aca="false">Z36</f>
        <v>100000</v>
      </c>
      <c r="AB36" s="70" t="n">
        <f aca="false">AA36</f>
        <v>100000</v>
      </c>
    </row>
    <row r="37" customFormat="false" ht="15" hidden="false" customHeight="false" outlineLevel="0" collapsed="false">
      <c r="A37" s="27" t="s">
        <v>416</v>
      </c>
      <c r="B37" s="56"/>
      <c r="E37" s="58" t="n">
        <f aca="false">Inputs_Actuals!$C$145</f>
        <v>1230685.9</v>
      </c>
      <c r="F37" s="70" t="n">
        <f aca="false">E40</f>
        <v>1235330.77746528</v>
      </c>
      <c r="G37" s="70" t="n">
        <f aca="false">F40</f>
        <v>1225816.86694444</v>
      </c>
      <c r="H37" s="70" t="n">
        <f aca="false">G40</f>
        <v>1190929.25333333</v>
      </c>
      <c r="I37" s="70" t="n">
        <f aca="false">H40</f>
        <v>1151886.94222222</v>
      </c>
      <c r="J37" s="70" t="n">
        <f aca="false">I40</f>
        <v>1086039.97277778</v>
      </c>
      <c r="K37" s="70" t="n">
        <f aca="false">J40</f>
        <v>1045396.97828125</v>
      </c>
      <c r="L37" s="70" t="n">
        <f aca="false">K40</f>
        <v>1094749.53956597</v>
      </c>
      <c r="M37" s="70" t="n">
        <f aca="false">L40</f>
        <v>1177271.39385417</v>
      </c>
      <c r="N37" s="70" t="n">
        <f aca="false">M40</f>
        <v>1255526.90632352</v>
      </c>
      <c r="O37" s="70" t="n">
        <f aca="false">N40</f>
        <v>1336653.49318696</v>
      </c>
      <c r="P37" s="70" t="n">
        <f aca="false">O40</f>
        <v>1413333.39986245</v>
      </c>
      <c r="Q37" s="70" t="n">
        <f aca="false">P40</f>
        <v>1471845.4944913</v>
      </c>
      <c r="R37" s="70" t="n">
        <f aca="false">Q40</f>
        <v>1485665.63191607</v>
      </c>
      <c r="S37" s="70" t="n">
        <f aca="false">R40</f>
        <v>1454747.04701691</v>
      </c>
      <c r="T37" s="70" t="n">
        <f aca="false">S40</f>
        <v>1392734.46109751</v>
      </c>
      <c r="U37" s="70" t="n">
        <f aca="false">T40</f>
        <v>1353913.37130991</v>
      </c>
      <c r="V37" s="70" t="n">
        <f aca="false">U40</f>
        <v>1368708.04538702</v>
      </c>
      <c r="W37" s="70" t="n">
        <f aca="false">V40</f>
        <v>1420733.50958557</v>
      </c>
      <c r="X37" s="70" t="n">
        <f aca="false">W40</f>
        <v>1484324.82121168</v>
      </c>
      <c r="Y37" s="70" t="n">
        <f aca="false">X40</f>
        <v>1532672.49369372</v>
      </c>
      <c r="Z37" s="70" t="n">
        <f aca="false">Y40</f>
        <v>1561508.79610328</v>
      </c>
      <c r="AA37" s="70" t="n">
        <f aca="false">Z40</f>
        <v>1574165.64510673</v>
      </c>
      <c r="AB37" s="70" t="n">
        <f aca="false">AA40</f>
        <v>1575191.10250893</v>
      </c>
    </row>
    <row r="38" customFormat="false" ht="15" hidden="false" customHeight="false" outlineLevel="0" collapsed="false">
      <c r="A38" s="27" t="s">
        <v>417</v>
      </c>
      <c r="B38" s="56" t="s">
        <v>30</v>
      </c>
      <c r="C38" s="57" t="n">
        <f aca="false">SUM(E38:P38)</f>
        <v>241159.594491298</v>
      </c>
      <c r="D38" s="57" t="n">
        <f aca="false">SUM(Q38:AB38)</f>
        <v>88245.693703009</v>
      </c>
      <c r="E38" s="58" t="n">
        <f aca="false">PL!E63</f>
        <v>4644.87746527767</v>
      </c>
      <c r="F38" s="58" t="n">
        <f aca="false">PL!F63</f>
        <v>-9513.91052083327</v>
      </c>
      <c r="G38" s="58" t="n">
        <f aca="false">PL!G63</f>
        <v>-34887.6136111112</v>
      </c>
      <c r="H38" s="58" t="n">
        <f aca="false">PL!H63</f>
        <v>-39042.311111111</v>
      </c>
      <c r="I38" s="58" t="n">
        <f aca="false">PL!I63</f>
        <v>-65846.9694444445</v>
      </c>
      <c r="J38" s="58" t="n">
        <f aca="false">PL!J63</f>
        <v>-40642.9944965277</v>
      </c>
      <c r="K38" s="58" t="n">
        <f aca="false">PL!K63</f>
        <v>49352.5612847222</v>
      </c>
      <c r="L38" s="58" t="n">
        <f aca="false">PL!L63</f>
        <v>82521.8542881945</v>
      </c>
      <c r="M38" s="58" t="n">
        <f aca="false">PL!M63</f>
        <v>78255.5124693503</v>
      </c>
      <c r="N38" s="58" t="n">
        <f aca="false">PL!N63</f>
        <v>81126.5868634407</v>
      </c>
      <c r="O38" s="58" t="n">
        <f aca="false">PL!O63</f>
        <v>76679.9066754895</v>
      </c>
      <c r="P38" s="58" t="n">
        <f aca="false">PL!P63</f>
        <v>58512.0946288509</v>
      </c>
      <c r="Q38" s="58" t="n">
        <f aca="false">PL!Q63</f>
        <v>13820.1374247698</v>
      </c>
      <c r="R38" s="58" t="n">
        <f aca="false">PL!R63</f>
        <v>-30918.584899161</v>
      </c>
      <c r="S38" s="58" t="n">
        <f aca="false">PL!S63</f>
        <v>-62012.585919393</v>
      </c>
      <c r="T38" s="58" t="n">
        <f aca="false">PL!T63</f>
        <v>-38821.0897875993</v>
      </c>
      <c r="U38" s="58" t="n">
        <f aca="false">PL!U63</f>
        <v>14794.6740771058</v>
      </c>
      <c r="V38" s="58" t="n">
        <f aca="false">PL!V63</f>
        <v>52025.4641985486</v>
      </c>
      <c r="W38" s="58" t="n">
        <f aca="false">PL!W63</f>
        <v>63591.3116261131</v>
      </c>
      <c r="X38" s="58" t="n">
        <f aca="false">PL!X63</f>
        <v>48347.6724820422</v>
      </c>
      <c r="Y38" s="58" t="n">
        <f aca="false">PL!Y63</f>
        <v>28836.3024095535</v>
      </c>
      <c r="Z38" s="58" t="n">
        <f aca="false">PL!Z63</f>
        <v>12656.8490034531</v>
      </c>
      <c r="AA38" s="58" t="n">
        <f aca="false">PL!AA63</f>
        <v>1025.45740220393</v>
      </c>
      <c r="AB38" s="58" t="n">
        <f aca="false">PL!AB63</f>
        <v>-15099.9143146278</v>
      </c>
    </row>
    <row r="39" customFormat="false" ht="15" hidden="false" customHeight="false" outlineLevel="0" collapsed="false">
      <c r="A39" s="27" t="s">
        <v>418</v>
      </c>
      <c r="B39" s="56" t="s">
        <v>419</v>
      </c>
      <c r="C39" s="57" t="n">
        <f aca="false">SUM(E39:P39)</f>
        <v>0</v>
      </c>
      <c r="D39" s="57" t="n">
        <f aca="false">SUM(Q39:AB39)</f>
        <v>0</v>
      </c>
      <c r="E39" s="70" t="n">
        <v>0</v>
      </c>
      <c r="F39" s="70" t="n">
        <v>0</v>
      </c>
      <c r="G39" s="70" t="n">
        <v>0</v>
      </c>
      <c r="H39" s="70" t="n">
        <v>0</v>
      </c>
      <c r="I39" s="70" t="n">
        <v>0</v>
      </c>
      <c r="J39" s="70" t="n">
        <v>0</v>
      </c>
      <c r="K39" s="70" t="n">
        <v>0</v>
      </c>
      <c r="L39" s="70" t="n">
        <v>0</v>
      </c>
      <c r="M39" s="71" t="n">
        <v>0</v>
      </c>
      <c r="N39" s="71" t="n">
        <v>0</v>
      </c>
      <c r="O39" s="71" t="n">
        <v>0</v>
      </c>
      <c r="P39" s="71" t="n">
        <v>0</v>
      </c>
      <c r="Q39" s="71" t="n">
        <v>0</v>
      </c>
      <c r="R39" s="71" t="n">
        <v>0</v>
      </c>
      <c r="S39" s="71" t="n">
        <v>0</v>
      </c>
      <c r="T39" s="71" t="n">
        <v>0</v>
      </c>
      <c r="U39" s="71" t="n">
        <v>0</v>
      </c>
      <c r="V39" s="71" t="n">
        <v>0</v>
      </c>
      <c r="W39" s="71" t="n">
        <v>0</v>
      </c>
      <c r="X39" s="71" t="n">
        <v>0</v>
      </c>
      <c r="Y39" s="71" t="n">
        <v>0</v>
      </c>
      <c r="Z39" s="71" t="n">
        <v>0</v>
      </c>
      <c r="AA39" s="71" t="n">
        <v>0</v>
      </c>
      <c r="AB39" s="71" t="n">
        <v>0</v>
      </c>
    </row>
    <row r="40" customFormat="false" ht="15" hidden="false" customHeight="false" outlineLevel="0" collapsed="false">
      <c r="A40" s="27" t="s">
        <v>420</v>
      </c>
      <c r="B40" s="56"/>
      <c r="C40" s="57" t="n">
        <f aca="false">P40</f>
        <v>1471845.4944913</v>
      </c>
      <c r="D40" s="57" t="n">
        <f aca="false">AB40</f>
        <v>1560091.18819431</v>
      </c>
      <c r="E40" s="70" t="n">
        <f aca="false">E37+E38-E39</f>
        <v>1235330.77746528</v>
      </c>
      <c r="F40" s="70" t="n">
        <f aca="false">F37+F38-F39</f>
        <v>1225816.86694444</v>
      </c>
      <c r="G40" s="70" t="n">
        <f aca="false">G37+G38-G39</f>
        <v>1190929.25333333</v>
      </c>
      <c r="H40" s="70" t="n">
        <f aca="false">H37+H38-H39</f>
        <v>1151886.94222222</v>
      </c>
      <c r="I40" s="70" t="n">
        <f aca="false">I37+I38-I39</f>
        <v>1086039.97277778</v>
      </c>
      <c r="J40" s="70" t="n">
        <f aca="false">J37+J38-J39</f>
        <v>1045396.97828125</v>
      </c>
      <c r="K40" s="70" t="n">
        <f aca="false">K37+K38-K39</f>
        <v>1094749.53956597</v>
      </c>
      <c r="L40" s="70" t="n">
        <f aca="false">L37+L38-L39</f>
        <v>1177271.39385417</v>
      </c>
      <c r="M40" s="70" t="n">
        <f aca="false">M37+M38-M39</f>
        <v>1255526.90632352</v>
      </c>
      <c r="N40" s="70" t="n">
        <f aca="false">N37+N38-N39</f>
        <v>1336653.49318696</v>
      </c>
      <c r="O40" s="70" t="n">
        <f aca="false">O37+O38-O39</f>
        <v>1413333.39986245</v>
      </c>
      <c r="P40" s="70" t="n">
        <f aca="false">P37+P38-P39</f>
        <v>1471845.4944913</v>
      </c>
      <c r="Q40" s="70" t="n">
        <f aca="false">Q37+Q38-Q39</f>
        <v>1485665.63191607</v>
      </c>
      <c r="R40" s="70" t="n">
        <f aca="false">R37+R38-R39</f>
        <v>1454747.04701691</v>
      </c>
      <c r="S40" s="70" t="n">
        <f aca="false">S37+S38-S39</f>
        <v>1392734.46109751</v>
      </c>
      <c r="T40" s="70" t="n">
        <f aca="false">T37+T38-T39</f>
        <v>1353913.37130991</v>
      </c>
      <c r="U40" s="70" t="n">
        <f aca="false">U37+U38-U39</f>
        <v>1368708.04538702</v>
      </c>
      <c r="V40" s="70" t="n">
        <f aca="false">V37+V38-V39</f>
        <v>1420733.50958557</v>
      </c>
      <c r="W40" s="70" t="n">
        <f aca="false">W37+W38-W39</f>
        <v>1484324.82121168</v>
      </c>
      <c r="X40" s="70" t="n">
        <f aca="false">X37+X38-X39</f>
        <v>1532672.49369372</v>
      </c>
      <c r="Y40" s="70" t="n">
        <f aca="false">Y37+Y38-Y39</f>
        <v>1561508.79610328</v>
      </c>
      <c r="Z40" s="70" t="n">
        <f aca="false">Z37+Z38-Z39</f>
        <v>1574165.64510673</v>
      </c>
      <c r="AA40" s="70" t="n">
        <f aca="false">AA37+AA38-AA39</f>
        <v>1575191.10250893</v>
      </c>
      <c r="AB40" s="70" t="n">
        <f aca="false">AB37+AB38-AB39</f>
        <v>1560091.18819431</v>
      </c>
    </row>
    <row r="41" customFormat="false" ht="15" hidden="false" customHeight="false" outlineLevel="0" collapsed="false">
      <c r="A41" s="67" t="s">
        <v>421</v>
      </c>
      <c r="B41" s="68"/>
      <c r="C41" s="69" t="n">
        <f aca="false">P41</f>
        <v>1571845.4944913</v>
      </c>
      <c r="D41" s="69" t="n">
        <f aca="false">AB41</f>
        <v>1660091.18819431</v>
      </c>
      <c r="E41" s="69" t="n">
        <f aca="false">E36+E40</f>
        <v>1335330.77746528</v>
      </c>
      <c r="F41" s="69" t="n">
        <f aca="false">F36+F40</f>
        <v>1325816.86694444</v>
      </c>
      <c r="G41" s="69" t="n">
        <f aca="false">G36+G40</f>
        <v>1290929.25333333</v>
      </c>
      <c r="H41" s="69" t="n">
        <f aca="false">H36+H40</f>
        <v>1251886.94222222</v>
      </c>
      <c r="I41" s="69" t="n">
        <f aca="false">I36+I40</f>
        <v>1186039.97277778</v>
      </c>
      <c r="J41" s="69" t="n">
        <f aca="false">J36+J40</f>
        <v>1145396.97828125</v>
      </c>
      <c r="K41" s="69" t="n">
        <f aca="false">K36+K40</f>
        <v>1194749.53956597</v>
      </c>
      <c r="L41" s="69" t="n">
        <f aca="false">L36+L40</f>
        <v>1277271.39385417</v>
      </c>
      <c r="M41" s="69" t="n">
        <f aca="false">M36+M40</f>
        <v>1355526.90632352</v>
      </c>
      <c r="N41" s="69" t="n">
        <f aca="false">N36+N40</f>
        <v>1436653.49318696</v>
      </c>
      <c r="O41" s="69" t="n">
        <f aca="false">O36+O40</f>
        <v>1513333.39986245</v>
      </c>
      <c r="P41" s="69" t="n">
        <f aca="false">P36+P40</f>
        <v>1571845.4944913</v>
      </c>
      <c r="Q41" s="69" t="n">
        <f aca="false">Q36+Q40</f>
        <v>1585665.63191607</v>
      </c>
      <c r="R41" s="69" t="n">
        <f aca="false">R36+R40</f>
        <v>1554747.04701691</v>
      </c>
      <c r="S41" s="69" t="n">
        <f aca="false">S36+S40</f>
        <v>1492734.46109751</v>
      </c>
      <c r="T41" s="69" t="n">
        <f aca="false">T36+T40</f>
        <v>1453913.37130991</v>
      </c>
      <c r="U41" s="69" t="n">
        <f aca="false">U36+U40</f>
        <v>1468708.04538702</v>
      </c>
      <c r="V41" s="69" t="n">
        <f aca="false">V36+V40</f>
        <v>1520733.50958557</v>
      </c>
      <c r="W41" s="69" t="n">
        <f aca="false">W36+W40</f>
        <v>1584324.82121168</v>
      </c>
      <c r="X41" s="69" t="n">
        <f aca="false">X36+X40</f>
        <v>1632672.49369372</v>
      </c>
      <c r="Y41" s="69" t="n">
        <f aca="false">Y36+Y40</f>
        <v>1661508.79610328</v>
      </c>
      <c r="Z41" s="69" t="n">
        <f aca="false">Z36+Z40</f>
        <v>1674165.64510673</v>
      </c>
      <c r="AA41" s="69" t="n">
        <f aca="false">AA36+AA40</f>
        <v>1675191.10250893</v>
      </c>
      <c r="AB41" s="69" t="n">
        <f aca="false">AB36+AB40</f>
        <v>1660091.18819431</v>
      </c>
    </row>
    <row r="42" customFormat="false" ht="15" hidden="false" customHeight="false" outlineLevel="0" collapsed="false">
      <c r="A42" s="67" t="s">
        <v>422</v>
      </c>
      <c r="B42" s="68"/>
      <c r="C42" s="69" t="n">
        <f aca="false">P42</f>
        <v>2869710.88089922</v>
      </c>
      <c r="D42" s="69" t="n">
        <f aca="false">AB42</f>
        <v>2708036.85116232</v>
      </c>
      <c r="E42" s="69" t="n">
        <f aca="false">E34+E41</f>
        <v>2183345.04607704</v>
      </c>
      <c r="F42" s="69" t="n">
        <f aca="false">F34+F41</f>
        <v>2129025.00696813</v>
      </c>
      <c r="G42" s="69" t="n">
        <f aca="false">G34+G41</f>
        <v>2069920.72923583</v>
      </c>
      <c r="H42" s="69" t="n">
        <f aca="false">H34+H41</f>
        <v>1999502.6901872</v>
      </c>
      <c r="I42" s="69" t="n">
        <f aca="false">I34+I41</f>
        <v>1963923.26776722</v>
      </c>
      <c r="J42" s="69" t="n">
        <f aca="false">J34+J41</f>
        <v>2067832.61004242</v>
      </c>
      <c r="K42" s="69" t="n">
        <f aca="false">K34+K41</f>
        <v>2338277.49455008</v>
      </c>
      <c r="L42" s="69" t="n">
        <f aca="false">L34+L41</f>
        <v>2563956.00364441</v>
      </c>
      <c r="M42" s="69" t="n">
        <f aca="false">M34+M41</f>
        <v>2705479.62993933</v>
      </c>
      <c r="N42" s="69" t="n">
        <f aca="false">N34+N41</f>
        <v>2846541.24281305</v>
      </c>
      <c r="O42" s="69" t="n">
        <f aca="false">O34+O41</f>
        <v>2847528.52752561</v>
      </c>
      <c r="P42" s="69" t="n">
        <f aca="false">P34+P41</f>
        <v>2869710.88089922</v>
      </c>
      <c r="Q42" s="69" t="n">
        <f aca="false">Q34+Q41</f>
        <v>2747744.29122384</v>
      </c>
      <c r="R42" s="69" t="n">
        <f aca="false">R34+R41</f>
        <v>2624036.78612273</v>
      </c>
      <c r="S42" s="69" t="n">
        <f aca="false">S34+S41</f>
        <v>2487906.5827595</v>
      </c>
      <c r="T42" s="69" t="n">
        <f aca="false">T34+T41</f>
        <v>2514086.84432736</v>
      </c>
      <c r="U42" s="69" t="n">
        <f aca="false">U34+U41</f>
        <v>2623747.07392664</v>
      </c>
      <c r="V42" s="69" t="n">
        <f aca="false">V34+V41</f>
        <v>2802460.33673284</v>
      </c>
      <c r="W42" s="69" t="n">
        <f aca="false">W34+W41</f>
        <v>2919727.12307621</v>
      </c>
      <c r="X42" s="69" t="n">
        <f aca="false">X34+X41</f>
        <v>2977665.45804693</v>
      </c>
      <c r="Y42" s="69" t="n">
        <f aca="false">Y34+Y41</f>
        <v>2914735.09672559</v>
      </c>
      <c r="Z42" s="69" t="n">
        <f aca="false">Z34+Z41</f>
        <v>2878496.47424543</v>
      </c>
      <c r="AA42" s="69" t="n">
        <f aca="false">AA34+AA41</f>
        <v>2750615.59613303</v>
      </c>
      <c r="AB42" s="69" t="n">
        <f aca="false">AB34+AB41</f>
        <v>2708036.85116232</v>
      </c>
    </row>
    <row r="43" customFormat="false" ht="15" hidden="false" customHeight="false" outlineLevel="0" collapsed="false">
      <c r="A43" s="67" t="s">
        <v>423</v>
      </c>
      <c r="B43" s="68"/>
      <c r="C43" s="69" t="n">
        <f aca="false">P43</f>
        <v>0.01</v>
      </c>
      <c r="D43" s="69" t="n">
        <f aca="false">AB43</f>
        <v>0.01</v>
      </c>
      <c r="E43" s="69" t="n">
        <f aca="false">ROUND(E16-E42,2)</f>
        <v>0.01</v>
      </c>
      <c r="F43" s="69" t="n">
        <f aca="false">ROUND(F16-F42,2)</f>
        <v>0.01</v>
      </c>
      <c r="G43" s="69" t="n">
        <f aca="false">ROUND(G16-G42,2)</f>
        <v>0.01</v>
      </c>
      <c r="H43" s="69" t="n">
        <f aca="false">ROUND(H16-H42,2)</f>
        <v>0.01</v>
      </c>
      <c r="I43" s="69" t="n">
        <f aca="false">ROUND(I16-I42,2)</f>
        <v>0.01</v>
      </c>
      <c r="J43" s="69" t="n">
        <f aca="false">ROUND(J16-J42,2)</f>
        <v>0.01</v>
      </c>
      <c r="K43" s="69" t="n">
        <f aca="false">ROUND(K16-K42,2)</f>
        <v>0.01</v>
      </c>
      <c r="L43" s="69" t="n">
        <f aca="false">ROUND(L16-L42,2)</f>
        <v>0.01</v>
      </c>
      <c r="M43" s="69" t="n">
        <f aca="false">ROUND(M16-M42,2)</f>
        <v>0.01</v>
      </c>
      <c r="N43" s="69" t="n">
        <f aca="false">ROUND(N16-N42,2)</f>
        <v>0.01</v>
      </c>
      <c r="O43" s="69" t="n">
        <f aca="false">ROUND(O16-O42,2)</f>
        <v>0.01</v>
      </c>
      <c r="P43" s="69" t="n">
        <f aca="false">ROUND(P16-P42,2)</f>
        <v>0.01</v>
      </c>
      <c r="Q43" s="69" t="n">
        <f aca="false">ROUND(Q16-Q42,2)</f>
        <v>0.01</v>
      </c>
      <c r="R43" s="69" t="n">
        <f aca="false">ROUND(R16-R42,2)</f>
        <v>0.01</v>
      </c>
      <c r="S43" s="69" t="n">
        <f aca="false">ROUND(S16-S42,2)</f>
        <v>0.01</v>
      </c>
      <c r="T43" s="69" t="n">
        <f aca="false">ROUND(T16-T42,2)</f>
        <v>0.01</v>
      </c>
      <c r="U43" s="69" t="n">
        <f aca="false">ROUND(U16-U42,2)</f>
        <v>0.01</v>
      </c>
      <c r="V43" s="69" t="n">
        <f aca="false">ROUND(V16-V42,2)</f>
        <v>0.01</v>
      </c>
      <c r="W43" s="69" t="n">
        <f aca="false">ROUND(W16-W42,2)</f>
        <v>0.01</v>
      </c>
      <c r="X43" s="69" t="n">
        <f aca="false">ROUND(X16-X42,2)</f>
        <v>0.01</v>
      </c>
      <c r="Y43" s="69" t="n">
        <f aca="false">ROUND(Y16-Y42,2)</f>
        <v>0.01</v>
      </c>
      <c r="Z43" s="69" t="n">
        <f aca="false">ROUND(Z16-Z42,2)</f>
        <v>0.01</v>
      </c>
      <c r="AA43" s="69" t="n">
        <f aca="false">ROUND(AA16-AA42,2)</f>
        <v>0.01</v>
      </c>
      <c r="AB43" s="69" t="n">
        <f aca="false">ROUND(AB16-AB42,2)</f>
        <v>0.01</v>
      </c>
    </row>
    <row r="44" customFormat="false" ht="15" hidden="false" customHeight="false" outlineLevel="0" collapsed="false">
      <c r="A44" s="21" t="s">
        <v>424</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row>
    <row r="45" customFormat="false" ht="15" hidden="false" customHeight="false" outlineLevel="0" collapsed="false">
      <c r="A45" s="27" t="s">
        <v>425</v>
      </c>
      <c r="B45" s="56"/>
      <c r="C45" s="57" t="n">
        <f aca="false">P45</f>
        <v>970968.420225584</v>
      </c>
      <c r="D45" s="57" t="n">
        <f aca="false">AB45</f>
        <v>565641.986949952</v>
      </c>
      <c r="E45" s="70" t="n">
        <f aca="false">E10+E11+E12+E13-E18-E19-E20-E21-E22-E26</f>
        <v>720363.136787243</v>
      </c>
      <c r="F45" s="70" t="n">
        <f aca="false">F10+F11+F12+F13-F18-F19-F20-F21-F22-F26</f>
        <v>668946.508817706</v>
      </c>
      <c r="G45" s="70" t="n">
        <f aca="false">G10+G11+G12+G13-G18-G19-G20-G21-G22-G26</f>
        <v>544298.6316308</v>
      </c>
      <c r="H45" s="70" t="n">
        <f aca="false">H10+H11+H12+H13-H18-H19-H20-H21-H22-H26</f>
        <v>440363.445919615</v>
      </c>
      <c r="I45" s="70" t="n">
        <f aca="false">I10+I11+I12+I13-I18-I19-I20-I21-I22-I26</f>
        <v>313068.611375063</v>
      </c>
      <c r="J45" s="70" t="n">
        <f aca="false">J10+J11+J12+J13-J18-J19-J20-J21-J22-J26</f>
        <v>294104.639970246</v>
      </c>
      <c r="K45" s="70" t="n">
        <f aca="false">K10+K11+K12+K13-K18-K19-K20-K21-K22-K26</f>
        <v>493587.584680948</v>
      </c>
      <c r="L45" s="70" t="n">
        <f aca="false">L10+L11+L12+L13-L18-L19-L20-L21-L22-L26</f>
        <v>579507.721968151</v>
      </c>
      <c r="M45" s="70" t="n">
        <f aca="false">M10+M11+M12+M13-M18-M19-M20-M21-M22-M26</f>
        <v>751635.333306624</v>
      </c>
      <c r="N45" s="70" t="n">
        <f aca="false">N10+N11+N12+N13-N18-N19-N20-N21-N22-N26</f>
        <v>992302.504427847</v>
      </c>
      <c r="O45" s="70" t="n">
        <f aca="false">O10+O11+O12+O13-O18-O19-O20-O21-O22-O26</f>
        <v>1038275.04429891</v>
      </c>
      <c r="P45" s="70" t="n">
        <f aca="false">P10+P11+P12+P13-P18-P19-P20-P21-P22-P26</f>
        <v>970968.420225584</v>
      </c>
      <c r="Q45" s="70" t="n">
        <f aca="false">Q10+Q11+Q12+Q13-Q18-Q19-Q20-Q21-Q22-Q26</f>
        <v>852189.24075153</v>
      </c>
      <c r="R45" s="70" t="n">
        <f aca="false">R10+R11+R12+R13-R18-R19-R20-R21-R22-R26</f>
        <v>760364.589471367</v>
      </c>
      <c r="S45" s="70" t="n">
        <f aca="false">S10+S11+S12+S13-S18-S19-S20-S21-S22-S26</f>
        <v>598923.974655793</v>
      </c>
      <c r="T45" s="70" t="n">
        <f aca="false">T10+T11+T12+T13-T18-T19-T20-T21-T22-T26</f>
        <v>451092.380494484</v>
      </c>
      <c r="U45" s="70" t="n">
        <f aca="false">U10+U11+U12+U13-U18-U19-U20-U21-U22-U26</f>
        <v>455616.847876819</v>
      </c>
      <c r="V45" s="70" t="n">
        <f aca="false">V10+V11+V12+V13-V18-V19-V20-V21-V22-V26</f>
        <v>614447.264126076</v>
      </c>
      <c r="W45" s="70" t="n">
        <f aca="false">W10+W11+W12+W13-W18-W19-W20-W21-W22-W26</f>
        <v>747860.567751346</v>
      </c>
      <c r="X45" s="70" t="n">
        <f aca="false">X10+X11+X12+X13-X18-X19-X20-X21-X22-X26</f>
        <v>801905.636645632</v>
      </c>
      <c r="Y45" s="70" t="n">
        <f aca="false">Y10+Y11+Y12+Y13-Y18-Y19-Y20-Y21-Y22-Y26</f>
        <v>772390.20012029</v>
      </c>
      <c r="Z45" s="70" t="n">
        <f aca="false">Z10+Z11+Z12+Z13-Z18-Z19-Z20-Z21-Z22-Z26</f>
        <v>681269.569594078</v>
      </c>
      <c r="AA45" s="70" t="n">
        <f aca="false">AA10+AA11+AA12+AA13-AA18-AA19-AA20-AA21-AA22-AA26</f>
        <v>591124.153593638</v>
      </c>
      <c r="AB45" s="70" t="n">
        <f aca="false">AB10+AB11+AB12+AB13-AB18-AB19-AB20-AB21-AB22-AB26</f>
        <v>565641.986949952</v>
      </c>
    </row>
    <row r="46" customFormat="false" ht="15" hidden="false" customHeight="false" outlineLevel="0" collapsed="false">
      <c r="A46" s="27" t="s">
        <v>426</v>
      </c>
      <c r="B46" s="56"/>
      <c r="C46" s="57" t="n">
        <f aca="false">P46</f>
        <v>510691.877670916</v>
      </c>
      <c r="D46" s="57" t="n">
        <f aca="false">AB46</f>
        <v>990871.616904929</v>
      </c>
      <c r="E46" s="70" t="n">
        <f aca="false">E9-E32-E33</f>
        <v>363652.21552</v>
      </c>
      <c r="F46" s="70" t="n">
        <f aca="false">F9-F32-F33</f>
        <v>428906.32307</v>
      </c>
      <c r="G46" s="70" t="n">
        <f aca="false">G9-G32-G33</f>
        <v>515040.888295628</v>
      </c>
      <c r="H46" s="70" t="n">
        <f aca="false">H9-H32-H33</f>
        <v>557195.646465628</v>
      </c>
      <c r="I46" s="70" t="n">
        <f aca="false">I9-I32-I33</f>
        <v>621313.045730385</v>
      </c>
      <c r="J46" s="70" t="n">
        <f aca="false">J9-J32-J33</f>
        <v>618853.634341635</v>
      </c>
      <c r="K46" s="70" t="n">
        <f aca="false">K9-K32-K33</f>
        <v>468697.54463017</v>
      </c>
      <c r="L46" s="70" t="n">
        <f aca="false">L9-L32-L33</f>
        <v>493941.87266392</v>
      </c>
      <c r="M46" s="70" t="n">
        <f aca="false">M9-M32-M33</f>
        <v>395935.206679909</v>
      </c>
      <c r="N46" s="70" t="n">
        <f aca="false">N9-N32-N33</f>
        <v>287151.618426663</v>
      </c>
      <c r="O46" s="70" t="n">
        <f aca="false">O9-O32-O33</f>
        <v>319951.30545888</v>
      </c>
      <c r="P46" s="70" t="n">
        <f aca="false">P9-P32-P33</f>
        <v>510691.877670916</v>
      </c>
      <c r="Q46" s="70" t="n">
        <f aca="false">Q9-Q32-Q33</f>
        <v>591076.894475196</v>
      </c>
      <c r="R46" s="70" t="n">
        <f aca="false">R9-R32-R33</f>
        <v>701004.608165598</v>
      </c>
      <c r="S46" s="70" t="n">
        <f aca="false">S9-S32-S33</f>
        <v>683099.646864304</v>
      </c>
      <c r="T46" s="70" t="n">
        <f aca="false">T9-T32-T33</f>
        <v>831920.744864938</v>
      </c>
      <c r="U46" s="70" t="n">
        <f aca="false">U9-U32-U33</f>
        <v>814602.106154121</v>
      </c>
      <c r="V46" s="70" t="n">
        <f aca="false">V9-V32-V33</f>
        <v>734716.763914298</v>
      </c>
      <c r="W46" s="70" t="n">
        <f aca="false">W9-W32-W33</f>
        <v>678409.224336612</v>
      </c>
      <c r="X46" s="70" t="n">
        <f aca="false">X9-X32-X33</f>
        <v>715058.729927896</v>
      </c>
      <c r="Y46" s="70" t="n">
        <f aca="false">Y9-Y32-Y33</f>
        <v>770929.60004294</v>
      </c>
      <c r="Z46" s="70" t="n">
        <f aca="false">Z9-Z32-Z33</f>
        <v>912404.826195258</v>
      </c>
      <c r="AA46" s="70" t="n">
        <f aca="false">AA9-AA32-AA33</f>
        <v>947088.882099136</v>
      </c>
      <c r="AB46" s="70" t="n">
        <f aca="false">AB9-AB32-AB33</f>
        <v>990871.616904929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6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427</v>
      </c>
    </row>
    <row r="3" customFormat="false" ht="15" hidden="false" customHeight="false" outlineLevel="0" collapsed="false">
      <c r="A3" s="47" t="s">
        <v>428</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429</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430</v>
      </c>
      <c r="B9" s="56" t="s">
        <v>30</v>
      </c>
      <c r="C9" s="57" t="n">
        <f aca="false">SUM(E9:P9)</f>
        <v>241159.594491298</v>
      </c>
      <c r="D9" s="57" t="n">
        <f aca="false">SUM(Q9:AB9)</f>
        <v>88245.693703009</v>
      </c>
      <c r="E9" s="58" t="n">
        <f aca="false">PL!E63</f>
        <v>4644.87746527767</v>
      </c>
      <c r="F9" s="58" t="n">
        <f aca="false">PL!F63</f>
        <v>-9513.91052083327</v>
      </c>
      <c r="G9" s="58" t="n">
        <f aca="false">PL!G63</f>
        <v>-34887.6136111112</v>
      </c>
      <c r="H9" s="58" t="n">
        <f aca="false">PL!H63</f>
        <v>-39042.311111111</v>
      </c>
      <c r="I9" s="58" t="n">
        <f aca="false">PL!I63</f>
        <v>-65846.9694444445</v>
      </c>
      <c r="J9" s="58" t="n">
        <f aca="false">PL!J63</f>
        <v>-40642.9944965277</v>
      </c>
      <c r="K9" s="58" t="n">
        <f aca="false">PL!K63</f>
        <v>49352.5612847222</v>
      </c>
      <c r="L9" s="58" t="n">
        <f aca="false">PL!L63</f>
        <v>82521.8542881945</v>
      </c>
      <c r="M9" s="58" t="n">
        <f aca="false">PL!M63</f>
        <v>78255.5124693503</v>
      </c>
      <c r="N9" s="58" t="n">
        <f aca="false">PL!N63</f>
        <v>81126.5868634407</v>
      </c>
      <c r="O9" s="58" t="n">
        <f aca="false">PL!O63</f>
        <v>76679.9066754895</v>
      </c>
      <c r="P9" s="58" t="n">
        <f aca="false">PL!P63</f>
        <v>58512.0946288509</v>
      </c>
      <c r="Q9" s="58" t="n">
        <f aca="false">PL!Q63</f>
        <v>13820.1374247698</v>
      </c>
      <c r="R9" s="58" t="n">
        <f aca="false">PL!R63</f>
        <v>-30918.584899161</v>
      </c>
      <c r="S9" s="58" t="n">
        <f aca="false">PL!S63</f>
        <v>-62012.585919393</v>
      </c>
      <c r="T9" s="58" t="n">
        <f aca="false">PL!T63</f>
        <v>-38821.0897875993</v>
      </c>
      <c r="U9" s="58" t="n">
        <f aca="false">PL!U63</f>
        <v>14794.6740771058</v>
      </c>
      <c r="V9" s="58" t="n">
        <f aca="false">PL!V63</f>
        <v>52025.4641985486</v>
      </c>
      <c r="W9" s="58" t="n">
        <f aca="false">PL!W63</f>
        <v>63591.3116261131</v>
      </c>
      <c r="X9" s="58" t="n">
        <f aca="false">PL!X63</f>
        <v>48347.6724820422</v>
      </c>
      <c r="Y9" s="58" t="n">
        <f aca="false">PL!Y63</f>
        <v>28836.3024095535</v>
      </c>
      <c r="Z9" s="58" t="n">
        <f aca="false">PL!Z63</f>
        <v>12656.8490034531</v>
      </c>
      <c r="AA9" s="58" t="n">
        <f aca="false">PL!AA63</f>
        <v>1025.45740220393</v>
      </c>
      <c r="AB9" s="58" t="n">
        <f aca="false">PL!AB63</f>
        <v>-15099.9143146278</v>
      </c>
    </row>
    <row r="10" customFormat="false" ht="15" hidden="false" customHeight="false" outlineLevel="0" collapsed="false">
      <c r="A10" s="27" t="s">
        <v>431</v>
      </c>
      <c r="B10" s="56"/>
      <c r="C10" s="57" t="n">
        <f aca="false">SUM(E10:P10)</f>
        <v>139009.722222222</v>
      </c>
      <c r="D10" s="57" t="n">
        <f aca="false">SUM(Q10:AB10)</f>
        <v>153104.361111111</v>
      </c>
      <c r="E10" s="58" t="n">
        <f aca="false">-PL!E56</f>
        <v>10856.9444444444</v>
      </c>
      <c r="F10" s="58" t="n">
        <f aca="false">-PL!F56</f>
        <v>10856.9444444444</v>
      </c>
      <c r="G10" s="58" t="n">
        <f aca="false">-PL!G56</f>
        <v>11023.6111111111</v>
      </c>
      <c r="H10" s="58" t="n">
        <f aca="false">-PL!H56</f>
        <v>11684.0277777778</v>
      </c>
      <c r="I10" s="58" t="n">
        <f aca="false">-PL!I56</f>
        <v>11684.0277777778</v>
      </c>
      <c r="J10" s="58" t="n">
        <f aca="false">-PL!J56</f>
        <v>11748.6111111111</v>
      </c>
      <c r="K10" s="58" t="n">
        <f aca="false">-PL!K56</f>
        <v>11773.6111111111</v>
      </c>
      <c r="L10" s="58" t="n">
        <f aca="false">-PL!L56</f>
        <v>11826.3888888889</v>
      </c>
      <c r="M10" s="58" t="n">
        <f aca="false">-PL!M56</f>
        <v>11851.3888888889</v>
      </c>
      <c r="N10" s="58" t="n">
        <f aca="false">-PL!N56</f>
        <v>11876.3888888889</v>
      </c>
      <c r="O10" s="58" t="n">
        <f aca="false">-PL!O56</f>
        <v>11901.3888888889</v>
      </c>
      <c r="P10" s="58" t="n">
        <f aca="false">-PL!P56</f>
        <v>11926.3888888889</v>
      </c>
      <c r="Q10" s="58" t="n">
        <f aca="false">-PL!Q56</f>
        <v>12285.5972222222</v>
      </c>
      <c r="R10" s="58" t="n">
        <f aca="false">-PL!R56</f>
        <v>12311.4722222222</v>
      </c>
      <c r="S10" s="58" t="n">
        <f aca="false">-PL!S56</f>
        <v>13637.3472222222</v>
      </c>
      <c r="T10" s="58" t="n">
        <f aca="false">-PL!T56</f>
        <v>13663.2222222222</v>
      </c>
      <c r="U10" s="58" t="n">
        <f aca="false">-PL!U56</f>
        <v>13689.0972222222</v>
      </c>
      <c r="V10" s="58" t="n">
        <f aca="false">-PL!V56</f>
        <v>13714.9722222222</v>
      </c>
      <c r="W10" s="58" t="n">
        <f aca="false">-PL!W56</f>
        <v>13740.8472222222</v>
      </c>
      <c r="X10" s="58" t="n">
        <f aca="false">-PL!X56</f>
        <v>13766.7222222222</v>
      </c>
      <c r="Y10" s="58" t="n">
        <f aca="false">-PL!Y56</f>
        <v>11603.7083333333</v>
      </c>
      <c r="Z10" s="58" t="n">
        <f aca="false">-PL!Z56</f>
        <v>11537.9166666667</v>
      </c>
      <c r="AA10" s="58" t="n">
        <f aca="false">-PL!AA56</f>
        <v>11563.7916666667</v>
      </c>
      <c r="AB10" s="58" t="n">
        <f aca="false">-PL!AB56</f>
        <v>11589.6666666667</v>
      </c>
    </row>
    <row r="11" customFormat="false" ht="15" hidden="false" customHeight="false" outlineLevel="0" collapsed="false">
      <c r="A11" s="27" t="s">
        <v>432</v>
      </c>
      <c r="B11" s="56"/>
      <c r="C11" s="57" t="n">
        <f aca="false">SUM(E11:P11)</f>
        <v>9657.628125</v>
      </c>
      <c r="D11" s="57" t="n">
        <f aca="false">SUM(Q11:AB11)</f>
        <v>9999.2859375</v>
      </c>
      <c r="E11" s="58" t="n">
        <f aca="false">-PL!E58</f>
        <v>805</v>
      </c>
      <c r="F11" s="58" t="n">
        <f aca="false">-PL!F58</f>
        <v>782.575</v>
      </c>
      <c r="G11" s="58" t="n">
        <f aca="false">-PL!G58</f>
        <v>760.15</v>
      </c>
      <c r="H11" s="58" t="n">
        <f aca="false">-PL!H58</f>
        <v>737.725</v>
      </c>
      <c r="I11" s="58" t="n">
        <f aca="false">-PL!I58</f>
        <v>914.5375</v>
      </c>
      <c r="J11" s="58" t="n">
        <f aca="false">-PL!J58</f>
        <v>887.96171875</v>
      </c>
      <c r="K11" s="58" t="n">
        <f aca="false">-PL!K58</f>
        <v>861.3859375</v>
      </c>
      <c r="L11" s="58" t="n">
        <f aca="false">-PL!L58</f>
        <v>834.81015625</v>
      </c>
      <c r="M11" s="58" t="n">
        <f aca="false">-PL!M58</f>
        <v>808.234375</v>
      </c>
      <c r="N11" s="58" t="n">
        <f aca="false">-PL!N58</f>
        <v>781.65859375</v>
      </c>
      <c r="O11" s="58" t="n">
        <f aca="false">-PL!O58</f>
        <v>755.0828125</v>
      </c>
      <c r="P11" s="58" t="n">
        <f aca="false">-PL!P58</f>
        <v>728.50703125</v>
      </c>
      <c r="Q11" s="58" t="n">
        <f aca="false">-PL!Q58</f>
        <v>701.93125</v>
      </c>
      <c r="R11" s="58" t="n">
        <f aca="false">-PL!R58</f>
        <v>675.35546875</v>
      </c>
      <c r="S11" s="58" t="n">
        <f aca="false">-PL!S58</f>
        <v>648.7796875</v>
      </c>
      <c r="T11" s="58" t="n">
        <f aca="false">-PL!T58</f>
        <v>1025.85390625</v>
      </c>
      <c r="U11" s="58" t="n">
        <f aca="false">-PL!U58</f>
        <v>990.86875</v>
      </c>
      <c r="V11" s="58" t="n">
        <f aca="false">-PL!V58</f>
        <v>955.88359375</v>
      </c>
      <c r="W11" s="58" t="n">
        <f aca="false">-PL!W58</f>
        <v>920.8984375</v>
      </c>
      <c r="X11" s="58" t="n">
        <f aca="false">-PL!X58</f>
        <v>885.91328125</v>
      </c>
      <c r="Y11" s="58" t="n">
        <f aca="false">-PL!Y58</f>
        <v>850.928125</v>
      </c>
      <c r="Z11" s="58" t="n">
        <f aca="false">-PL!Z58</f>
        <v>815.94296875</v>
      </c>
      <c r="AA11" s="58" t="n">
        <f aca="false">-PL!AA58</f>
        <v>780.9578125</v>
      </c>
      <c r="AB11" s="58" t="n">
        <f aca="false">-PL!AB58</f>
        <v>745.97265625</v>
      </c>
    </row>
    <row r="12" customFormat="false" ht="15" hidden="false" customHeight="false" outlineLevel="0" collapsed="false">
      <c r="A12" s="27" t="s">
        <v>433</v>
      </c>
      <c r="B12" s="56"/>
      <c r="C12" s="57" t="n">
        <f aca="false">SUM(E12:P12)</f>
        <v>34451.370641614</v>
      </c>
      <c r="D12" s="57" t="n">
        <f aca="false">SUM(Q12:AB12)</f>
        <v>12606.5276718584</v>
      </c>
      <c r="E12" s="58" t="n">
        <f aca="false">-PL!E62</f>
        <v>663.553923611096</v>
      </c>
      <c r="F12" s="58" t="n">
        <f aca="false">-PL!F62</f>
        <v>-663.553923611096</v>
      </c>
      <c r="G12" s="58" t="n">
        <f aca="false">-PL!G62</f>
        <v>0</v>
      </c>
      <c r="H12" s="58" t="n">
        <f aca="false">-PL!H62</f>
        <v>0</v>
      </c>
      <c r="I12" s="58" t="n">
        <f aca="false">-PL!I62</f>
        <v>0</v>
      </c>
      <c r="J12" s="58" t="n">
        <f aca="false">-PL!J62</f>
        <v>0</v>
      </c>
      <c r="K12" s="58" t="n">
        <f aca="false">-PL!K62</f>
        <v>0</v>
      </c>
      <c r="L12" s="58" t="n">
        <f aca="false">-PL!L62</f>
        <v>0</v>
      </c>
      <c r="M12" s="58" t="n">
        <f aca="false">-PL!M62</f>
        <v>3548.71518907386</v>
      </c>
      <c r="N12" s="58" t="n">
        <f aca="false">-PL!N62</f>
        <v>11589.512409063</v>
      </c>
      <c r="O12" s="58" t="n">
        <f aca="false">-PL!O62</f>
        <v>10954.2723822128</v>
      </c>
      <c r="P12" s="58" t="n">
        <f aca="false">-PL!P62</f>
        <v>8358.87066126442</v>
      </c>
      <c r="Q12" s="58" t="n">
        <f aca="false">-PL!Q62</f>
        <v>1974.30534639569</v>
      </c>
      <c r="R12" s="58" t="n">
        <f aca="false">-PL!R62</f>
        <v>-1974.30534639569</v>
      </c>
      <c r="S12" s="58" t="n">
        <f aca="false">-PL!S62</f>
        <v>0</v>
      </c>
      <c r="T12" s="58" t="n">
        <f aca="false">-PL!T62</f>
        <v>0</v>
      </c>
      <c r="U12" s="58" t="n">
        <f aca="false">-PL!U62</f>
        <v>0</v>
      </c>
      <c r="V12" s="58" t="n">
        <f aca="false">-PL!V62</f>
        <v>0</v>
      </c>
      <c r="W12" s="58" t="n">
        <f aca="false">-PL!W62</f>
        <v>1782.76096005487</v>
      </c>
      <c r="X12" s="58" t="n">
        <f aca="false">-PL!X62</f>
        <v>6906.81035457746</v>
      </c>
      <c r="Y12" s="58" t="n">
        <f aca="false">-PL!Y62</f>
        <v>4119.47177279336</v>
      </c>
      <c r="Z12" s="58" t="n">
        <f aca="false">-PL!Z62</f>
        <v>1808.12128620759</v>
      </c>
      <c r="AA12" s="58" t="n">
        <f aca="false">-PL!AA62</f>
        <v>146.493914600562</v>
      </c>
      <c r="AB12" s="58" t="n">
        <f aca="false">-PL!AB62</f>
        <v>-2157.1306163754</v>
      </c>
    </row>
    <row r="13" customFormat="false" ht="15" hidden="false" customHeight="false" outlineLevel="0" collapsed="false">
      <c r="A13" s="67" t="s">
        <v>434</v>
      </c>
      <c r="B13" s="68"/>
      <c r="C13" s="69" t="n">
        <f aca="false">SUM(E13:P13)</f>
        <v>424278.315480134</v>
      </c>
      <c r="D13" s="69" t="n">
        <f aca="false">SUM(Q13:AB13)</f>
        <v>263955.868423479</v>
      </c>
      <c r="E13" s="69" t="n">
        <f aca="false">E9+E10+E11+E12</f>
        <v>16970.3758333332</v>
      </c>
      <c r="F13" s="69" t="n">
        <f aca="false">F9+F10+F11+F12</f>
        <v>1462.05500000008</v>
      </c>
      <c r="G13" s="69" t="n">
        <f aca="false">G9+G10+G11+G12</f>
        <v>-23103.8525</v>
      </c>
      <c r="H13" s="69" t="n">
        <f aca="false">H9+H10+H11+H12</f>
        <v>-26620.5583333333</v>
      </c>
      <c r="I13" s="69" t="n">
        <f aca="false">I9+I10+I11+I12</f>
        <v>-53248.4041666667</v>
      </c>
      <c r="J13" s="69" t="n">
        <f aca="false">J9+J10+J11+J12</f>
        <v>-28006.4216666666</v>
      </c>
      <c r="K13" s="69" t="n">
        <f aca="false">K9+K10+K11+K12</f>
        <v>61987.5583333333</v>
      </c>
      <c r="L13" s="69" t="n">
        <f aca="false">L9+L10+L11+L12</f>
        <v>95183.0533333334</v>
      </c>
      <c r="M13" s="69" t="n">
        <f aca="false">M9+M10+M11+M12</f>
        <v>94463.850922313</v>
      </c>
      <c r="N13" s="69" t="n">
        <f aca="false">N9+N10+N11+N12</f>
        <v>105374.146755143</v>
      </c>
      <c r="O13" s="69" t="n">
        <f aca="false">O9+O10+O11+O12</f>
        <v>100290.650759091</v>
      </c>
      <c r="P13" s="69" t="n">
        <f aca="false">P9+P10+P11+P12</f>
        <v>79525.8612102542</v>
      </c>
      <c r="Q13" s="69" t="n">
        <f aca="false">Q9+Q10+Q11+Q12</f>
        <v>28781.9712433877</v>
      </c>
      <c r="R13" s="69" t="n">
        <f aca="false">R9+R10+R11+R12</f>
        <v>-19906.0625545844</v>
      </c>
      <c r="S13" s="69" t="n">
        <f aca="false">S9+S10+S11+S12</f>
        <v>-47726.4590096708</v>
      </c>
      <c r="T13" s="69" t="n">
        <f aca="false">T9+T10+T11+T12</f>
        <v>-24132.0136591271</v>
      </c>
      <c r="U13" s="69" t="n">
        <f aca="false">U9+U10+U11+U12</f>
        <v>29474.6400493281</v>
      </c>
      <c r="V13" s="69" t="n">
        <f aca="false">V9+V10+V11+V12</f>
        <v>66696.3200145209</v>
      </c>
      <c r="W13" s="69" t="n">
        <f aca="false">W9+W10+W11+W12</f>
        <v>80035.8182458901</v>
      </c>
      <c r="X13" s="69" t="n">
        <f aca="false">X9+X10+X11+X12</f>
        <v>69907.1183400919</v>
      </c>
      <c r="Y13" s="69" t="n">
        <f aca="false">Y9+Y10+Y11+Y12</f>
        <v>45410.4106406802</v>
      </c>
      <c r="Z13" s="69" t="n">
        <f aca="false">Z9+Z10+Z11+Z12</f>
        <v>26818.8299250774</v>
      </c>
      <c r="AA13" s="69" t="n">
        <f aca="false">AA9+AA10+AA11+AA12</f>
        <v>13516.7007959712</v>
      </c>
      <c r="AB13" s="69" t="n">
        <f aca="false">AB9+AB10+AB11+AB12</f>
        <v>-4921.40560808655</v>
      </c>
    </row>
    <row r="14" customFormat="false" ht="15" hidden="false" customHeight="false" outlineLevel="0" collapsed="false">
      <c r="A14" s="27" t="s">
        <v>435</v>
      </c>
      <c r="B14" s="56" t="s">
        <v>436</v>
      </c>
      <c r="C14" s="57" t="n">
        <f aca="false">SUM(E14:P14)</f>
        <v>-423721.423772056</v>
      </c>
      <c r="D14" s="57" t="n">
        <f aca="false">SUM(Q14:AB14)</f>
        <v>372105.485600596</v>
      </c>
      <c r="E14" s="58" t="n">
        <f aca="false">-(BS!E10-(SUM(Project_Register!$AF$7:$AF$21)+Inputs_Actuals!$C$121+Inputs_Actuals!$C$123))</f>
        <v>6986.06948749989</v>
      </c>
      <c r="F14" s="58" t="n">
        <f aca="false">-(BS!F10-BS!E10)</f>
        <v>-19997.235845</v>
      </c>
      <c r="G14" s="58" t="n">
        <f aca="false">-(BS!G10-BS!F10)</f>
        <v>33534.3450825</v>
      </c>
      <c r="H14" s="58" t="n">
        <f aca="false">-(BS!H10-BS!G10)</f>
        <v>78963.6853174999</v>
      </c>
      <c r="I14" s="58" t="n">
        <f aca="false">-(BS!I10-BS!H10)</f>
        <v>58926.6234399999</v>
      </c>
      <c r="J14" s="58" t="n">
        <f aca="false">-(BS!J10-BS!I10)</f>
        <v>40484.17628</v>
      </c>
      <c r="K14" s="58" t="n">
        <f aca="false">-(BS!K10-BS!J10)</f>
        <v>-213068.9758875</v>
      </c>
      <c r="L14" s="58" t="n">
        <f aca="false">-(BS!L10-BS!K10)</f>
        <v>-148388.2409455</v>
      </c>
      <c r="M14" s="58" t="n">
        <f aca="false">-(BS!M10-BS!L10)</f>
        <v>-61563.9684773096</v>
      </c>
      <c r="N14" s="58" t="n">
        <f aca="false">-(BS!N10-BS!M10)</f>
        <v>-186151.51799107</v>
      </c>
      <c r="O14" s="58" t="n">
        <f aca="false">-(BS!O10-BS!N10)</f>
        <v>-37803.595191309</v>
      </c>
      <c r="P14" s="58" t="n">
        <f aca="false">-(BS!P10-BS!O10)</f>
        <v>24357.2109581329</v>
      </c>
      <c r="Q14" s="58" t="n">
        <f aca="false">-(BS!Q10-BS!P10)</f>
        <v>129660.552858881</v>
      </c>
      <c r="R14" s="58" t="n">
        <f aca="false">-(BS!R10-BS!Q10)</f>
        <v>90458.0106608352</v>
      </c>
      <c r="S14" s="58" t="n">
        <f aca="false">-(BS!S10-BS!R10)</f>
        <v>98899.4167779321</v>
      </c>
      <c r="T14" s="58" t="n">
        <f aca="false">-(BS!T10-BS!S10)</f>
        <v>125337.377507966</v>
      </c>
      <c r="U14" s="58" t="n">
        <f aca="false">-(BS!U10-BS!T10)</f>
        <v>1336.7120957161</v>
      </c>
      <c r="V14" s="58" t="n">
        <f aca="false">-(BS!V10-BS!U10)</f>
        <v>-130821.510264976</v>
      </c>
      <c r="W14" s="58" t="n">
        <f aca="false">-(BS!W10-BS!V10)</f>
        <v>-113428.460098924</v>
      </c>
      <c r="X14" s="58" t="n">
        <f aca="false">-(BS!X10-BS!W10)</f>
        <v>-37487.2651854213</v>
      </c>
      <c r="Y14" s="58" t="n">
        <f aca="false">-(BS!Y10-BS!X10)</f>
        <v>37824.9889811237</v>
      </c>
      <c r="Z14" s="58" t="n">
        <f aca="false">-(BS!Z10-BS!Y10)</f>
        <v>82297.0996909792</v>
      </c>
      <c r="AA14" s="58" t="n">
        <f aca="false">-(BS!AA10-BS!Z10)</f>
        <v>112362.539603566</v>
      </c>
      <c r="AB14" s="58" t="n">
        <f aca="false">-(BS!AB10-BS!AA10)</f>
        <v>-24333.9770270816</v>
      </c>
    </row>
    <row r="15" customFormat="false" ht="15" hidden="false" customHeight="false" outlineLevel="0" collapsed="false">
      <c r="A15" s="27" t="s">
        <v>437</v>
      </c>
      <c r="B15" s="56" t="s">
        <v>436</v>
      </c>
      <c r="C15" s="57" t="n">
        <f aca="false">SUM(E15:P15)</f>
        <v>-2201.65914848424</v>
      </c>
      <c r="D15" s="57" t="n">
        <f aca="false">SUM(Q15:AB15)</f>
        <v>-25039.4294660605</v>
      </c>
      <c r="E15" s="58" t="n">
        <f aca="false">-(BS!E11-Inputs_Actuals!$C$122)</f>
        <v>-61486.99</v>
      </c>
      <c r="F15" s="58" t="n">
        <f aca="false">-(BS!F11-BS!E11)</f>
        <v>62026.36</v>
      </c>
      <c r="G15" s="58" t="n">
        <f aca="false">-(BS!G11-BS!F11)</f>
        <v>25004.9</v>
      </c>
      <c r="H15" s="58" t="n">
        <f aca="false">-(BS!H11-BS!G11)</f>
        <v>25934.21</v>
      </c>
      <c r="I15" s="58" t="n">
        <f aca="false">-(BS!I11-BS!H11)</f>
        <v>5489.53999999999</v>
      </c>
      <c r="J15" s="58" t="n">
        <f aca="false">-(BS!J11-BS!I11)</f>
        <v>-30249.64</v>
      </c>
      <c r="K15" s="58" t="n">
        <f aca="false">-(BS!K11-BS!J11)</f>
        <v>-3354.70999999999</v>
      </c>
      <c r="L15" s="58" t="n">
        <f aca="false">-(BS!L11-BS!K11)</f>
        <v>46980.95</v>
      </c>
      <c r="M15" s="58" t="n">
        <f aca="false">-(BS!M11-BS!L11)</f>
        <v>-7984.94999999997</v>
      </c>
      <c r="N15" s="58" t="n">
        <f aca="false">-(BS!N11-BS!M11)</f>
        <v>-52570</v>
      </c>
      <c r="O15" s="58" t="n">
        <f aca="false">-(BS!O11-BS!N11)</f>
        <v>-20206</v>
      </c>
      <c r="P15" s="58" t="n">
        <f aca="false">-(BS!P11-BS!O11)</f>
        <v>8214.67085151575</v>
      </c>
      <c r="Q15" s="58" t="n">
        <f aca="false">-(BS!Q11-BS!P11)</f>
        <v>6723.149891023</v>
      </c>
      <c r="R15" s="58" t="n">
        <f aca="false">-(BS!R11-BS!Q11)</f>
        <v>9706.64127407936</v>
      </c>
      <c r="S15" s="58" t="n">
        <f aca="false">-(BS!S11-BS!R11)</f>
        <v>18398.9529124316</v>
      </c>
      <c r="T15" s="58" t="n">
        <f aca="false">-(BS!T11-BS!S11)</f>
        <v>18936.430137467</v>
      </c>
      <c r="U15" s="58" t="n">
        <f aca="false">-(BS!U11-BS!T11)</f>
        <v>-6416.44731079773</v>
      </c>
      <c r="V15" s="58" t="n">
        <f aca="false">-(BS!V11-BS!U11)</f>
        <v>-28276.7372121061</v>
      </c>
      <c r="W15" s="58" t="n">
        <f aca="false">-(BS!W11-BS!V11)</f>
        <v>-24638.6411589265</v>
      </c>
      <c r="X15" s="58" t="n">
        <f aca="false">-(BS!X11-BS!W11)</f>
        <v>-16341.4597127092</v>
      </c>
      <c r="Y15" s="58" t="n">
        <f aca="false">-(BS!Y11-BS!X11)</f>
        <v>-7646.45829298807</v>
      </c>
      <c r="Z15" s="58" t="n">
        <f aca="false">-(BS!Z11-BS!Y11)</f>
        <v>1458.71185317391</v>
      </c>
      <c r="AA15" s="58" t="n">
        <f aca="false">-(BS!AA11-BS!Z11)</f>
        <v>6233.88032289402</v>
      </c>
      <c r="AB15" s="58" t="n">
        <f aca="false">-(BS!AB11-BS!AA11)</f>
        <v>-3177.45216960192</v>
      </c>
    </row>
    <row r="16" customFormat="false" ht="15" hidden="false" customHeight="false" outlineLevel="0" collapsed="false">
      <c r="A16" s="27" t="s">
        <v>438</v>
      </c>
      <c r="B16" s="56" t="s">
        <v>436</v>
      </c>
      <c r="C16" s="57" t="n">
        <f aca="false">SUM(E16:P16)</f>
        <v>-88066.0285759618</v>
      </c>
      <c r="D16" s="57" t="n">
        <f aca="false">SUM(Q16:AB16)</f>
        <v>10583.6826379151</v>
      </c>
      <c r="E16" s="58" t="n">
        <f aca="false">-(BS!E12-(SUM(Project_Register!$AW$7:$AW$21)+Inputs_Actuals!$C$126+Inputs_Actuals!$C$127))</f>
        <v>-18203.972</v>
      </c>
      <c r="F16" s="58" t="n">
        <f aca="false">-(BS!F12-BS!E12)</f>
        <v>-19455.5915</v>
      </c>
      <c r="G16" s="58" t="n">
        <f aca="false">-(BS!G12-BS!F12)</f>
        <v>-16382.8535</v>
      </c>
      <c r="H16" s="58" t="n">
        <f aca="false">-(BS!H12-BS!G12)</f>
        <v>14967.008</v>
      </c>
      <c r="I16" s="58" t="n">
        <f aca="false">-(BS!I12-BS!H12)</f>
        <v>19800.583</v>
      </c>
      <c r="J16" s="58" t="n">
        <f aca="false">-(BS!J12-BS!I12)</f>
        <v>857.416499999992</v>
      </c>
      <c r="K16" s="58" t="n">
        <f aca="false">-(BS!K12-BS!J12)</f>
        <v>-15352.5855</v>
      </c>
      <c r="L16" s="58" t="n">
        <f aca="false">-(BS!L12-BS!K12)</f>
        <v>-21998.7207</v>
      </c>
      <c r="M16" s="58" t="n">
        <f aca="false">-(BS!M12-BS!L12)</f>
        <v>-22446.7438756512</v>
      </c>
      <c r="N16" s="58" t="n">
        <f aca="false">-(BS!N12-BS!M12)</f>
        <v>-30147.422124372</v>
      </c>
      <c r="O16" s="58" t="n">
        <f aca="false">-(BS!O12-BS!N12)</f>
        <v>-2397.2771166226</v>
      </c>
      <c r="P16" s="58" t="n">
        <f aca="false">-(BS!P12-BS!O12)</f>
        <v>22694.130240684</v>
      </c>
      <c r="Q16" s="58" t="n">
        <f aca="false">-(BS!Q12-BS!P12)</f>
        <v>-14469.1812303469</v>
      </c>
      <c r="R16" s="58" t="n">
        <f aca="false">-(BS!R12-BS!Q12)</f>
        <v>-22351.2413446005</v>
      </c>
      <c r="S16" s="58" t="n">
        <f aca="false">-(BS!S12-BS!R12)</f>
        <v>31532.6047400296</v>
      </c>
      <c r="T16" s="58" t="n">
        <f aca="false">-(BS!T12-BS!S12)</f>
        <v>39739.9415134174</v>
      </c>
      <c r="U16" s="58" t="n">
        <f aca="false">-(BS!U12-BS!T12)</f>
        <v>13585.4832443844</v>
      </c>
      <c r="V16" s="58" t="n">
        <f aca="false">-(BS!V12-BS!U12)</f>
        <v>-19819.7049950703</v>
      </c>
      <c r="W16" s="58" t="n">
        <f aca="false">-(BS!W12-BS!V12)</f>
        <v>-23578.5445012432</v>
      </c>
      <c r="X16" s="58" t="n">
        <f aca="false">-(BS!X12-BS!W12)</f>
        <v>-24840.0352741341</v>
      </c>
      <c r="Y16" s="58" t="n">
        <f aca="false">-(BS!Y12-BS!X12)</f>
        <v>-23443.7341650551</v>
      </c>
      <c r="Z16" s="58" t="n">
        <f aca="false">-(BS!Z12-BS!Y12)</f>
        <v>2678.01598707255</v>
      </c>
      <c r="AA16" s="58" t="n">
        <f aca="false">-(BS!AA12-BS!Z12)</f>
        <v>-11205.7913129832</v>
      </c>
      <c r="AB16" s="58" t="n">
        <f aca="false">-(BS!AB12-BS!AA12)</f>
        <v>62755.8699764445</v>
      </c>
    </row>
    <row r="17" customFormat="false" ht="15" hidden="false" customHeight="false" outlineLevel="0" collapsed="false">
      <c r="A17" s="27" t="s">
        <v>439</v>
      </c>
      <c r="B17" s="56" t="s">
        <v>436</v>
      </c>
      <c r="C17" s="57" t="n">
        <f aca="false">SUM(E17:P17)</f>
        <v>-192138.038954026</v>
      </c>
      <c r="D17" s="57" t="n">
        <f aca="false">SUM(Q17:AB17)</f>
        <v>237578.669087353</v>
      </c>
      <c r="E17" s="58" t="n">
        <f aca="false">-(BS!E13-(SUMPRODUCT((Project_Register!$AD$7:$AD$21-Project_Register!$AE$7:$AE$21&gt;0)*(Project_Register!$AD$7:$AD$21-Project_Register!$AE$7:$AE$21))+MAX(0,Inputs_Actuals!$C$124)+MAX(0,Inputs_Actuals!$C$125)))</f>
        <v>-8918.3074889867</v>
      </c>
      <c r="F17" s="58" t="n">
        <f aca="false">-(BS!F13-BS!E13)</f>
        <v>82243.6695594714</v>
      </c>
      <c r="G17" s="58" t="n">
        <f aca="false">-(BS!G13-BS!F13)</f>
        <v>94758.8402643172</v>
      </c>
      <c r="H17" s="58" t="n">
        <f aca="false">-(BS!H13-BS!G13)</f>
        <v>51173.8661233481</v>
      </c>
      <c r="I17" s="58" t="n">
        <f aca="false">-(BS!I13-BS!H13)</f>
        <v>-825.827533039788</v>
      </c>
      <c r="J17" s="58" t="n">
        <f aca="false">-(BS!J13-BS!I13)</f>
        <v>-130731.192555066</v>
      </c>
      <c r="K17" s="58" t="n">
        <f aca="false">-(BS!K13-BS!J13)</f>
        <v>-204020.188942731</v>
      </c>
      <c r="L17" s="58" t="n">
        <f aca="false">-(BS!L13-BS!K13)</f>
        <v>-91576.4333039648</v>
      </c>
      <c r="M17" s="58" t="n">
        <f aca="false">-(BS!M13-BS!L13)</f>
        <v>-162807.893814864</v>
      </c>
      <c r="N17" s="58" t="n">
        <f aca="false">-(BS!N13-BS!M13)</f>
        <v>3725.47509958688</v>
      </c>
      <c r="O17" s="58" t="n">
        <f aca="false">-(BS!O13-BS!N13)</f>
        <v>76896.0107386992</v>
      </c>
      <c r="P17" s="58" t="n">
        <f aca="false">-(BS!P13-BS!O13)</f>
        <v>97943.9428992044</v>
      </c>
      <c r="Q17" s="58" t="n">
        <f aca="false">-(BS!Q13-BS!P13)</f>
        <v>76771.6127378881</v>
      </c>
      <c r="R17" s="58" t="n">
        <f aca="false">-(BS!R13-BS!Q13)</f>
        <v>140130.460978972</v>
      </c>
      <c r="S17" s="58" t="n">
        <f aca="false">-(BS!S13-BS!R13)</f>
        <v>100577.045409317</v>
      </c>
      <c r="T17" s="58" t="n">
        <f aca="false">-(BS!T13-BS!S13)</f>
        <v>-79878.509948294</v>
      </c>
      <c r="U17" s="58" t="n">
        <f aca="false">-(BS!U13-BS!T13)</f>
        <v>-154016.088561629</v>
      </c>
      <c r="V17" s="58" t="n">
        <f aca="false">-(BS!V13-BS!U13)</f>
        <v>-98237.9997960848</v>
      </c>
      <c r="W17" s="58" t="n">
        <f aca="false">-(BS!W13-BS!V13)</f>
        <v>-30511.9023841879</v>
      </c>
      <c r="X17" s="58" t="n">
        <f aca="false">-(BS!X13-BS!W13)</f>
        <v>38770.8335706038</v>
      </c>
      <c r="Y17" s="58" t="n">
        <f aca="false">-(BS!Y13-BS!X13)</f>
        <v>95620.3515799679</v>
      </c>
      <c r="Z17" s="58" t="n">
        <f aca="false">-(BS!Z13-BS!Y13)</f>
        <v>74899.7294345869</v>
      </c>
      <c r="AA17" s="58" t="n">
        <f aca="false">-(BS!AA13-BS!Z13)</f>
        <v>38768.1387361384</v>
      </c>
      <c r="AB17" s="58" t="n">
        <f aca="false">-(BS!AB13-BS!AA13)</f>
        <v>34684.9973300746</v>
      </c>
    </row>
    <row r="18" customFormat="false" ht="15" hidden="false" customHeight="false" outlineLevel="0" collapsed="false">
      <c r="A18" s="27" t="s">
        <v>440</v>
      </c>
      <c r="B18" s="56" t="s">
        <v>436</v>
      </c>
      <c r="C18" s="57" t="n">
        <f aca="false">SUM(E18:P18)</f>
        <v>0</v>
      </c>
      <c r="D18" s="57" t="n">
        <f aca="false">SUM(Q18:AB18)</f>
        <v>0</v>
      </c>
      <c r="E18" s="58" t="n">
        <f aca="false">-(BS!E14-Inputs_Actuals!$C$128)</f>
        <v>-0</v>
      </c>
      <c r="F18" s="58" t="n">
        <f aca="false">-(BS!F14-BS!E14)</f>
        <v>-0</v>
      </c>
      <c r="G18" s="58" t="n">
        <f aca="false">-(BS!G14-BS!F14)</f>
        <v>-0</v>
      </c>
      <c r="H18" s="58" t="n">
        <f aca="false">-(BS!H14-BS!G14)</f>
        <v>-0</v>
      </c>
      <c r="I18" s="58" t="n">
        <f aca="false">-(BS!I14-BS!H14)</f>
        <v>-0</v>
      </c>
      <c r="J18" s="58" t="n">
        <f aca="false">-(BS!J14-BS!I14)</f>
        <v>-0</v>
      </c>
      <c r="K18" s="58" t="n">
        <f aca="false">-(BS!K14-BS!J14)</f>
        <v>-0</v>
      </c>
      <c r="L18" s="58" t="n">
        <f aca="false">-(BS!L14-BS!K14)</f>
        <v>-0</v>
      </c>
      <c r="M18" s="58" t="n">
        <f aca="false">-(BS!M14-BS!L14)</f>
        <v>-0</v>
      </c>
      <c r="N18" s="58" t="n">
        <f aca="false">-(BS!N14-BS!M14)</f>
        <v>-0</v>
      </c>
      <c r="O18" s="58" t="n">
        <f aca="false">-(BS!O14-BS!N14)</f>
        <v>-0</v>
      </c>
      <c r="P18" s="58" t="n">
        <f aca="false">-(BS!P14-BS!O14)</f>
        <v>-0</v>
      </c>
      <c r="Q18" s="58" t="n">
        <f aca="false">-(BS!Q14-BS!P14)</f>
        <v>-0</v>
      </c>
      <c r="R18" s="58" t="n">
        <f aca="false">-(BS!R14-BS!Q14)</f>
        <v>-0</v>
      </c>
      <c r="S18" s="58" t="n">
        <f aca="false">-(BS!S14-BS!R14)</f>
        <v>-0</v>
      </c>
      <c r="T18" s="58" t="n">
        <f aca="false">-(BS!T14-BS!S14)</f>
        <v>-0</v>
      </c>
      <c r="U18" s="58" t="n">
        <f aca="false">-(BS!U14-BS!T14)</f>
        <v>-0</v>
      </c>
      <c r="V18" s="58" t="n">
        <f aca="false">-(BS!V14-BS!U14)</f>
        <v>-0</v>
      </c>
      <c r="W18" s="58" t="n">
        <f aca="false">-(BS!W14-BS!V14)</f>
        <v>-0</v>
      </c>
      <c r="X18" s="58" t="n">
        <f aca="false">-(BS!X14-BS!W14)</f>
        <v>-0</v>
      </c>
      <c r="Y18" s="58" t="n">
        <f aca="false">-(BS!Y14-BS!X14)</f>
        <v>-0</v>
      </c>
      <c r="Z18" s="58" t="n">
        <f aca="false">-(BS!Z14-BS!Y14)</f>
        <v>-0</v>
      </c>
      <c r="AA18" s="58" t="n">
        <f aca="false">-(BS!AA14-BS!Z14)</f>
        <v>-0</v>
      </c>
      <c r="AB18" s="58" t="n">
        <f aca="false">-(BS!AB14-BS!AA14)</f>
        <v>-0</v>
      </c>
    </row>
    <row r="19" customFormat="false" ht="15" hidden="false" customHeight="false" outlineLevel="0" collapsed="false">
      <c r="A19" s="27" t="s">
        <v>441</v>
      </c>
      <c r="B19" s="56" t="s">
        <v>436</v>
      </c>
      <c r="C19" s="57" t="n">
        <f aca="false">SUM(E19:P19)</f>
        <v>194097.787365075</v>
      </c>
      <c r="D19" s="57" t="n">
        <f aca="false">SUM(Q19:AB19)</f>
        <v>-84216.9301621699</v>
      </c>
      <c r="E19" s="58" t="n">
        <f aca="false">(BS!E18-Inputs_Actuals!$C$135)</f>
        <v>70395.4585</v>
      </c>
      <c r="F19" s="58" t="n">
        <f aca="false">(BS!F18-BS!E18)</f>
        <v>-33846.836</v>
      </c>
      <c r="G19" s="58" t="n">
        <f aca="false">(BS!G18-BS!F18)</f>
        <v>-38230.398</v>
      </c>
      <c r="H19" s="58" t="n">
        <f aca="false">(BS!H18-BS!G18)</f>
        <v>-21576.1490000001</v>
      </c>
      <c r="I19" s="58" t="n">
        <f aca="false">(BS!I18-BS!H18)</f>
        <v>15709.4815</v>
      </c>
      <c r="J19" s="58" t="n">
        <f aca="false">(BS!J18-BS!I18)</f>
        <v>54753.016</v>
      </c>
      <c r="K19" s="58" t="n">
        <f aca="false">(BS!K18-BS!J18)</f>
        <v>107738.29</v>
      </c>
      <c r="L19" s="58" t="n">
        <f aca="false">(BS!L18-BS!K18)</f>
        <v>68608.9805</v>
      </c>
      <c r="M19" s="58" t="n">
        <f aca="false">(BS!M18-BS!L18)</f>
        <v>18649.7615498985</v>
      </c>
      <c r="N19" s="58" t="n">
        <f aca="false">(BS!N18-BS!M18)</f>
        <v>5063.8029496629</v>
      </c>
      <c r="O19" s="58" t="n">
        <f aca="false">(BS!O18-BS!N18)</f>
        <v>-27931.8393950585</v>
      </c>
      <c r="P19" s="58" t="n">
        <f aca="false">(BS!P18-BS!O18)</f>
        <v>-25235.7812394279</v>
      </c>
      <c r="Q19" s="58" t="n">
        <f aca="false">(BS!Q18-BS!P18)</f>
        <v>-45135.4433592471</v>
      </c>
      <c r="R19" s="58" t="n">
        <f aca="false">(BS!R18-BS!Q18)</f>
        <v>-70193.5886782612</v>
      </c>
      <c r="S19" s="58" t="n">
        <f aca="false">(BS!S18-BS!R18)</f>
        <v>-21045.9272711792</v>
      </c>
      <c r="T19" s="58" t="n">
        <f aca="false">(BS!T18-BS!S18)</f>
        <v>30757.5538151872</v>
      </c>
      <c r="U19" s="58" t="n">
        <f aca="false">(BS!U18-BS!T18)</f>
        <v>64412.8098077048</v>
      </c>
      <c r="V19" s="58" t="n">
        <f aca="false">(BS!V18-BS!U18)</f>
        <v>40157.4843235878</v>
      </c>
      <c r="W19" s="58" t="n">
        <f aca="false">(BS!W18-BS!V18)</f>
        <v>19258.3495925881</v>
      </c>
      <c r="X19" s="58" t="n">
        <f aca="false">(BS!X18-BS!W18)</f>
        <v>-14040.7351167376</v>
      </c>
      <c r="Y19" s="58" t="n">
        <f aca="false">(BS!Y18-BS!X18)</f>
        <v>-43250.1502670852</v>
      </c>
      <c r="Z19" s="58" t="n">
        <f aca="false">(BS!Z18-BS!Y18)</f>
        <v>-27092.9053323634</v>
      </c>
      <c r="AA19" s="58" t="n">
        <f aca="false">(BS!AA18-BS!Z18)</f>
        <v>-32460.3710698554</v>
      </c>
      <c r="AB19" s="58" t="n">
        <f aca="false">(BS!AB18-BS!AA18)</f>
        <v>14415.9933934913</v>
      </c>
    </row>
    <row r="20" customFormat="false" ht="15" hidden="false" customHeight="false" outlineLevel="0" collapsed="false">
      <c r="A20" s="27" t="s">
        <v>442</v>
      </c>
      <c r="B20" s="56" t="s">
        <v>436</v>
      </c>
      <c r="C20" s="57" t="n">
        <f aca="false">SUM(E20:P20)</f>
        <v>75190.088348179</v>
      </c>
      <c r="D20" s="57" t="n">
        <f aca="false">SUM(Q20:AB20)</f>
        <v>-8320.81983274171</v>
      </c>
      <c r="E20" s="58" t="n">
        <f aca="false">(BS!E19-SUM(Project_Register!$AX$7:$AX$21))</f>
        <v>8889.8915</v>
      </c>
      <c r="F20" s="58" t="n">
        <f aca="false">(BS!F19-BS!E19)</f>
        <v>6950.306</v>
      </c>
      <c r="G20" s="58" t="n">
        <f aca="false">(BS!G19-BS!F19)</f>
        <v>4478.838</v>
      </c>
      <c r="H20" s="58" t="n">
        <f aca="false">(BS!H19-BS!G19)</f>
        <v>-7005.311</v>
      </c>
      <c r="I20" s="58" t="n">
        <f aca="false">(BS!I19-BS!H19)</f>
        <v>-8743.4515</v>
      </c>
      <c r="J20" s="58" t="n">
        <f aca="false">(BS!J19-BS!I19)</f>
        <v>7479.414</v>
      </c>
      <c r="K20" s="58" t="n">
        <f aca="false">(BS!K19-BS!J19)</f>
        <v>11024.13</v>
      </c>
      <c r="L20" s="58" t="n">
        <f aca="false">(BS!L19-BS!K19)</f>
        <v>11993.0295</v>
      </c>
      <c r="M20" s="58" t="n">
        <f aca="false">(BS!M19-BS!L19)</f>
        <v>14613.0616726863</v>
      </c>
      <c r="N20" s="58" t="n">
        <f aca="false">(BS!N19-BS!M19)</f>
        <v>14854.0354954046</v>
      </c>
      <c r="O20" s="58" t="n">
        <f aca="false">(BS!O19-BS!N19)</f>
        <v>13521.6119315222</v>
      </c>
      <c r="P20" s="58" t="n">
        <f aca="false">(BS!P19-BS!O19)</f>
        <v>-2865.46725143406</v>
      </c>
      <c r="Q20" s="58" t="n">
        <f aca="false">(BS!Q19-BS!P19)</f>
        <v>6455.7384459568</v>
      </c>
      <c r="R20" s="58" t="n">
        <f aca="false">(BS!R19-BS!Q19)</f>
        <v>7663.58673169752</v>
      </c>
      <c r="S20" s="58" t="n">
        <f aca="false">(BS!S19-BS!R19)</f>
        <v>-21046.5289577469</v>
      </c>
      <c r="T20" s="58" t="n">
        <f aca="false">(BS!T19-BS!S19)</f>
        <v>-14579.4739876543</v>
      </c>
      <c r="U20" s="58" t="n">
        <f aca="false">(BS!U19-BS!T19)</f>
        <v>-3203.6781728395</v>
      </c>
      <c r="V20" s="58" t="n">
        <f aca="false">(BS!V19-BS!U19)</f>
        <v>11840.3841049383</v>
      </c>
      <c r="W20" s="58" t="n">
        <f aca="false">(BS!W19-BS!V19)</f>
        <v>12428.799845679</v>
      </c>
      <c r="X20" s="58" t="n">
        <f aca="false">(BS!X19-BS!W19)</f>
        <v>11594.1203132311</v>
      </c>
      <c r="Y20" s="58" t="n">
        <f aca="false">(BS!Y19-BS!X19)</f>
        <v>9444.07786113866</v>
      </c>
      <c r="Z20" s="58" t="n">
        <f aca="false">(BS!Z19-BS!Y19)</f>
        <v>-3506.58374726957</v>
      </c>
      <c r="AA20" s="58" t="n">
        <f aca="false">(BS!AA19-BS!Z19)</f>
        <v>4811.14400941841</v>
      </c>
      <c r="AB20" s="58" t="n">
        <f aca="false">(BS!AB19-BS!AA19)</f>
        <v>-30222.4062792912</v>
      </c>
    </row>
    <row r="21" customFormat="false" ht="15" hidden="false" customHeight="false" outlineLevel="0" collapsed="false">
      <c r="A21" s="27" t="s">
        <v>443</v>
      </c>
      <c r="B21" s="56" t="s">
        <v>436</v>
      </c>
      <c r="C21" s="57" t="n">
        <f aca="false">SUM(E21:P21)</f>
        <v>223685.894267101</v>
      </c>
      <c r="D21" s="57" t="n">
        <f aca="false">SUM(Q21:AB21)</f>
        <v>-79101.3946674522</v>
      </c>
      <c r="E21" s="58" t="n">
        <f aca="false">(BS!E20-Inputs_Actuals!$C$136)</f>
        <v>70555.8369</v>
      </c>
      <c r="F21" s="58" t="n">
        <f aca="false">(BS!F20-BS!E20)</f>
        <v>-4409.49280000001</v>
      </c>
      <c r="G21" s="58" t="n">
        <f aca="false">(BS!G20-BS!F20)</f>
        <v>-3911.54200000002</v>
      </c>
      <c r="H21" s="58" t="n">
        <f aca="false">(BS!H20-BS!G20)</f>
        <v>-30404.6787</v>
      </c>
      <c r="I21" s="58" t="n">
        <f aca="false">(BS!I20-BS!H20)</f>
        <v>9289.3726</v>
      </c>
      <c r="J21" s="58" t="n">
        <f aca="false">(BS!J20-BS!I20)</f>
        <v>72727.4956999999</v>
      </c>
      <c r="K21" s="58" t="n">
        <f aca="false">(BS!K20-BS!J20)</f>
        <v>100617.7513</v>
      </c>
      <c r="L21" s="58" t="n">
        <f aca="false">(BS!L20-BS!K20)</f>
        <v>37541.0944000001</v>
      </c>
      <c r="M21" s="58" t="n">
        <f aca="false">(BS!M20-BS!L20)</f>
        <v>13882.8462501691</v>
      </c>
      <c r="N21" s="58" t="n">
        <f aca="false">(BS!N20-BS!M20)</f>
        <v>12022.7593986321</v>
      </c>
      <c r="O21" s="58" t="n">
        <f aca="false">(BS!O20-BS!N20)</f>
        <v>-20070.9839438636</v>
      </c>
      <c r="P21" s="58" t="n">
        <f aca="false">(BS!P20-BS!O20)</f>
        <v>-34154.5648378364</v>
      </c>
      <c r="Q21" s="58" t="n">
        <f aca="false">(BS!Q20-BS!P20)</f>
        <v>-33889.6917010957</v>
      </c>
      <c r="R21" s="58" t="n">
        <f aca="false">(BS!R20-BS!Q20)</f>
        <v>-48101.0087682325</v>
      </c>
      <c r="S21" s="58" t="n">
        <f aca="false">(BS!S20-BS!R20)</f>
        <v>-42644.2065096202</v>
      </c>
      <c r="T21" s="58" t="n">
        <f aca="false">(BS!T20-BS!S20)</f>
        <v>11931.3256830578</v>
      </c>
      <c r="U21" s="58" t="n">
        <f aca="false">(BS!U20-BS!T20)</f>
        <v>57756.9901654094</v>
      </c>
      <c r="V21" s="58" t="n">
        <f aca="false">(BS!V20-BS!U20)</f>
        <v>54482.5871382918</v>
      </c>
      <c r="W21" s="58" t="n">
        <f aca="false">(BS!W20-BS!V20)</f>
        <v>26899.3878934292</v>
      </c>
      <c r="X21" s="58" t="n">
        <f aca="false">(BS!X20-BS!W20)</f>
        <v>-3819.29162956512</v>
      </c>
      <c r="Y21" s="58" t="n">
        <f aca="false">(BS!Y20-BS!X20)</f>
        <v>-28910.5575912675</v>
      </c>
      <c r="Z21" s="58" t="n">
        <f aca="false">(BS!Z20-BS!Y20)</f>
        <v>-31495.9699191664</v>
      </c>
      <c r="AA21" s="58" t="n">
        <f aca="false">(BS!AA20-BS!Z20)</f>
        <v>-22046.8586491838</v>
      </c>
      <c r="AB21" s="58" t="n">
        <f aca="false">(BS!AB20-BS!AA20)</f>
        <v>-19264.1007795092</v>
      </c>
    </row>
    <row r="22" customFormat="false" ht="15" hidden="false" customHeight="false" outlineLevel="0" collapsed="false">
      <c r="A22" s="27" t="s">
        <v>444</v>
      </c>
      <c r="B22" s="56" t="s">
        <v>436</v>
      </c>
      <c r="C22" s="57" t="n">
        <f aca="false">SUM(E22:P22)</f>
        <v>46835.1059540364</v>
      </c>
      <c r="D22" s="57" t="n">
        <f aca="false">SUM(Q22:AB22)</f>
        <v>-20819.2048210406</v>
      </c>
      <c r="E22" s="58" t="n">
        <f aca="false">(BS!E21-Inputs_Actuals!$C$137)</f>
        <v>20614.4819</v>
      </c>
      <c r="F22" s="58" t="n">
        <f aca="false">(BS!F21-BS!E21)</f>
        <v>-12699.1822</v>
      </c>
      <c r="G22" s="58" t="n">
        <f aca="false">(BS!G21-BS!F21)</f>
        <v>-6053.47819999998</v>
      </c>
      <c r="H22" s="58" t="n">
        <f aca="false">(BS!H21-BS!G21)</f>
        <v>-3766.3392</v>
      </c>
      <c r="I22" s="58" t="n">
        <f aca="false">(BS!I21-BS!H21)</f>
        <v>12473.698</v>
      </c>
      <c r="J22" s="58" t="n">
        <f aca="false">(BS!J21-BS!I21)</f>
        <v>21847.4266</v>
      </c>
      <c r="K22" s="58" t="n">
        <f aca="false">(BS!K21-BS!J21)</f>
        <v>3476.75519999999</v>
      </c>
      <c r="L22" s="58" t="n">
        <f aca="false">(BS!L21-BS!K21)</f>
        <v>28005.2752</v>
      </c>
      <c r="M22" s="58" t="n">
        <f aca="false">(BS!M21-BS!L21)</f>
        <v>366.37158457021</v>
      </c>
      <c r="N22" s="58" t="n">
        <f aca="false">(BS!N21-BS!M21)</f>
        <v>-1238.3761472951</v>
      </c>
      <c r="O22" s="58" t="n">
        <f aca="false">(BS!O21-BS!N21)</f>
        <v>-6987.36254749654</v>
      </c>
      <c r="P22" s="58" t="n">
        <f aca="false">(BS!P21-BS!O21)</f>
        <v>-9204.16423574217</v>
      </c>
      <c r="Q22" s="58" t="n">
        <f aca="false">(BS!Q21-BS!P21)</f>
        <v>-7379.43588945545</v>
      </c>
      <c r="R22" s="58" t="n">
        <f aca="false">(BS!R21-BS!Q21)</f>
        <v>-13938.6619961959</v>
      </c>
      <c r="S22" s="58" t="n">
        <f aca="false">(BS!S21-BS!R21)</f>
        <v>-10177.7763981195</v>
      </c>
      <c r="T22" s="58" t="n">
        <f aca="false">(BS!T21-BS!S21)</f>
        <v>7599.16732688053</v>
      </c>
      <c r="U22" s="58" t="n">
        <f aca="false">(BS!U21-BS!T21)</f>
        <v>16634.3684780757</v>
      </c>
      <c r="V22" s="58" t="n">
        <f aca="false">(BS!V21-BS!U21)</f>
        <v>11295.7199684262</v>
      </c>
      <c r="W22" s="58" t="n">
        <f aca="false">(BS!W21-BS!V21)</f>
        <v>3842.22231441336</v>
      </c>
      <c r="X22" s="58" t="n">
        <f aca="false">(BS!X21-BS!W21)</f>
        <v>-3709.32058994164</v>
      </c>
      <c r="Y22" s="58" t="n">
        <f aca="false">(BS!Y21-BS!X21)</f>
        <v>-9171.72637182697</v>
      </c>
      <c r="Z22" s="58" t="n">
        <f aca="false">(BS!Z21-BS!Y21)</f>
        <v>-7207.5490134726</v>
      </c>
      <c r="AA22" s="58" t="n">
        <f aca="false">(BS!AA21-BS!Z21)</f>
        <v>-4128.40392498147</v>
      </c>
      <c r="AB22" s="58" t="n">
        <f aca="false">(BS!AB21-BS!AA21)</f>
        <v>-4477.80872484292</v>
      </c>
    </row>
    <row r="23" customFormat="false" ht="15" hidden="false" customHeight="false" outlineLevel="0" collapsed="false">
      <c r="A23" s="27" t="s">
        <v>445</v>
      </c>
      <c r="B23" s="56" t="s">
        <v>436</v>
      </c>
      <c r="C23" s="57" t="n">
        <f aca="false">SUM(E23:P23)</f>
        <v>12106.3114666667</v>
      </c>
      <c r="D23" s="57" t="n">
        <f aca="false">SUM(Q23:AB23)</f>
        <v>1319.54490133334</v>
      </c>
      <c r="E23" s="58" t="n">
        <f aca="false">(BS!E22-Inputs_Actuals!$C$138)</f>
        <v>13160.6212666667</v>
      </c>
      <c r="F23" s="58" t="n">
        <f aca="false">(BS!F22-BS!E22)</f>
        <v>-7514.3818</v>
      </c>
      <c r="G23" s="58" t="n">
        <f aca="false">(BS!G22-BS!F22)</f>
        <v>8099.25880000001</v>
      </c>
      <c r="H23" s="58" t="n">
        <f aca="false">(BS!H22-BS!G22)</f>
        <v>761.213333333348</v>
      </c>
      <c r="I23" s="58" t="n">
        <f aca="false">(BS!I22-BS!H22)</f>
        <v>334.999266666651</v>
      </c>
      <c r="J23" s="58" t="n">
        <f aca="false">(BS!J22-BS!I22)</f>
        <v>-6275.20213333333</v>
      </c>
      <c r="K23" s="58" t="n">
        <f aca="false">(BS!K22-BS!J22)</f>
        <v>10702.4150666667</v>
      </c>
      <c r="L23" s="58" t="n">
        <f aca="false">(BS!L22-BS!K22)</f>
        <v>-835.404933333339</v>
      </c>
      <c r="M23" s="58" t="n">
        <f aca="false">(BS!M22-BS!L22)</f>
        <v>32573.8252230242</v>
      </c>
      <c r="N23" s="58" t="n">
        <f aca="false">(BS!N22-BS!M22)</f>
        <v>-4848.87148446027</v>
      </c>
      <c r="O23" s="58" t="n">
        <f aca="false">(BS!O22-BS!N22)</f>
        <v>-25164.2803795077</v>
      </c>
      <c r="P23" s="58" t="n">
        <f aca="false">(BS!P22-BS!O22)</f>
        <v>-8887.88075905625</v>
      </c>
      <c r="Q23" s="58" t="n">
        <f aca="false">(BS!Q22-BS!P22)</f>
        <v>1760.87823466667</v>
      </c>
      <c r="R23" s="58" t="n">
        <f aca="false">(BS!R22-BS!Q22)</f>
        <v>0</v>
      </c>
      <c r="S23" s="58" t="n">
        <f aca="false">(BS!S22-BS!R22)</f>
        <v>-199.46666666666</v>
      </c>
      <c r="T23" s="58" t="n">
        <f aca="false">(BS!T22-BS!S22)</f>
        <v>-109.866666666669</v>
      </c>
      <c r="U23" s="58" t="n">
        <f aca="false">(BS!U22-BS!T22)</f>
        <v>19.1999999999971</v>
      </c>
      <c r="V23" s="58" t="n">
        <f aca="false">(BS!V22-BS!U22)</f>
        <v>0</v>
      </c>
      <c r="W23" s="58" t="n">
        <f aca="false">(BS!W22-BS!V22)</f>
        <v>40.9599999999991</v>
      </c>
      <c r="X23" s="58" t="n">
        <f aca="false">(BS!X22-BS!W22)</f>
        <v>34.560000000005</v>
      </c>
      <c r="Y23" s="58" t="n">
        <f aca="false">(BS!Y22-BS!X22)</f>
        <v>90.8799999999974</v>
      </c>
      <c r="Z23" s="58" t="n">
        <f aca="false">(BS!Z22-BS!Y22)</f>
        <v>-110.666666666672</v>
      </c>
      <c r="AA23" s="58" t="n">
        <f aca="false">(BS!AA22-BS!Z22)</f>
        <v>-19.1999999999971</v>
      </c>
      <c r="AB23" s="58" t="n">
        <f aca="false">(BS!AB22-BS!AA22)</f>
        <v>-187.73333333333</v>
      </c>
    </row>
    <row r="24" customFormat="false" ht="15" hidden="false" customHeight="false" outlineLevel="0" collapsed="false">
      <c r="A24" s="27" t="s">
        <v>446</v>
      </c>
      <c r="B24" s="56" t="s">
        <v>436</v>
      </c>
      <c r="C24" s="57" t="n">
        <f aca="false">SUM(E24:P24)</f>
        <v>7918.43992980216</v>
      </c>
      <c r="D24" s="57" t="n">
        <f aca="false">SUM(Q24:AB24)</f>
        <v>-4042.86086031576</v>
      </c>
      <c r="E24" s="58" t="n">
        <f aca="false">(BS!E23-Inputs_Actuals!$C$139)</f>
        <v>829.185519999999</v>
      </c>
      <c r="F24" s="58" t="n">
        <f aca="false">(BS!F23-BS!E23)</f>
        <v>2252.88005</v>
      </c>
      <c r="G24" s="58" t="n">
        <f aca="false">(BS!G23-BS!F23)</f>
        <v>-1247.96079</v>
      </c>
      <c r="H24" s="58" t="n">
        <f aca="false">(BS!H23-BS!G23)</f>
        <v>-1007.99433</v>
      </c>
      <c r="I24" s="58" t="n">
        <f aca="false">(BS!I23-BS!H23)</f>
        <v>-305.9678</v>
      </c>
      <c r="J24" s="58" t="n">
        <f aca="false">(BS!J23-BS!I23)</f>
        <v>501.66783</v>
      </c>
      <c r="K24" s="58" t="n">
        <f aca="false">(BS!K23-BS!J23)</f>
        <v>946.73861</v>
      </c>
      <c r="L24" s="58" t="n">
        <f aca="false">(BS!L23-BS!K23)</f>
        <v>2483.95319</v>
      </c>
      <c r="M24" s="58" t="n">
        <f aca="false">(BS!M23-BS!L23)</f>
        <v>3727.44465503333</v>
      </c>
      <c r="N24" s="58" t="n">
        <f aca="false">(BS!N23-BS!M23)</f>
        <v>439.514036828965</v>
      </c>
      <c r="O24" s="58" t="n">
        <f aca="false">(BS!O23-BS!N23)</f>
        <v>195.782899988168</v>
      </c>
      <c r="P24" s="58" t="n">
        <f aca="false">(BS!P23-BS!O23)</f>
        <v>-896.803942048304</v>
      </c>
      <c r="Q24" s="58" t="n">
        <f aca="false">(BS!Q23-BS!P23)</f>
        <v>-827.450600486831</v>
      </c>
      <c r="R24" s="58" t="n">
        <f aca="false">(BS!R23-BS!Q23)</f>
        <v>-1461.51299110279</v>
      </c>
      <c r="S24" s="58" t="n">
        <f aca="false">(BS!S23-BS!R23)</f>
        <v>-2278.67419870816</v>
      </c>
      <c r="T24" s="58" t="n">
        <f aca="false">(BS!T23-BS!S23)</f>
        <v>-717.337878814149</v>
      </c>
      <c r="U24" s="58" t="n">
        <f aca="false">(BS!U23-BS!T23)</f>
        <v>978.110701644408</v>
      </c>
      <c r="V24" s="58" t="n">
        <f aca="false">(BS!V23-BS!U23)</f>
        <v>2086.82660643607</v>
      </c>
      <c r="W24" s="58" t="n">
        <f aca="false">(BS!W23-BS!V23)</f>
        <v>1327.24297816959</v>
      </c>
      <c r="X24" s="58" t="n">
        <f aca="false">(BS!X23-BS!W23)</f>
        <v>638.695602509411</v>
      </c>
      <c r="Y24" s="58" t="n">
        <f aca="false">(BS!Y23-BS!X23)</f>
        <v>-440.391128421205</v>
      </c>
      <c r="Z24" s="58" t="n">
        <f aca="false">(BS!Z23-BS!Y23)</f>
        <v>-1397.43696135094</v>
      </c>
      <c r="AA24" s="58" t="n">
        <f aca="false">(BS!AA23-BS!Z23)</f>
        <v>-895.821644128617</v>
      </c>
      <c r="AB24" s="58" t="n">
        <f aca="false">(BS!AB23-BS!AA23)</f>
        <v>-1055.11134606254</v>
      </c>
    </row>
    <row r="25" customFormat="false" ht="15" hidden="false" customHeight="false" outlineLevel="0" collapsed="false">
      <c r="A25" s="27" t="s">
        <v>447</v>
      </c>
      <c r="B25" s="56" t="s">
        <v>436</v>
      </c>
      <c r="C25" s="57" t="n">
        <f aca="false">SUM(E25:P25)</f>
        <v>4314.60000000001</v>
      </c>
      <c r="D25" s="57" t="n">
        <f aca="false">SUM(Q25:AB25)</f>
        <v>10175.043</v>
      </c>
      <c r="E25" s="58" t="n">
        <f aca="false">(BS!E24-Inputs_Actuals!$C$140)</f>
        <v>-3755.07250000001</v>
      </c>
      <c r="F25" s="58" t="n">
        <f aca="false">(BS!F24-BS!E24)</f>
        <v>-336.892499999987</v>
      </c>
      <c r="G25" s="58" t="n">
        <f aca="false">(BS!G24-BS!F24)</f>
        <v>-245.122499999998</v>
      </c>
      <c r="H25" s="58" t="n">
        <f aca="false">(BS!H24-BS!G24)</f>
        <v>-1981.50750000001</v>
      </c>
      <c r="I25" s="58" t="n">
        <f aca="false">(BS!I24-BS!H24)</f>
        <v>-73.6575000000012</v>
      </c>
      <c r="J25" s="58" t="n">
        <f aca="false">(BS!J24-BS!I24)</f>
        <v>3956.97750000001</v>
      </c>
      <c r="K25" s="58" t="n">
        <f aca="false">(BS!K24-BS!J24)</f>
        <v>3435.73999999999</v>
      </c>
      <c r="L25" s="58" t="n">
        <f aca="false">(BS!L24-BS!K24)</f>
        <v>-1680.035</v>
      </c>
      <c r="M25" s="58" t="n">
        <f aca="false">(BS!M24-BS!L24)</f>
        <v>79.695000000007</v>
      </c>
      <c r="N25" s="58" t="n">
        <f aca="false">(BS!N24-BS!M24)</f>
        <v>228.075000000012</v>
      </c>
      <c r="O25" s="58" t="n">
        <f aca="false">(BS!O24-BS!N24)</f>
        <v>4686.39999999999</v>
      </c>
      <c r="P25" s="58" t="n">
        <f aca="false">(BS!P24-BS!O24)</f>
        <v>0</v>
      </c>
      <c r="Q25" s="58" t="n">
        <f aca="false">(BS!Q24-BS!P24)</f>
        <v>4906.47899999999</v>
      </c>
      <c r="R25" s="58" t="n">
        <f aca="false">(BS!R24-BS!Q24)</f>
        <v>1693.467</v>
      </c>
      <c r="S25" s="58" t="n">
        <f aca="false">(BS!S24-BS!R24)</f>
        <v>1358.95499999999</v>
      </c>
      <c r="T25" s="58" t="n">
        <f aca="false">(BS!T24-BS!S24)</f>
        <v>2216.14200000002</v>
      </c>
      <c r="U25" s="58" t="n">
        <f aca="false">(BS!U24-BS!T24)</f>
        <v>0</v>
      </c>
      <c r="V25" s="58" t="n">
        <f aca="false">(BS!V24-BS!U24)</f>
        <v>0</v>
      </c>
      <c r="W25" s="58" t="n">
        <f aca="false">(BS!W24-BS!V24)</f>
        <v>0</v>
      </c>
      <c r="X25" s="58" t="n">
        <f aca="false">(BS!X24-BS!W24)</f>
        <v>0</v>
      </c>
      <c r="Y25" s="58" t="n">
        <f aca="false">(BS!Y24-BS!X24)</f>
        <v>0</v>
      </c>
      <c r="Z25" s="58" t="n">
        <f aca="false">(BS!Z24-BS!Y24)</f>
        <v>0</v>
      </c>
      <c r="AA25" s="58" t="n">
        <f aca="false">(BS!AA24-BS!Z24)</f>
        <v>0</v>
      </c>
      <c r="AB25" s="58" t="n">
        <f aca="false">(BS!AB24-BS!AA24)</f>
        <v>0</v>
      </c>
    </row>
    <row r="26" customFormat="false" ht="15" hidden="false" customHeight="false" outlineLevel="0" collapsed="false">
      <c r="A26" s="27" t="s">
        <v>448</v>
      </c>
      <c r="B26" s="56" t="s">
        <v>436</v>
      </c>
      <c r="C26" s="57" t="n">
        <f aca="false">SUM(E26:P26)</f>
        <v>44620.6641115637</v>
      </c>
      <c r="D26" s="57" t="n">
        <f aca="false">SUM(Q26:AB26)</f>
        <v>-43428.7173840535</v>
      </c>
      <c r="E26" s="58" t="n">
        <f aca="false">(BS!E25-Inputs_Actuals!$C$141)</f>
        <v>-34410.0430460903</v>
      </c>
      <c r="F26" s="58" t="n">
        <f aca="false">(BS!F25-BS!E25)</f>
        <v>11242.0120304626</v>
      </c>
      <c r="G26" s="58" t="n">
        <f aca="false">(BS!G25-BS!F25)</f>
        <v>-6556.22617127756</v>
      </c>
      <c r="H26" s="58" t="n">
        <f aca="false">(BS!H25-BS!G25)</f>
        <v>7967.35762214759</v>
      </c>
      <c r="I26" s="58" t="n">
        <f aca="false">(BS!I25-BS!H25)</f>
        <v>-8634.86831312775</v>
      </c>
      <c r="J26" s="58" t="n">
        <f aca="false">(BS!J25-BS!I25)</f>
        <v>6112.35526185024</v>
      </c>
      <c r="K26" s="58" t="n">
        <f aca="false">(BS!K25-BS!J25)</f>
        <v>-14981.7960065969</v>
      </c>
      <c r="L26" s="58" t="n">
        <f aca="false">(BS!L25-BS!K25)</f>
        <v>17912.30395387</v>
      </c>
      <c r="M26" s="58" t="n">
        <f aca="false">(BS!M25-BS!L25)</f>
        <v>-16141.8108478842</v>
      </c>
      <c r="N26" s="58" t="n">
        <f aca="false">(BS!N25-BS!M25)</f>
        <v>27823.5056697554</v>
      </c>
      <c r="O26" s="58" t="n">
        <f aca="false">(BS!O25-BS!N25)</f>
        <v>7554.47605670341</v>
      </c>
      <c r="P26" s="58" t="n">
        <f aca="false">(BS!P25-BS!O25)</f>
        <v>46733.3979017512</v>
      </c>
      <c r="Q26" s="58" t="n">
        <f aca="false">(BS!Q25-BS!P25)</f>
        <v>-57311.2310626751</v>
      </c>
      <c r="R26" s="58" t="n">
        <f aca="false">(BS!R25-BS!Q25)</f>
        <v>39694.5264246763</v>
      </c>
      <c r="S26" s="58" t="n">
        <f aca="false">(BS!S25-BS!R25)</f>
        <v>-50808.6182209886</v>
      </c>
      <c r="T26" s="58" t="n">
        <f aca="false">(BS!T25-BS!S25)</f>
        <v>25890.5672835161</v>
      </c>
      <c r="U26" s="58" t="n">
        <f aca="false">(BS!U25-BS!T25)</f>
        <v>-41014.0533294545</v>
      </c>
      <c r="V26" s="58" t="n">
        <f aca="false">(BS!V25-BS!U25)</f>
        <v>12359.8109822262</v>
      </c>
      <c r="W26" s="58" t="n">
        <f aca="false">(BS!W25-BS!V25)</f>
        <v>-2094.3987389757</v>
      </c>
      <c r="X26" s="58" t="n">
        <f aca="false">(BS!X25-BS!W25)</f>
        <v>22276.6738242203</v>
      </c>
      <c r="Y26" s="58" t="n">
        <f aca="false">(BS!Y25-BS!X25)</f>
        <v>-14070.2871559442</v>
      </c>
      <c r="Z26" s="58" t="n">
        <f aca="false">(BS!Z25-BS!Y25)</f>
        <v>26991.1456311302</v>
      </c>
      <c r="AA26" s="58" t="n">
        <f aca="false">(BS!AA25-BS!Z25)</f>
        <v>-31607.9107942915</v>
      </c>
      <c r="AB26" s="58" t="n">
        <f aca="false">(BS!AB25-BS!AA25)</f>
        <v>26265.0577725071</v>
      </c>
    </row>
    <row r="27" customFormat="false" ht="15" hidden="false" customHeight="false" outlineLevel="0" collapsed="false">
      <c r="A27" s="27" t="s">
        <v>449</v>
      </c>
      <c r="B27" s="56" t="s">
        <v>436</v>
      </c>
      <c r="C27" s="57" t="n">
        <f aca="false">SUM(E27:P27)</f>
        <v>10229.4493238862</v>
      </c>
      <c r="D27" s="57" t="n">
        <f aca="false">SUM(Q27:AB27)</f>
        <v>1236.82999789939</v>
      </c>
      <c r="E27" s="58" t="n">
        <f aca="false">(BS!E26-(SUMPRODUCT((Project_Register!$AE$7:$AE$21-Project_Register!$AD$7:$AD$21&gt;0)*(Project_Register!$AE$7:$AE$21-Project_Register!$AD$7:$AD$21))+MAX(0,-Inputs_Actuals!$C$124)+MAX(0,-Inputs_Actuals!$C$125)))</f>
        <v>4629.67964757711</v>
      </c>
      <c r="F27" s="58" t="n">
        <f aca="false">(BS!F26-BS!E26)</f>
        <v>-1880.98744493393</v>
      </c>
      <c r="G27" s="58" t="n">
        <f aca="false">(BS!G26-BS!F26)</f>
        <v>23349.9667400881</v>
      </c>
      <c r="H27" s="58" t="n">
        <f aca="false">(BS!H26-BS!G26)</f>
        <v>-5112.31916299558</v>
      </c>
      <c r="I27" s="58" t="n">
        <f aca="false">(BS!I26-BS!H26)</f>
        <v>14839.8157709251</v>
      </c>
      <c r="J27" s="58" t="n">
        <f aca="false">(BS!J26-BS!I26)</f>
        <v>-11928.9389867842</v>
      </c>
      <c r="K27" s="58" t="n">
        <f aca="false">(BS!K26-BS!J26)</f>
        <v>2754.17405286344</v>
      </c>
      <c r="L27" s="58" t="n">
        <f aca="false">(BS!L26-BS!K26)</f>
        <v>-16250.6670044053</v>
      </c>
      <c r="M27" s="58" t="n">
        <f aca="false">(BS!M26-BS!L26)</f>
        <v>2590.07854900335</v>
      </c>
      <c r="N27" s="58" t="n">
        <f aca="false">(BS!N26-BS!M26)</f>
        <v>-1377.05631731139</v>
      </c>
      <c r="O27" s="58" t="n">
        <f aca="false">(BS!O26-BS!N26)</f>
        <v>4171.1760325701</v>
      </c>
      <c r="P27" s="58" t="n">
        <f aca="false">(BS!P26-BS!O26)</f>
        <v>-5555.47255271062</v>
      </c>
      <c r="Q27" s="58" t="n">
        <f aca="false">(BS!Q26-BS!P26)</f>
        <v>-1719.00051421623</v>
      </c>
      <c r="R27" s="58" t="n">
        <f aca="false">(BS!R26-BS!Q26)</f>
        <v>-1549.54757813134</v>
      </c>
      <c r="S27" s="58" t="n">
        <f aca="false">(BS!S26-BS!R26)</f>
        <v>7146.50077919528</v>
      </c>
      <c r="T27" s="58" t="n">
        <f aca="false">(BS!T26-BS!S26)</f>
        <v>8097.64877994906</v>
      </c>
      <c r="U27" s="58" t="n">
        <f aca="false">(BS!U26-BS!T26)</f>
        <v>5366.18287164051</v>
      </c>
      <c r="V27" s="58" t="n">
        <f aca="false">(BS!V26-BS!U26)</f>
        <v>549.360483736906</v>
      </c>
      <c r="W27" s="58" t="n">
        <f aca="false">(BS!W26-BS!V26)</f>
        <v>-3725.47512809758</v>
      </c>
      <c r="X27" s="58" t="n">
        <f aca="false">(BS!X26-BS!W26)</f>
        <v>-4206.47526961324</v>
      </c>
      <c r="Y27" s="58" t="n">
        <f aca="false">(BS!Y26-BS!X26)</f>
        <v>-1042.2352086645</v>
      </c>
      <c r="Z27" s="58" t="n">
        <f aca="false">(BS!Z26-BS!Y26)</f>
        <v>-799.251760662301</v>
      </c>
      <c r="AA27" s="58" t="n">
        <f aca="false">(BS!AA26-BS!Z26)</f>
        <v>-2169.66171457249</v>
      </c>
      <c r="AB27" s="58" t="n">
        <f aca="false">(BS!AB26-BS!AA26)</f>
        <v>-4711.2157426647</v>
      </c>
    </row>
    <row r="28" customFormat="false" ht="15" hidden="false" customHeight="false" outlineLevel="0" collapsed="false">
      <c r="A28" s="27" t="s">
        <v>450</v>
      </c>
      <c r="B28" s="56" t="s">
        <v>436</v>
      </c>
      <c r="C28" s="57" t="n">
        <f aca="false">SUM(E28:P28)</f>
        <v>0</v>
      </c>
      <c r="D28" s="57" t="n">
        <f aca="false">SUM(Q28:AB28)</f>
        <v>0</v>
      </c>
      <c r="E28" s="58" t="n">
        <f aca="false">(BS!E27-0)</f>
        <v>0</v>
      </c>
      <c r="F28" s="58" t="n">
        <f aca="false">(BS!F27-BS!E27)</f>
        <v>0</v>
      </c>
      <c r="G28" s="58" t="n">
        <f aca="false">(BS!G27-BS!F27)</f>
        <v>0</v>
      </c>
      <c r="H28" s="58" t="n">
        <f aca="false">(BS!H27-BS!G27)</f>
        <v>0</v>
      </c>
      <c r="I28" s="58" t="n">
        <f aca="false">(BS!I27-BS!H27)</f>
        <v>0</v>
      </c>
      <c r="J28" s="58" t="n">
        <f aca="false">(BS!J27-BS!I27)</f>
        <v>0</v>
      </c>
      <c r="K28" s="58" t="n">
        <f aca="false">(BS!K27-BS!J27)</f>
        <v>0</v>
      </c>
      <c r="L28" s="58" t="n">
        <f aca="false">(BS!L27-BS!K27)</f>
        <v>0</v>
      </c>
      <c r="M28" s="58" t="n">
        <f aca="false">(BS!M27-BS!L27)</f>
        <v>0</v>
      </c>
      <c r="N28" s="58" t="n">
        <f aca="false">(BS!N27-BS!M27)</f>
        <v>0</v>
      </c>
      <c r="O28" s="58" t="n">
        <f aca="false">(BS!O27-BS!N27)</f>
        <v>0</v>
      </c>
      <c r="P28" s="58" t="n">
        <f aca="false">(BS!P27-BS!O27)</f>
        <v>0</v>
      </c>
      <c r="Q28" s="58" t="n">
        <f aca="false">(BS!Q27-BS!P27)</f>
        <v>0</v>
      </c>
      <c r="R28" s="58" t="n">
        <f aca="false">(BS!R27-BS!Q27)</f>
        <v>0</v>
      </c>
      <c r="S28" s="58" t="n">
        <f aca="false">(BS!S27-BS!R27)</f>
        <v>0</v>
      </c>
      <c r="T28" s="58" t="n">
        <f aca="false">(BS!T27-BS!S27)</f>
        <v>0</v>
      </c>
      <c r="U28" s="58" t="n">
        <f aca="false">(BS!U27-BS!T27)</f>
        <v>0</v>
      </c>
      <c r="V28" s="58" t="n">
        <f aca="false">(BS!V27-BS!U27)</f>
        <v>0</v>
      </c>
      <c r="W28" s="58" t="n">
        <f aca="false">(BS!W27-BS!V27)</f>
        <v>0</v>
      </c>
      <c r="X28" s="58" t="n">
        <f aca="false">(BS!X27-BS!W27)</f>
        <v>0</v>
      </c>
      <c r="Y28" s="58" t="n">
        <f aca="false">(BS!Y27-BS!X27)</f>
        <v>0</v>
      </c>
      <c r="Z28" s="58" t="n">
        <f aca="false">(BS!Z27-BS!Y27)</f>
        <v>0</v>
      </c>
      <c r="AA28" s="58" t="n">
        <f aca="false">(BS!AA27-BS!Z27)</f>
        <v>0</v>
      </c>
      <c r="AB28" s="58" t="n">
        <f aca="false">(BS!AB27-BS!AA27)</f>
        <v>0</v>
      </c>
    </row>
    <row r="29" customFormat="false" ht="15" hidden="false" customHeight="false" outlineLevel="0" collapsed="false">
      <c r="A29" s="67" t="s">
        <v>451</v>
      </c>
      <c r="B29" s="68"/>
      <c r="C29" s="69" t="n">
        <f aca="false">SUM(E29:P29)</f>
        <v>337149.505795917</v>
      </c>
      <c r="D29" s="69" t="n">
        <f aca="false">SUM(Q29:AB29)</f>
        <v>631985.766454741</v>
      </c>
      <c r="E29" s="69" t="n">
        <f aca="false">E13+E14+E15+E16+E17+E18+E19+E20+E21+E22+E23+E24+E25+E26+E27+E28</f>
        <v>86257.2155199999</v>
      </c>
      <c r="F29" s="69" t="n">
        <f aca="false">F13+F14+F15+F16+F17+F18+F19+F20+F21+F22+F23+F24+F25+F26+F27+F28</f>
        <v>66036.68255</v>
      </c>
      <c r="G29" s="69" t="n">
        <f aca="false">G13+G14+G15+G16+G17+G18+G19+G20+G21+G22+G23+G24+G25+G26+G27+G28</f>
        <v>93494.7152256277</v>
      </c>
      <c r="H29" s="69" t="n">
        <f aca="false">H13+H14+H15+H16+H17+H18+H19+H20+H21+H22+H23+H24+H25+H26+H27+H28</f>
        <v>82292.48317</v>
      </c>
      <c r="I29" s="69" t="n">
        <f aca="false">I13+I14+I15+I16+I17+I18+I19+I20+I21+I22+I23+I24+I25+I26+I27+I28</f>
        <v>65031.9367647574</v>
      </c>
      <c r="J29" s="69" t="n">
        <f aca="false">J13+J14+J15+J16+J17+J18+J19+J20+J21+J22+J23+J24+J25+J26+J27+J28</f>
        <v>1528.55032999998</v>
      </c>
      <c r="K29" s="69" t="n">
        <f aca="false">K13+K14+K15+K16+K17+K18+K19+K20+K21+K22+K23+K24+K25+K26+K27+K28</f>
        <v>-148094.703773965</v>
      </c>
      <c r="L29" s="69" t="n">
        <f aca="false">L13+L14+L15+L16+L17+L18+L19+L20+L21+L22+L23+L24+L25+L26+L27+L28</f>
        <v>27979.1381900001</v>
      </c>
      <c r="M29" s="69" t="n">
        <f aca="false">M13+M14+M15+M16+M17+M18+M19+M20+M21+M22+M23+M24+M25+M26+M27+M28</f>
        <v>-89998.4316090111</v>
      </c>
      <c r="N29" s="69" t="n">
        <f aca="false">N13+N14+N15+N16+N17+N18+N19+N20+N21+N22+N23+N24+N25+N26+N27+N28</f>
        <v>-106801.929659496</v>
      </c>
      <c r="O29" s="69" t="n">
        <f aca="false">O13+O14+O15+O16+O17+O18+O19+O20+O21+O22+O23+O24+O25+O26+O27+O28</f>
        <v>66754.7698447163</v>
      </c>
      <c r="P29" s="69" t="n">
        <f aca="false">P13+P14+P15+P16+P17+P18+P19+P20+P21+P22+P23+P24+P25+P26+P27+P28</f>
        <v>192669.079243287</v>
      </c>
      <c r="Q29" s="69" t="n">
        <f aca="false">Q13+Q14+Q15+Q16+Q17+Q18+Q19+Q20+Q21+Q22+Q23+Q24+Q25+Q26+Q27+Q28</f>
        <v>94328.94805428</v>
      </c>
      <c r="R29" s="69" t="n">
        <f aca="false">R13+R14+R15+R16+R17+R18+R19+R20+R21+R22+R23+R24+R25+R26+R27+R28</f>
        <v>111845.069159152</v>
      </c>
      <c r="S29" s="69" t="n">
        <f aca="false">S13+S14+S15+S16+S17+S18+S19+S20+S21+S22+S23+S24+S25+S26+S27+S28</f>
        <v>61985.8183862058</v>
      </c>
      <c r="T29" s="69" t="n">
        <f aca="false">T13+T14+T15+T16+T17+T18+T19+T20+T21+T22+T23+T24+T25+T26+T27+T28</f>
        <v>151088.951906885</v>
      </c>
      <c r="U29" s="69" t="n">
        <f aca="false">U13+U14+U15+U16+U17+U18+U19+U20+U21+U22+U23+U24+U25+U26+U27+U28</f>
        <v>-15085.7699608173</v>
      </c>
      <c r="V29" s="69" t="n">
        <f aca="false">V13+V14+V15+V16+V17+V18+V19+V20+V21+V22+V23+V24+V25+V26+V27+V28</f>
        <v>-77687.4586460736</v>
      </c>
      <c r="W29" s="69" t="n">
        <f aca="false">W13+W14+W15+W16+W17+W18+W19+W20+W21+W22+W23+W24+W25+W26+W27+W28</f>
        <v>-54144.6411401856</v>
      </c>
      <c r="X29" s="69" t="n">
        <f aca="false">X13+X14+X15+X16+X17+X18+X19+X20+X21+X22+X23+X24+X25+X26+X27+X28</f>
        <v>38777.4188725343</v>
      </c>
      <c r="Y29" s="69" t="n">
        <f aca="false">Y13+Y14+Y15+Y16+Y17+Y18+Y19+Y20+Y21+Y22+Y23+Y24+Y25+Y26+Y27+Y28</f>
        <v>60415.1688816576</v>
      </c>
      <c r="Z29" s="69" t="n">
        <f aca="false">Z13+Z14+Z15+Z16+Z17+Z18+Z19+Z20+Z21+Z22+Z23+Z24+Z25+Z26+Z27+Z28</f>
        <v>143533.169121068</v>
      </c>
      <c r="AA29" s="69" t="n">
        <f aca="false">AA13+AA14+AA15+AA16+AA17+AA18+AA19+AA20+AA21+AA22+AA23+AA24+AA25+AA26+AA27+AA28</f>
        <v>71158.3843579915</v>
      </c>
      <c r="AB29" s="69" t="n">
        <f aca="false">AB13+AB14+AB15+AB16+AB17+AB18+AB19+AB20+AB21+AB22+AB23+AB24+AB25+AB26+AB27+AB28</f>
        <v>45770.7074620435</v>
      </c>
    </row>
    <row r="30" customFormat="false" ht="15" hidden="false" customHeight="false" outlineLevel="0" collapsed="false">
      <c r="A30" s="27" t="s">
        <v>452</v>
      </c>
      <c r="B30" s="56" t="s">
        <v>75</v>
      </c>
      <c r="C30" s="57" t="n">
        <f aca="false">SUM(E30:P30)</f>
        <v>-9657.628125</v>
      </c>
      <c r="D30" s="57" t="n">
        <f aca="false">SUM(Q30:AB30)</f>
        <v>-9999.2859375</v>
      </c>
      <c r="E30" s="58" t="n">
        <f aca="false">-Debt!E19</f>
        <v>-805</v>
      </c>
      <c r="F30" s="58" t="n">
        <f aca="false">-Debt!F19</f>
        <v>-782.575</v>
      </c>
      <c r="G30" s="58" t="n">
        <f aca="false">-Debt!G19</f>
        <v>-760.15</v>
      </c>
      <c r="H30" s="58" t="n">
        <f aca="false">-Debt!H19</f>
        <v>-737.725</v>
      </c>
      <c r="I30" s="58" t="n">
        <f aca="false">-Debt!I19</f>
        <v>-914.5375</v>
      </c>
      <c r="J30" s="58" t="n">
        <f aca="false">-Debt!J19</f>
        <v>-887.96171875</v>
      </c>
      <c r="K30" s="58" t="n">
        <f aca="false">-Debt!K19</f>
        <v>-861.3859375</v>
      </c>
      <c r="L30" s="58" t="n">
        <f aca="false">-Debt!L19</f>
        <v>-834.81015625</v>
      </c>
      <c r="M30" s="58" t="n">
        <f aca="false">-Debt!M19</f>
        <v>-808.234375</v>
      </c>
      <c r="N30" s="58" t="n">
        <f aca="false">-Debt!N19</f>
        <v>-781.65859375</v>
      </c>
      <c r="O30" s="58" t="n">
        <f aca="false">-Debt!O19</f>
        <v>-755.0828125</v>
      </c>
      <c r="P30" s="58" t="n">
        <f aca="false">-Debt!P19</f>
        <v>-728.50703125</v>
      </c>
      <c r="Q30" s="58" t="n">
        <f aca="false">-Debt!Q19</f>
        <v>-701.93125</v>
      </c>
      <c r="R30" s="58" t="n">
        <f aca="false">-Debt!R19</f>
        <v>-675.35546875</v>
      </c>
      <c r="S30" s="58" t="n">
        <f aca="false">-Debt!S19</f>
        <v>-648.7796875</v>
      </c>
      <c r="T30" s="58" t="n">
        <f aca="false">-Debt!T19</f>
        <v>-1025.85390625</v>
      </c>
      <c r="U30" s="58" t="n">
        <f aca="false">-Debt!U19</f>
        <v>-990.86875</v>
      </c>
      <c r="V30" s="58" t="n">
        <f aca="false">-Debt!V19</f>
        <v>-955.88359375</v>
      </c>
      <c r="W30" s="58" t="n">
        <f aca="false">-Debt!W19</f>
        <v>-920.8984375</v>
      </c>
      <c r="X30" s="58" t="n">
        <f aca="false">-Debt!X19</f>
        <v>-885.91328125</v>
      </c>
      <c r="Y30" s="58" t="n">
        <f aca="false">-Debt!Y19</f>
        <v>-850.928125</v>
      </c>
      <c r="Z30" s="58" t="n">
        <f aca="false">-Debt!Z19</f>
        <v>-815.94296875</v>
      </c>
      <c r="AA30" s="58" t="n">
        <f aca="false">-Debt!AA19</f>
        <v>-780.9578125</v>
      </c>
      <c r="AB30" s="58" t="n">
        <f aca="false">-Debt!AB19</f>
        <v>-745.97265625</v>
      </c>
    </row>
    <row r="31" customFormat="false" ht="15" hidden="false" customHeight="false" outlineLevel="0" collapsed="false">
      <c r="A31" s="27" t="s">
        <v>453</v>
      </c>
      <c r="B31" s="56" t="s">
        <v>33</v>
      </c>
      <c r="C31" s="57" t="n">
        <f aca="false">SUM(E31:P31)</f>
        <v>-38000</v>
      </c>
      <c r="D31" s="57" t="n">
        <f aca="false">SUM(Q31:AB31)</f>
        <v>-36902.741283228</v>
      </c>
      <c r="E31" s="58" t="n">
        <f aca="false">BS!E30</f>
        <v>-0</v>
      </c>
      <c r="F31" s="58" t="n">
        <f aca="false">BS!F30</f>
        <v>-0</v>
      </c>
      <c r="G31" s="58" t="n">
        <f aca="false">BS!G30</f>
        <v>-0</v>
      </c>
      <c r="H31" s="58" t="n">
        <f aca="false">BS!H30</f>
        <v>-0</v>
      </c>
      <c r="I31" s="58" t="n">
        <f aca="false">BS!I30</f>
        <v>-0</v>
      </c>
      <c r="J31" s="58" t="n">
        <f aca="false">BS!J30</f>
        <v>-0</v>
      </c>
      <c r="K31" s="58" t="n">
        <f aca="false">BS!K30</f>
        <v>-0</v>
      </c>
      <c r="L31" s="58" t="n">
        <f aca="false">BS!L30</f>
        <v>-0</v>
      </c>
      <c r="M31" s="58" t="n">
        <f aca="false">BS!M30</f>
        <v>-6000</v>
      </c>
      <c r="N31" s="58" t="n">
        <f aca="false">BS!N30</f>
        <v>-0</v>
      </c>
      <c r="O31" s="58" t="n">
        <f aca="false">BS!O30</f>
        <v>-32000</v>
      </c>
      <c r="P31" s="58" t="n">
        <f aca="false">BS!P30</f>
        <v>-0</v>
      </c>
      <c r="Q31" s="58" t="n">
        <f aca="false">BS!Q30</f>
        <v>-0</v>
      </c>
      <c r="R31" s="58" t="n">
        <f aca="false">BS!R30</f>
        <v>-0</v>
      </c>
      <c r="S31" s="58" t="n">
        <f aca="false">BS!S30</f>
        <v>-0</v>
      </c>
      <c r="T31" s="58" t="n">
        <f aca="false">BS!T30</f>
        <v>-0</v>
      </c>
      <c r="U31" s="58" t="n">
        <f aca="false">BS!U30</f>
        <v>-0</v>
      </c>
      <c r="V31" s="58" t="n">
        <f aca="false">BS!V30</f>
        <v>-0</v>
      </c>
      <c r="W31" s="58" t="n">
        <f aca="false">BS!W30</f>
        <v>-0</v>
      </c>
      <c r="X31" s="58" t="n">
        <f aca="false">BS!X30</f>
        <v>-0</v>
      </c>
      <c r="Y31" s="58" t="n">
        <f aca="false">BS!Y30</f>
        <v>-2451.37064161402</v>
      </c>
      <c r="Z31" s="58" t="n">
        <f aca="false">BS!Z30</f>
        <v>-0</v>
      </c>
      <c r="AA31" s="58" t="n">
        <f aca="false">BS!AA30</f>
        <v>-34451.370641614</v>
      </c>
      <c r="AB31" s="58" t="n">
        <f aca="false">BS!AB30</f>
        <v>-0</v>
      </c>
    </row>
    <row r="32" customFormat="false" ht="15" hidden="false" customHeight="false" outlineLevel="0" collapsed="false">
      <c r="A32" s="67" t="s">
        <v>454</v>
      </c>
      <c r="B32" s="68"/>
      <c r="C32" s="69" t="n">
        <f aca="false">SUM(E32:P32)</f>
        <v>289491.877670917</v>
      </c>
      <c r="D32" s="69" t="n">
        <f aca="false">SUM(Q32:AB32)</f>
        <v>585083.739234013</v>
      </c>
      <c r="E32" s="69" t="n">
        <f aca="false">E29+E30+E31</f>
        <v>85452.2155199999</v>
      </c>
      <c r="F32" s="69" t="n">
        <f aca="false">F29+F30+F31</f>
        <v>65254.10755</v>
      </c>
      <c r="G32" s="69" t="n">
        <f aca="false">G29+G30+G31</f>
        <v>92734.5652256277</v>
      </c>
      <c r="H32" s="69" t="n">
        <f aca="false">H29+H30+H31</f>
        <v>81554.75817</v>
      </c>
      <c r="I32" s="69" t="n">
        <f aca="false">I29+I30+I31</f>
        <v>64117.3992647574</v>
      </c>
      <c r="J32" s="69" t="n">
        <f aca="false">J29+J30+J31</f>
        <v>640.588611249978</v>
      </c>
      <c r="K32" s="69" t="n">
        <f aca="false">K29+K30+K31</f>
        <v>-148956.089711465</v>
      </c>
      <c r="L32" s="69" t="n">
        <f aca="false">L29+L30+L31</f>
        <v>27144.3280337501</v>
      </c>
      <c r="M32" s="69" t="n">
        <f aca="false">M29+M30+M31</f>
        <v>-96806.6659840111</v>
      </c>
      <c r="N32" s="69" t="n">
        <f aca="false">N29+N30+N31</f>
        <v>-107583.588253246</v>
      </c>
      <c r="O32" s="69" t="n">
        <f aca="false">O29+O30+O31</f>
        <v>33999.6870322163</v>
      </c>
      <c r="P32" s="69" t="n">
        <f aca="false">P29+P30+P31</f>
        <v>191940.572212037</v>
      </c>
      <c r="Q32" s="69" t="n">
        <f aca="false">Q29+Q30+Q31</f>
        <v>93627.01680428</v>
      </c>
      <c r="R32" s="69" t="n">
        <f aca="false">R29+R30+R31</f>
        <v>111169.713690402</v>
      </c>
      <c r="S32" s="69" t="n">
        <f aca="false">S29+S30+S31</f>
        <v>61337.0386987058</v>
      </c>
      <c r="T32" s="69" t="n">
        <f aca="false">T29+T30+T31</f>
        <v>150063.098000635</v>
      </c>
      <c r="U32" s="69" t="n">
        <f aca="false">U29+U30+U31</f>
        <v>-16076.6387108173</v>
      </c>
      <c r="V32" s="69" t="n">
        <f aca="false">V29+V30+V31</f>
        <v>-78643.3422398236</v>
      </c>
      <c r="W32" s="69" t="n">
        <f aca="false">W29+W30+W31</f>
        <v>-55065.5395776856</v>
      </c>
      <c r="X32" s="69" t="n">
        <f aca="false">X29+X30+X31</f>
        <v>37891.5055912843</v>
      </c>
      <c r="Y32" s="69" t="n">
        <f aca="false">Y29+Y30+Y31</f>
        <v>57112.8701150436</v>
      </c>
      <c r="Z32" s="69" t="n">
        <f aca="false">Z29+Z30+Z31</f>
        <v>142717.226152318</v>
      </c>
      <c r="AA32" s="69" t="n">
        <f aca="false">AA29+AA30+AA31</f>
        <v>35926.0559038775</v>
      </c>
      <c r="AB32" s="69" t="n">
        <f aca="false">AB29+AB30+AB31</f>
        <v>45024.7348057935</v>
      </c>
    </row>
    <row r="33" customFormat="false" ht="15" hidden="false" customHeight="false" outlineLevel="0" collapsed="false">
      <c r="A33" s="21" t="s">
        <v>455</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row>
    <row r="34" customFormat="false" ht="15" hidden="false" customHeight="false" outlineLevel="0" collapsed="false">
      <c r="A34" s="27" t="s">
        <v>456</v>
      </c>
      <c r="B34" s="56" t="s">
        <v>73</v>
      </c>
      <c r="C34" s="57" t="n">
        <f aca="false">SUM(E34:P34)</f>
        <v>-58800</v>
      </c>
      <c r="D34" s="57" t="n">
        <f aca="false">SUM(Q34:AB34)</f>
        <v>-104904</v>
      </c>
      <c r="E34" s="58" t="n">
        <f aca="false">-Fixed_Assets!E33</f>
        <v>-1800</v>
      </c>
      <c r="F34" s="58" t="n">
        <f aca="false">-Fixed_Assets!F33</f>
        <v>-0</v>
      </c>
      <c r="G34" s="58" t="n">
        <f aca="false">-Fixed_Assets!G33</f>
        <v>-6600</v>
      </c>
      <c r="H34" s="58" t="n">
        <f aca="false">-Fixed_Assets!H33</f>
        <v>-39400</v>
      </c>
      <c r="I34" s="58" t="n">
        <f aca="false">-Fixed_Assets!I33</f>
        <v>-0</v>
      </c>
      <c r="J34" s="58" t="n">
        <f aca="false">-Fixed_Assets!J33</f>
        <v>-3100</v>
      </c>
      <c r="K34" s="58" t="n">
        <f aca="false">-Fixed_Assets!K33</f>
        <v>-1200</v>
      </c>
      <c r="L34" s="58" t="n">
        <f aca="false">-Fixed_Assets!L33</f>
        <v>-1900</v>
      </c>
      <c r="M34" s="58" t="n">
        <f aca="false">-Fixed_Assets!M33</f>
        <v>-1200</v>
      </c>
      <c r="N34" s="58" t="n">
        <f aca="false">-Fixed_Assets!N33</f>
        <v>-1200</v>
      </c>
      <c r="O34" s="58" t="n">
        <f aca="false">-Fixed_Assets!O33</f>
        <v>-1200</v>
      </c>
      <c r="P34" s="58" t="n">
        <f aca="false">-Fixed_Assets!P33</f>
        <v>-1200</v>
      </c>
      <c r="Q34" s="58" t="n">
        <f aca="false">-Fixed_Assets!Q33</f>
        <v>-13242</v>
      </c>
      <c r="R34" s="58" t="n">
        <f aca="false">-Fixed_Assets!R33</f>
        <v>-1242</v>
      </c>
      <c r="S34" s="58" t="n">
        <f aca="false">-Fixed_Assets!S33</f>
        <v>-79242</v>
      </c>
      <c r="T34" s="58" t="n">
        <f aca="false">-Fixed_Assets!T33</f>
        <v>-1242</v>
      </c>
      <c r="U34" s="58" t="n">
        <f aca="false">-Fixed_Assets!U33</f>
        <v>-1242</v>
      </c>
      <c r="V34" s="58" t="n">
        <f aca="false">-Fixed_Assets!V33</f>
        <v>-1242</v>
      </c>
      <c r="W34" s="58" t="n">
        <f aca="false">-Fixed_Assets!W33</f>
        <v>-1242</v>
      </c>
      <c r="X34" s="58" t="n">
        <f aca="false">-Fixed_Assets!X33</f>
        <v>-1242</v>
      </c>
      <c r="Y34" s="58" t="n">
        <f aca="false">-Fixed_Assets!Y33</f>
        <v>-1242</v>
      </c>
      <c r="Z34" s="58" t="n">
        <f aca="false">-Fixed_Assets!Z33</f>
        <v>-1242</v>
      </c>
      <c r="AA34" s="58" t="n">
        <f aca="false">-Fixed_Assets!AA33</f>
        <v>-1242</v>
      </c>
      <c r="AB34" s="58" t="n">
        <f aca="false">-Fixed_Assets!AB33</f>
        <v>-1242</v>
      </c>
    </row>
    <row r="35" customFormat="false" ht="15" hidden="false" customHeight="false" outlineLevel="0" collapsed="false">
      <c r="A35" s="21" t="s">
        <v>457</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row>
    <row r="36" customFormat="false" ht="15" hidden="false" customHeight="false" outlineLevel="0" collapsed="false">
      <c r="A36" s="27" t="s">
        <v>458</v>
      </c>
      <c r="B36" s="56" t="s">
        <v>75</v>
      </c>
      <c r="C36" s="57" t="n">
        <f aca="false">SUM(E36:P36)</f>
        <v>34650</v>
      </c>
      <c r="D36" s="57" t="n">
        <f aca="false">SUM(Q36:AB36)</f>
        <v>70200</v>
      </c>
      <c r="E36" s="58" t="n">
        <f aca="false">Debt!E14</f>
        <v>0</v>
      </c>
      <c r="F36" s="58" t="n">
        <f aca="false">Debt!F14</f>
        <v>0</v>
      </c>
      <c r="G36" s="58" t="n">
        <f aca="false">Debt!G14</f>
        <v>0</v>
      </c>
      <c r="H36" s="58" t="n">
        <f aca="false">Debt!H14</f>
        <v>34650</v>
      </c>
      <c r="I36" s="58" t="n">
        <f aca="false">Debt!I14</f>
        <v>0</v>
      </c>
      <c r="J36" s="58" t="n">
        <f aca="false">Debt!J14</f>
        <v>0</v>
      </c>
      <c r="K36" s="58" t="n">
        <f aca="false">Debt!K14</f>
        <v>0</v>
      </c>
      <c r="L36" s="58" t="n">
        <f aca="false">Debt!L14</f>
        <v>0</v>
      </c>
      <c r="M36" s="58" t="n">
        <f aca="false">Debt!M14</f>
        <v>0</v>
      </c>
      <c r="N36" s="58" t="n">
        <f aca="false">Debt!N14</f>
        <v>0</v>
      </c>
      <c r="O36" s="58" t="n">
        <f aca="false">Debt!O14</f>
        <v>0</v>
      </c>
      <c r="P36" s="58" t="n">
        <f aca="false">Debt!P14</f>
        <v>0</v>
      </c>
      <c r="Q36" s="58" t="n">
        <f aca="false">Debt!Q14</f>
        <v>0</v>
      </c>
      <c r="R36" s="58" t="n">
        <f aca="false">Debt!R14</f>
        <v>0</v>
      </c>
      <c r="S36" s="58" t="n">
        <f aca="false">Debt!S14</f>
        <v>70200</v>
      </c>
      <c r="T36" s="58" t="n">
        <f aca="false">Debt!T14</f>
        <v>0</v>
      </c>
      <c r="U36" s="58" t="n">
        <f aca="false">Debt!U14</f>
        <v>0</v>
      </c>
      <c r="V36" s="58" t="n">
        <f aca="false">Debt!V14</f>
        <v>0</v>
      </c>
      <c r="W36" s="58" t="n">
        <f aca="false">Debt!W14</f>
        <v>0</v>
      </c>
      <c r="X36" s="58" t="n">
        <f aca="false">Debt!X14</f>
        <v>0</v>
      </c>
      <c r="Y36" s="58" t="n">
        <f aca="false">Debt!Y14</f>
        <v>0</v>
      </c>
      <c r="Z36" s="58" t="n">
        <f aca="false">Debt!Z14</f>
        <v>0</v>
      </c>
      <c r="AA36" s="58" t="n">
        <f aca="false">Debt!AA14</f>
        <v>0</v>
      </c>
      <c r="AB36" s="58" t="n">
        <f aca="false">Debt!AB14</f>
        <v>0</v>
      </c>
    </row>
    <row r="37" customFormat="false" ht="15" hidden="false" customHeight="false" outlineLevel="0" collapsed="false">
      <c r="A37" s="27" t="s">
        <v>459</v>
      </c>
      <c r="B37" s="56" t="s">
        <v>75</v>
      </c>
      <c r="C37" s="57" t="n">
        <f aca="false">SUM(E37:P37)</f>
        <v>-52575</v>
      </c>
      <c r="D37" s="57" t="n">
        <f aca="false">SUM(Q37:AB37)</f>
        <v>-68625</v>
      </c>
      <c r="E37" s="58" t="n">
        <f aca="false">Debt!E20</f>
        <v>-3900</v>
      </c>
      <c r="F37" s="58" t="n">
        <f aca="false">Debt!F20</f>
        <v>-3900</v>
      </c>
      <c r="G37" s="58" t="n">
        <f aca="false">Debt!G20</f>
        <v>-3900</v>
      </c>
      <c r="H37" s="58" t="n">
        <f aca="false">Debt!H20</f>
        <v>-3900</v>
      </c>
      <c r="I37" s="58" t="n">
        <f aca="false">Debt!I20</f>
        <v>-4621.875</v>
      </c>
      <c r="J37" s="58" t="n">
        <f aca="false">Debt!J20</f>
        <v>-4621.875</v>
      </c>
      <c r="K37" s="58" t="n">
        <f aca="false">Debt!K20</f>
        <v>-4621.875</v>
      </c>
      <c r="L37" s="58" t="n">
        <f aca="false">Debt!L20</f>
        <v>-4621.875</v>
      </c>
      <c r="M37" s="58" t="n">
        <f aca="false">Debt!M20</f>
        <v>-4621.875</v>
      </c>
      <c r="N37" s="58" t="n">
        <f aca="false">Debt!N20</f>
        <v>-4621.875</v>
      </c>
      <c r="O37" s="58" t="n">
        <f aca="false">Debt!O20</f>
        <v>-4621.875</v>
      </c>
      <c r="P37" s="58" t="n">
        <f aca="false">Debt!P20</f>
        <v>-4621.875</v>
      </c>
      <c r="Q37" s="58" t="n">
        <f aca="false">Debt!Q20</f>
        <v>-4621.875</v>
      </c>
      <c r="R37" s="58" t="n">
        <f aca="false">Debt!R20</f>
        <v>-4621.875</v>
      </c>
      <c r="S37" s="58" t="n">
        <f aca="false">Debt!S20</f>
        <v>-4621.875</v>
      </c>
      <c r="T37" s="58" t="n">
        <f aca="false">Debt!T20</f>
        <v>-6084.375</v>
      </c>
      <c r="U37" s="58" t="n">
        <f aca="false">Debt!U20</f>
        <v>-6084.375</v>
      </c>
      <c r="V37" s="58" t="n">
        <f aca="false">Debt!V20</f>
        <v>-6084.375</v>
      </c>
      <c r="W37" s="58" t="n">
        <f aca="false">Debt!W20</f>
        <v>-6084.375</v>
      </c>
      <c r="X37" s="58" t="n">
        <f aca="false">Debt!X20</f>
        <v>-6084.375</v>
      </c>
      <c r="Y37" s="58" t="n">
        <f aca="false">Debt!Y20</f>
        <v>-6084.375</v>
      </c>
      <c r="Z37" s="58" t="n">
        <f aca="false">Debt!Z20</f>
        <v>-6084.375</v>
      </c>
      <c r="AA37" s="58" t="n">
        <f aca="false">Debt!AA20</f>
        <v>-6084.375</v>
      </c>
      <c r="AB37" s="58" t="n">
        <f aca="false">Debt!AB20</f>
        <v>-6084.375</v>
      </c>
    </row>
    <row r="38" customFormat="false" ht="15" hidden="false" customHeight="false" outlineLevel="0" collapsed="false">
      <c r="A38" s="27" t="s">
        <v>418</v>
      </c>
      <c r="B38" s="56" t="s">
        <v>33</v>
      </c>
      <c r="C38" s="57" t="n">
        <f aca="false">SUM(E38:P38)</f>
        <v>0</v>
      </c>
      <c r="D38" s="57" t="n">
        <f aca="false">SUM(Q38:AB38)</f>
        <v>0</v>
      </c>
      <c r="E38" s="58" t="n">
        <f aca="false">-BS!E39</f>
        <v>-0</v>
      </c>
      <c r="F38" s="58" t="n">
        <f aca="false">-BS!F39</f>
        <v>-0</v>
      </c>
      <c r="G38" s="58" t="n">
        <f aca="false">-BS!G39</f>
        <v>-0</v>
      </c>
      <c r="H38" s="58" t="n">
        <f aca="false">-BS!H39</f>
        <v>-0</v>
      </c>
      <c r="I38" s="58" t="n">
        <f aca="false">-BS!I39</f>
        <v>-0</v>
      </c>
      <c r="J38" s="58" t="n">
        <f aca="false">-BS!J39</f>
        <v>-0</v>
      </c>
      <c r="K38" s="58" t="n">
        <f aca="false">-BS!K39</f>
        <v>-0</v>
      </c>
      <c r="L38" s="58" t="n">
        <f aca="false">-BS!L39</f>
        <v>-0</v>
      </c>
      <c r="M38" s="58" t="n">
        <f aca="false">-BS!M39</f>
        <v>-0</v>
      </c>
      <c r="N38" s="58" t="n">
        <f aca="false">-BS!N39</f>
        <v>-0</v>
      </c>
      <c r="O38" s="58" t="n">
        <f aca="false">-BS!O39</f>
        <v>-0</v>
      </c>
      <c r="P38" s="58" t="n">
        <f aca="false">-BS!P39</f>
        <v>-0</v>
      </c>
      <c r="Q38" s="58" t="n">
        <f aca="false">-BS!Q39</f>
        <v>-0</v>
      </c>
      <c r="R38" s="58" t="n">
        <f aca="false">-BS!R39</f>
        <v>-0</v>
      </c>
      <c r="S38" s="58" t="n">
        <f aca="false">-BS!S39</f>
        <v>-0</v>
      </c>
      <c r="T38" s="58" t="n">
        <f aca="false">-BS!T39</f>
        <v>-0</v>
      </c>
      <c r="U38" s="58" t="n">
        <f aca="false">-BS!U39</f>
        <v>-0</v>
      </c>
      <c r="V38" s="58" t="n">
        <f aca="false">-BS!V39</f>
        <v>-0</v>
      </c>
      <c r="W38" s="58" t="n">
        <f aca="false">-BS!W39</f>
        <v>-0</v>
      </c>
      <c r="X38" s="58" t="n">
        <f aca="false">-BS!X39</f>
        <v>-0</v>
      </c>
      <c r="Y38" s="58" t="n">
        <f aca="false">-BS!Y39</f>
        <v>-0</v>
      </c>
      <c r="Z38" s="58" t="n">
        <f aca="false">-BS!Z39</f>
        <v>-0</v>
      </c>
      <c r="AA38" s="58" t="n">
        <f aca="false">-BS!AA39</f>
        <v>-0</v>
      </c>
      <c r="AB38" s="58" t="n">
        <f aca="false">-BS!AB39</f>
        <v>-0</v>
      </c>
    </row>
    <row r="39" customFormat="false" ht="15" hidden="false" customHeight="false" outlineLevel="0" collapsed="false">
      <c r="A39" s="67" t="s">
        <v>460</v>
      </c>
      <c r="B39" s="68"/>
      <c r="C39" s="69" t="n">
        <f aca="false">SUM(E39:P39)</f>
        <v>-17925</v>
      </c>
      <c r="D39" s="69" t="n">
        <f aca="false">SUM(Q39:AB39)</f>
        <v>1575</v>
      </c>
      <c r="E39" s="69" t="n">
        <f aca="false">E36+E37+E38</f>
        <v>-3900</v>
      </c>
      <c r="F39" s="69" t="n">
        <f aca="false">F36+F37+F38</f>
        <v>-3900</v>
      </c>
      <c r="G39" s="69" t="n">
        <f aca="false">G36+G37+G38</f>
        <v>-3900</v>
      </c>
      <c r="H39" s="69" t="n">
        <f aca="false">H36+H37+H38</f>
        <v>30750</v>
      </c>
      <c r="I39" s="69" t="n">
        <f aca="false">I36+I37+I38</f>
        <v>-4621.875</v>
      </c>
      <c r="J39" s="69" t="n">
        <f aca="false">J36+J37+J38</f>
        <v>-4621.875</v>
      </c>
      <c r="K39" s="69" t="n">
        <f aca="false">K36+K37+K38</f>
        <v>-4621.875</v>
      </c>
      <c r="L39" s="69" t="n">
        <f aca="false">L36+L37+L38</f>
        <v>-4621.875</v>
      </c>
      <c r="M39" s="69" t="n">
        <f aca="false">M36+M37+M38</f>
        <v>-4621.875</v>
      </c>
      <c r="N39" s="69" t="n">
        <f aca="false">N36+N37+N38</f>
        <v>-4621.875</v>
      </c>
      <c r="O39" s="69" t="n">
        <f aca="false">O36+O37+O38</f>
        <v>-4621.875</v>
      </c>
      <c r="P39" s="69" t="n">
        <f aca="false">P36+P37+P38</f>
        <v>-4621.875</v>
      </c>
      <c r="Q39" s="69" t="n">
        <f aca="false">Q36+Q37+Q38</f>
        <v>-4621.875</v>
      </c>
      <c r="R39" s="69" t="n">
        <f aca="false">R36+R37+R38</f>
        <v>-4621.875</v>
      </c>
      <c r="S39" s="69" t="n">
        <f aca="false">S36+S37+S38</f>
        <v>65578.125</v>
      </c>
      <c r="T39" s="69" t="n">
        <f aca="false">T36+T37+T38</f>
        <v>-6084.375</v>
      </c>
      <c r="U39" s="69" t="n">
        <f aca="false">U36+U37+U38</f>
        <v>-6084.375</v>
      </c>
      <c r="V39" s="69" t="n">
        <f aca="false">V36+V37+V38</f>
        <v>-6084.375</v>
      </c>
      <c r="W39" s="69" t="n">
        <f aca="false">W36+W37+W38</f>
        <v>-6084.375</v>
      </c>
      <c r="X39" s="69" t="n">
        <f aca="false">X36+X37+X38</f>
        <v>-6084.375</v>
      </c>
      <c r="Y39" s="69" t="n">
        <f aca="false">Y36+Y37+Y38</f>
        <v>-6084.375</v>
      </c>
      <c r="Z39" s="69" t="n">
        <f aca="false">Z36+Z37+Z38</f>
        <v>-6084.375</v>
      </c>
      <c r="AA39" s="69" t="n">
        <f aca="false">AA36+AA37+AA38</f>
        <v>-6084.375</v>
      </c>
      <c r="AB39" s="69" t="n">
        <f aca="false">AB36+AB37+AB38</f>
        <v>-6084.375</v>
      </c>
    </row>
    <row r="40" customFormat="false" ht="15" hidden="false" customHeight="false" outlineLevel="0" collapsed="false">
      <c r="A40" s="21" t="s">
        <v>461</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row>
    <row r="41" customFormat="false" ht="15" hidden="false" customHeight="false" outlineLevel="0" collapsed="false">
      <c r="A41" s="67" t="s">
        <v>462</v>
      </c>
      <c r="B41" s="68"/>
      <c r="C41" s="69" t="n">
        <f aca="false">SUM(E41:P41)</f>
        <v>212766.877670917</v>
      </c>
      <c r="D41" s="69" t="n">
        <f aca="false">SUM(Q41:AB41)</f>
        <v>481754.739234013</v>
      </c>
      <c r="E41" s="69" t="n">
        <f aca="false">E32+E34+E39</f>
        <v>79752.2155199999</v>
      </c>
      <c r="F41" s="69" t="n">
        <f aca="false">F32+F34+F39</f>
        <v>61354.10755</v>
      </c>
      <c r="G41" s="69" t="n">
        <f aca="false">G32+G34+G39</f>
        <v>82234.5652256277</v>
      </c>
      <c r="H41" s="69" t="n">
        <f aca="false">H32+H34+H39</f>
        <v>72904.75817</v>
      </c>
      <c r="I41" s="69" t="n">
        <f aca="false">I32+I34+I39</f>
        <v>59495.5242647574</v>
      </c>
      <c r="J41" s="69" t="n">
        <f aca="false">J32+J34+J39</f>
        <v>-7081.28638875002</v>
      </c>
      <c r="K41" s="69" t="n">
        <f aca="false">K32+K34+K39</f>
        <v>-154777.964711465</v>
      </c>
      <c r="L41" s="69" t="n">
        <f aca="false">L32+L34+L39</f>
        <v>20622.4530337501</v>
      </c>
      <c r="M41" s="69" t="n">
        <f aca="false">M32+M34+M39</f>
        <v>-102628.540984011</v>
      </c>
      <c r="N41" s="69" t="n">
        <f aca="false">N32+N34+N39</f>
        <v>-113405.463253246</v>
      </c>
      <c r="O41" s="69" t="n">
        <f aca="false">O32+O34+O39</f>
        <v>28177.8120322163</v>
      </c>
      <c r="P41" s="69" t="n">
        <f aca="false">P32+P34+P39</f>
        <v>186118.697212037</v>
      </c>
      <c r="Q41" s="69" t="n">
        <f aca="false">Q32+Q34+Q39</f>
        <v>75763.14180428</v>
      </c>
      <c r="R41" s="69" t="n">
        <f aca="false">R32+R34+R39</f>
        <v>105305.838690402</v>
      </c>
      <c r="S41" s="69" t="n">
        <f aca="false">S32+S34+S39</f>
        <v>47673.1636987058</v>
      </c>
      <c r="T41" s="69" t="n">
        <f aca="false">T32+T34+T39</f>
        <v>142736.723000635</v>
      </c>
      <c r="U41" s="69" t="n">
        <f aca="false">U32+U34+U39</f>
        <v>-23403.0137108173</v>
      </c>
      <c r="V41" s="69" t="n">
        <f aca="false">V32+V34+V39</f>
        <v>-85969.7172398236</v>
      </c>
      <c r="W41" s="69" t="n">
        <f aca="false">W32+W34+W39</f>
        <v>-62391.9145776856</v>
      </c>
      <c r="X41" s="69" t="n">
        <f aca="false">X32+X34+X39</f>
        <v>30565.1305912843</v>
      </c>
      <c r="Y41" s="69" t="n">
        <f aca="false">Y32+Y34+Y39</f>
        <v>49786.4951150436</v>
      </c>
      <c r="Z41" s="69" t="n">
        <f aca="false">Z32+Z34+Z39</f>
        <v>135390.851152318</v>
      </c>
      <c r="AA41" s="69" t="n">
        <f aca="false">AA32+AA34+AA39</f>
        <v>28599.6809038775</v>
      </c>
      <c r="AB41" s="69" t="n">
        <f aca="false">AB32+AB34+AB39</f>
        <v>37698.3598057935</v>
      </c>
    </row>
    <row r="42" customFormat="false" ht="15" hidden="false" customHeight="false" outlineLevel="0" collapsed="false">
      <c r="A42" s="27" t="s">
        <v>463</v>
      </c>
      <c r="B42" s="56"/>
      <c r="E42" s="58" t="n">
        <f aca="false">Inputs_Actuals!$C$120</f>
        <v>420000</v>
      </c>
      <c r="F42" s="70" t="n">
        <f aca="false">E43</f>
        <v>499752.21552</v>
      </c>
      <c r="G42" s="70" t="n">
        <f aca="false">F43</f>
        <v>561106.32307</v>
      </c>
      <c r="H42" s="70" t="n">
        <f aca="false">G43</f>
        <v>643340.888295628</v>
      </c>
      <c r="I42" s="70" t="n">
        <f aca="false">H43</f>
        <v>716245.646465628</v>
      </c>
      <c r="J42" s="70" t="n">
        <f aca="false">I43</f>
        <v>775741.170730385</v>
      </c>
      <c r="K42" s="70" t="n">
        <f aca="false">J43</f>
        <v>768659.884341635</v>
      </c>
      <c r="L42" s="70" t="n">
        <f aca="false">K43</f>
        <v>613881.91963017</v>
      </c>
      <c r="M42" s="70" t="n">
        <f aca="false">L43</f>
        <v>634504.37266392</v>
      </c>
      <c r="N42" s="70" t="n">
        <f aca="false">M43</f>
        <v>531875.831679909</v>
      </c>
      <c r="O42" s="70" t="n">
        <f aca="false">N43</f>
        <v>418470.368426663</v>
      </c>
      <c r="P42" s="70" t="n">
        <f aca="false">O43</f>
        <v>446648.18045888</v>
      </c>
      <c r="Q42" s="70" t="n">
        <f aca="false">P43</f>
        <v>632766.877670916</v>
      </c>
      <c r="R42" s="70" t="n">
        <f aca="false">Q43</f>
        <v>708530.019475196</v>
      </c>
      <c r="S42" s="70" t="n">
        <f aca="false">R43</f>
        <v>813835.858165598</v>
      </c>
      <c r="T42" s="70" t="n">
        <f aca="false">S43</f>
        <v>861509.021864304</v>
      </c>
      <c r="U42" s="70" t="n">
        <f aca="false">T43</f>
        <v>1004245.74486494</v>
      </c>
      <c r="V42" s="70" t="n">
        <f aca="false">U43</f>
        <v>980842.731154121</v>
      </c>
      <c r="W42" s="70" t="n">
        <f aca="false">V43</f>
        <v>894873.013914298</v>
      </c>
      <c r="X42" s="70" t="n">
        <f aca="false">W43</f>
        <v>832481.099336612</v>
      </c>
      <c r="Y42" s="70" t="n">
        <f aca="false">X43</f>
        <v>863046.229927896</v>
      </c>
      <c r="Z42" s="70" t="n">
        <f aca="false">Y43</f>
        <v>912832.72504294</v>
      </c>
      <c r="AA42" s="70" t="n">
        <f aca="false">Z43</f>
        <v>1048223.57619526</v>
      </c>
      <c r="AB42" s="70" t="n">
        <f aca="false">AA43</f>
        <v>1076823.25709914</v>
      </c>
    </row>
    <row r="43" customFormat="false" ht="15" hidden="false" customHeight="false" outlineLevel="0" collapsed="false">
      <c r="A43" s="67" t="s">
        <v>464</v>
      </c>
      <c r="B43" s="68"/>
      <c r="C43" s="69" t="n">
        <f aca="false">P43</f>
        <v>632766.877670916</v>
      </c>
      <c r="D43" s="69" t="n">
        <f aca="false">AB43</f>
        <v>1114521.61690493</v>
      </c>
      <c r="E43" s="69" t="n">
        <f aca="false">E42+E41</f>
        <v>499752.21552</v>
      </c>
      <c r="F43" s="69" t="n">
        <f aca="false">F42+F41</f>
        <v>561106.32307</v>
      </c>
      <c r="G43" s="69" t="n">
        <f aca="false">G42+G41</f>
        <v>643340.888295628</v>
      </c>
      <c r="H43" s="69" t="n">
        <f aca="false">H42+H41</f>
        <v>716245.646465628</v>
      </c>
      <c r="I43" s="69" t="n">
        <f aca="false">I42+I41</f>
        <v>775741.170730385</v>
      </c>
      <c r="J43" s="69" t="n">
        <f aca="false">J42+J41</f>
        <v>768659.884341635</v>
      </c>
      <c r="K43" s="69" t="n">
        <f aca="false">K42+K41</f>
        <v>613881.91963017</v>
      </c>
      <c r="L43" s="69" t="n">
        <f aca="false">L42+L41</f>
        <v>634504.37266392</v>
      </c>
      <c r="M43" s="69" t="n">
        <f aca="false">M42+M41</f>
        <v>531875.831679909</v>
      </c>
      <c r="N43" s="69" t="n">
        <f aca="false">N42+N41</f>
        <v>418470.368426663</v>
      </c>
      <c r="O43" s="69" t="n">
        <f aca="false">O42+O41</f>
        <v>446648.18045888</v>
      </c>
      <c r="P43" s="69" t="n">
        <f aca="false">P42+P41</f>
        <v>632766.877670916</v>
      </c>
      <c r="Q43" s="69" t="n">
        <f aca="false">Q42+Q41</f>
        <v>708530.019475196</v>
      </c>
      <c r="R43" s="69" t="n">
        <f aca="false">R42+R41</f>
        <v>813835.858165598</v>
      </c>
      <c r="S43" s="69" t="n">
        <f aca="false">S42+S41</f>
        <v>861509.021864304</v>
      </c>
      <c r="T43" s="69" t="n">
        <f aca="false">T42+T41</f>
        <v>1004245.74486494</v>
      </c>
      <c r="U43" s="69" t="n">
        <f aca="false">U42+U41</f>
        <v>980842.731154121</v>
      </c>
      <c r="V43" s="69" t="n">
        <f aca="false">V42+V41</f>
        <v>894873.013914298</v>
      </c>
      <c r="W43" s="69" t="n">
        <f aca="false">W42+W41</f>
        <v>832481.099336612</v>
      </c>
      <c r="X43" s="69" t="n">
        <f aca="false">X42+X41</f>
        <v>863046.229927896</v>
      </c>
      <c r="Y43" s="69" t="n">
        <f aca="false">Y42+Y41</f>
        <v>912832.72504294</v>
      </c>
      <c r="Z43" s="69" t="n">
        <f aca="false">Z42+Z41</f>
        <v>1048223.57619526</v>
      </c>
      <c r="AA43" s="69" t="n">
        <f aca="false">AA42+AA41</f>
        <v>1076823.25709914</v>
      </c>
      <c r="AB43" s="69" t="n">
        <f aca="false">AB42+AB41</f>
        <v>1114521.61690493</v>
      </c>
    </row>
    <row r="44" customFormat="false" ht="15" hidden="false" customHeight="false" outlineLevel="0" collapsed="false">
      <c r="A44" s="27" t="s">
        <v>465</v>
      </c>
      <c r="B44" s="56" t="s">
        <v>466</v>
      </c>
      <c r="C44" s="57" t="n">
        <f aca="false">SUM(E44:P44)</f>
        <v>230691.877670917</v>
      </c>
      <c r="D44" s="57" t="n">
        <f aca="false">SUM(Q44:AB44)</f>
        <v>480179.739234013</v>
      </c>
      <c r="E44" s="70" t="n">
        <f aca="false">E32+E34</f>
        <v>83652.2155199999</v>
      </c>
      <c r="F44" s="70" t="n">
        <f aca="false">F32+F34</f>
        <v>65254.10755</v>
      </c>
      <c r="G44" s="70" t="n">
        <f aca="false">G32+G34</f>
        <v>86134.5652256277</v>
      </c>
      <c r="H44" s="70" t="n">
        <f aca="false">H32+H34</f>
        <v>42154.75817</v>
      </c>
      <c r="I44" s="70" t="n">
        <f aca="false">I32+I34</f>
        <v>64117.3992647574</v>
      </c>
      <c r="J44" s="70" t="n">
        <f aca="false">J32+J34</f>
        <v>-2459.41138875002</v>
      </c>
      <c r="K44" s="70" t="n">
        <f aca="false">K32+K34</f>
        <v>-150156.089711465</v>
      </c>
      <c r="L44" s="70" t="n">
        <f aca="false">L32+L34</f>
        <v>25244.3280337501</v>
      </c>
      <c r="M44" s="70" t="n">
        <f aca="false">M32+M34</f>
        <v>-98006.6659840111</v>
      </c>
      <c r="N44" s="70" t="n">
        <f aca="false">N32+N34</f>
        <v>-108783.588253246</v>
      </c>
      <c r="O44" s="70" t="n">
        <f aca="false">O32+O34</f>
        <v>32799.6870322163</v>
      </c>
      <c r="P44" s="70" t="n">
        <f aca="false">P32+P34</f>
        <v>190740.572212037</v>
      </c>
      <c r="Q44" s="70" t="n">
        <f aca="false">Q32+Q34</f>
        <v>80385.01680428</v>
      </c>
      <c r="R44" s="70" t="n">
        <f aca="false">R32+R34</f>
        <v>109927.713690402</v>
      </c>
      <c r="S44" s="70" t="n">
        <f aca="false">S32+S34</f>
        <v>-17904.9613012942</v>
      </c>
      <c r="T44" s="70" t="n">
        <f aca="false">T32+T34</f>
        <v>148821.098000635</v>
      </c>
      <c r="U44" s="70" t="n">
        <f aca="false">U32+U34</f>
        <v>-17318.6387108173</v>
      </c>
      <c r="V44" s="70" t="n">
        <f aca="false">V32+V34</f>
        <v>-79885.3422398236</v>
      </c>
      <c r="W44" s="70" t="n">
        <f aca="false">W32+W34</f>
        <v>-56307.5395776856</v>
      </c>
      <c r="X44" s="70" t="n">
        <f aca="false">X32+X34</f>
        <v>36649.5055912843</v>
      </c>
      <c r="Y44" s="70" t="n">
        <f aca="false">Y32+Y34</f>
        <v>55870.8701150436</v>
      </c>
      <c r="Z44" s="70" t="n">
        <f aca="false">Z32+Z34</f>
        <v>141475.226152318</v>
      </c>
      <c r="AA44" s="70" t="n">
        <f aca="false">AA32+AA34</f>
        <v>34684.0559038775</v>
      </c>
      <c r="AB44" s="70" t="n">
        <f aca="false">AB32+AB34</f>
        <v>43782.7348057935</v>
      </c>
    </row>
    <row r="45" customFormat="false" ht="15" hidden="false" customHeight="false" outlineLevel="0" collapsed="false">
      <c r="A45" s="21" t="s">
        <v>467</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row>
    <row r="46" customFormat="false" ht="15" hidden="false" customHeight="false" outlineLevel="0" collapsed="false">
      <c r="A46" s="27" t="s">
        <v>468</v>
      </c>
      <c r="B46" s="56" t="s">
        <v>469</v>
      </c>
      <c r="C46" s="57" t="n">
        <f aca="false">SUM(E46:P46)</f>
        <v>1567482.44748546</v>
      </c>
      <c r="D46" s="57" t="n">
        <f aca="false">SUM(Q46:AB46)</f>
        <v>2174641.92314426</v>
      </c>
      <c r="E46" s="58" t="n">
        <f aca="false">Residential!E34</f>
        <v>106268.01</v>
      </c>
      <c r="F46" s="58" t="n">
        <f aca="false">Residential!F34</f>
        <v>93670.97</v>
      </c>
      <c r="G46" s="58" t="n">
        <f aca="false">Residential!G34</f>
        <v>96455.66</v>
      </c>
      <c r="H46" s="58" t="n">
        <f aca="false">Residential!H34</f>
        <v>108853.19</v>
      </c>
      <c r="I46" s="58" t="n">
        <f aca="false">Residential!I34</f>
        <v>102307.45</v>
      </c>
      <c r="J46" s="58" t="n">
        <f aca="false">Residential!J34</f>
        <v>105686.06</v>
      </c>
      <c r="K46" s="58" t="n">
        <f aca="false">Residential!K34</f>
        <v>125565.63</v>
      </c>
      <c r="L46" s="58" t="n">
        <f aca="false">Residential!L34</f>
        <v>144622.44</v>
      </c>
      <c r="M46" s="58" t="n">
        <f aca="false">Residential!M34</f>
        <v>185493.448233123</v>
      </c>
      <c r="N46" s="58" t="n">
        <f aca="false">Residential!N34</f>
        <v>175500.250218207</v>
      </c>
      <c r="O46" s="58" t="n">
        <f aca="false">Residential!O34</f>
        <v>167082.275281234</v>
      </c>
      <c r="P46" s="58" t="n">
        <f aca="false">Residential!P34</f>
        <v>155977.063752898</v>
      </c>
      <c r="Q46" s="58" t="n">
        <f aca="false">Residential!Q34</f>
        <v>140259.901937569</v>
      </c>
      <c r="R46" s="58" t="n">
        <f aca="false">Residential!R34</f>
        <v>129076.530788197</v>
      </c>
      <c r="S46" s="58" t="n">
        <f aca="false">Residential!S34</f>
        <v>136628.2565008</v>
      </c>
      <c r="T46" s="58" t="n">
        <f aca="false">Residential!T34</f>
        <v>159640.665999318</v>
      </c>
      <c r="U46" s="58" t="n">
        <f aca="false">Residential!U34</f>
        <v>183001.312329151</v>
      </c>
      <c r="V46" s="58" t="n">
        <f aca="false">Residential!V34</f>
        <v>199147.892398537</v>
      </c>
      <c r="W46" s="58" t="n">
        <f aca="false">Residential!W34</f>
        <v>206761.179918608</v>
      </c>
      <c r="X46" s="58" t="n">
        <f aca="false">Residential!X34</f>
        <v>206604.03557242</v>
      </c>
      <c r="Y46" s="58" t="n">
        <f aca="false">Residential!Y34</f>
        <v>204611.962000323</v>
      </c>
      <c r="Z46" s="58" t="n">
        <f aca="false">Residential!Z34</f>
        <v>206653.222925265</v>
      </c>
      <c r="AA46" s="58" t="n">
        <f aca="false">Residential!AA34</f>
        <v>206561.619357186</v>
      </c>
      <c r="AB46" s="58" t="n">
        <f aca="false">Residential!AB34</f>
        <v>195695.34341689</v>
      </c>
    </row>
    <row r="47" customFormat="false" ht="15" hidden="false" customHeight="false" outlineLevel="0" collapsed="false">
      <c r="A47" s="27" t="s">
        <v>470</v>
      </c>
      <c r="B47" s="56" t="s">
        <v>469</v>
      </c>
      <c r="C47" s="57" t="n">
        <f aca="false">SUM(E47:P47)</f>
        <v>807859.67</v>
      </c>
      <c r="D47" s="57" t="n">
        <f aca="false">SUM(Q47:AB47)</f>
        <v>1046336.9886176</v>
      </c>
      <c r="E47" s="58" t="n">
        <f aca="false">Residential!E36</f>
        <v>14200.01</v>
      </c>
      <c r="F47" s="58" t="n">
        <f aca="false">Residential!F36</f>
        <v>135355.36</v>
      </c>
      <c r="G47" s="58" t="n">
        <f aca="false">Residential!G36</f>
        <v>72516.9</v>
      </c>
      <c r="H47" s="58" t="n">
        <f aca="false">Residential!H36</f>
        <v>75030.21</v>
      </c>
      <c r="I47" s="58" t="n">
        <f aca="false">Residential!I36</f>
        <v>58661.54</v>
      </c>
      <c r="J47" s="58" t="n">
        <f aca="false">Residential!J36</f>
        <v>42614.36</v>
      </c>
      <c r="K47" s="58" t="n">
        <f aca="false">Residential!K36</f>
        <v>41057.29</v>
      </c>
      <c r="L47" s="58" t="n">
        <f aca="false">Residential!L36</f>
        <v>91094.95</v>
      </c>
      <c r="M47" s="58" t="n">
        <f aca="false">Residential!M36</f>
        <v>64273.0500000001</v>
      </c>
      <c r="N47" s="58" t="n">
        <f aca="false">Residential!N36</f>
        <v>44114</v>
      </c>
      <c r="O47" s="58" t="n">
        <f aca="false">Residential!O36</f>
        <v>72258</v>
      </c>
      <c r="P47" s="58" t="n">
        <f aca="false">Residential!P36</f>
        <v>96684</v>
      </c>
      <c r="Q47" s="58" t="n">
        <f aca="false">Residential!Q36</f>
        <v>92464</v>
      </c>
      <c r="R47" s="58" t="n">
        <f aca="false">Residential!R36</f>
        <v>88469.3291484843</v>
      </c>
      <c r="S47" s="58" t="n">
        <f aca="false">Residential!S36</f>
        <v>85740.850108977</v>
      </c>
      <c r="T47" s="58" t="n">
        <f aca="false">Residential!T36</f>
        <v>78762.6878744049</v>
      </c>
      <c r="U47" s="58" t="n">
        <f aca="false">Residential!U36</f>
        <v>67341.8971965454</v>
      </c>
      <c r="V47" s="58" t="n">
        <f aca="false">Residential!V36</f>
        <v>59826.2577369378</v>
      </c>
      <c r="W47" s="58" t="n">
        <f aca="false">Residential!W36</f>
        <v>73758.3445073431</v>
      </c>
      <c r="X47" s="58" t="n">
        <f aca="false">Residential!X36</f>
        <v>88102.9949490439</v>
      </c>
      <c r="Y47" s="58" t="n">
        <f aca="false">Residential!Y36</f>
        <v>98396.9856662696</v>
      </c>
      <c r="Z47" s="58" t="n">
        <f aca="false">Residential!Z36</f>
        <v>104444.454661753</v>
      </c>
      <c r="AA47" s="58" t="n">
        <f aca="false">Residential!AA36</f>
        <v>106043.443959258</v>
      </c>
      <c r="AB47" s="58" t="n">
        <f aca="false">Residential!AB36</f>
        <v>102985.742808579</v>
      </c>
    </row>
    <row r="48" customFormat="false" ht="15" hidden="false" customHeight="false" outlineLevel="0" collapsed="false">
      <c r="A48" s="27" t="s">
        <v>471</v>
      </c>
      <c r="B48" s="56" t="s">
        <v>469</v>
      </c>
      <c r="C48" s="57" t="n">
        <f aca="false">SUM(E48:P48)</f>
        <v>2268910.05541661</v>
      </c>
      <c r="D48" s="57" t="n">
        <f aca="false">SUM(Q48:AB48)</f>
        <v>2449224.98457073</v>
      </c>
      <c r="E48" s="58" t="n">
        <f aca="false">Residential!E63</f>
        <v>166567.19</v>
      </c>
      <c r="F48" s="58" t="n">
        <f aca="false">Residential!F63</f>
        <v>124038.46</v>
      </c>
      <c r="G48" s="58" t="n">
        <f aca="false">Residential!G63</f>
        <v>159820.04</v>
      </c>
      <c r="H48" s="58" t="n">
        <f aca="false">Residential!H63</f>
        <v>151894.2</v>
      </c>
      <c r="I48" s="58" t="n">
        <f aca="false">Residential!I63</f>
        <v>204243.51</v>
      </c>
      <c r="J48" s="58" t="n">
        <f aca="false">Residential!J63</f>
        <v>214564.27</v>
      </c>
      <c r="K48" s="58" t="n">
        <f aca="false">Residential!K63</f>
        <v>194818.62</v>
      </c>
      <c r="L48" s="58" t="n">
        <f aca="false">Residential!L63</f>
        <v>235679</v>
      </c>
      <c r="M48" s="58" t="n">
        <f aca="false">Residential!M63</f>
        <v>223121.122706243</v>
      </c>
      <c r="N48" s="58" t="n">
        <f aca="false">Residential!N63</f>
        <v>203646.780816848</v>
      </c>
      <c r="O48" s="58" t="n">
        <f aca="false">Residential!O63</f>
        <v>201300.99161948</v>
      </c>
      <c r="P48" s="58" t="n">
        <f aca="false">Residential!P63</f>
        <v>189215.870274042</v>
      </c>
      <c r="Q48" s="58" t="n">
        <f aca="false">Residential!Q63</f>
        <v>182659.201612119</v>
      </c>
      <c r="R48" s="58" t="n">
        <f aca="false">Residential!R63</f>
        <v>173258.340137548</v>
      </c>
      <c r="S48" s="58" t="n">
        <f aca="false">Residential!S63</f>
        <v>171456.966823555</v>
      </c>
      <c r="T48" s="58" t="n">
        <f aca="false">Residential!T63</f>
        <v>179587.29334109</v>
      </c>
      <c r="U48" s="58" t="n">
        <f aca="false">Residential!U63</f>
        <v>193943.88192915</v>
      </c>
      <c r="V48" s="58" t="n">
        <f aca="false">Residential!V63</f>
        <v>210069.092249141</v>
      </c>
      <c r="W48" s="58" t="n">
        <f aca="false">Residential!W63</f>
        <v>220725.672351262</v>
      </c>
      <c r="X48" s="58" t="n">
        <f aca="false">Residential!X63</f>
        <v>225562.725070702</v>
      </c>
      <c r="Y48" s="58" t="n">
        <f aca="false">Residential!Y63</f>
        <v>228299.10140538</v>
      </c>
      <c r="Z48" s="58" t="n">
        <f aca="false">Residential!Z63</f>
        <v>227470.212651466</v>
      </c>
      <c r="AA48" s="58" t="n">
        <f aca="false">Residential!AA63</f>
        <v>222803.305656912</v>
      </c>
      <c r="AB48" s="58" t="n">
        <f aca="false">Residential!AB63</f>
        <v>213389.191342409</v>
      </c>
    </row>
    <row r="49" customFormat="false" ht="15" hidden="false" customHeight="false" outlineLevel="0" collapsed="false">
      <c r="A49" s="27" t="s">
        <v>472</v>
      </c>
      <c r="B49" s="56" t="s">
        <v>469</v>
      </c>
      <c r="C49" s="57" t="n">
        <f aca="false">SUM(E49:P49)</f>
        <v>3012018.73096882</v>
      </c>
      <c r="D49" s="57" t="n">
        <f aca="false">SUM(Q49:AB49)</f>
        <v>3507935.76689408</v>
      </c>
      <c r="E49" s="58" t="n">
        <f aca="false">WIP!E664</f>
        <v>217597.9</v>
      </c>
      <c r="F49" s="58" t="n">
        <f aca="false">WIP!F664</f>
        <v>205867.58</v>
      </c>
      <c r="G49" s="58" t="n">
        <f aca="false">WIP!G664</f>
        <v>125893.45</v>
      </c>
      <c r="H49" s="58" t="n">
        <f aca="false">WIP!H664</f>
        <v>159514.63</v>
      </c>
      <c r="I49" s="58" t="n">
        <f aca="false">WIP!I664</f>
        <v>155797.28</v>
      </c>
      <c r="J49" s="58" t="n">
        <f aca="false">WIP!J664</f>
        <v>137038.57</v>
      </c>
      <c r="K49" s="58" t="n">
        <f aca="false">WIP!K664</f>
        <v>130050.73</v>
      </c>
      <c r="L49" s="58" t="n">
        <f aca="false">WIP!L664</f>
        <v>247704.81</v>
      </c>
      <c r="M49" s="58" t="n">
        <f aca="false">WIP!M664</f>
        <v>299690.06347025</v>
      </c>
      <c r="N49" s="58" t="n">
        <f aca="false">WIP!N664</f>
        <v>333679.08651129</v>
      </c>
      <c r="O49" s="58" t="n">
        <f aca="false">WIP!O664</f>
        <v>480332.000477398</v>
      </c>
      <c r="P49" s="58" t="n">
        <f aca="false">WIP!P664</f>
        <v>518852.630509881</v>
      </c>
      <c r="Q49" s="58" t="n">
        <f aca="false">WIP!Q664</f>
        <v>526062.707860096</v>
      </c>
      <c r="R49" s="58" t="n">
        <f aca="false">WIP!R664</f>
        <v>446573.679605426</v>
      </c>
      <c r="S49" s="58" t="n">
        <f aca="false">WIP!S664</f>
        <v>433060.730635186</v>
      </c>
      <c r="T49" s="58" t="n">
        <f aca="false">WIP!T664</f>
        <v>379338.505216853</v>
      </c>
      <c r="U49" s="58" t="n">
        <f aca="false">WIP!U664</f>
        <v>281751.340737371</v>
      </c>
      <c r="V49" s="58" t="n">
        <f aca="false">WIP!V664</f>
        <v>127718.39968533</v>
      </c>
      <c r="W49" s="58" t="n">
        <f aca="false">WIP!W664</f>
        <v>183838.21359592</v>
      </c>
      <c r="X49" s="58" t="n">
        <f aca="false">WIP!X664</f>
        <v>239803.92859592</v>
      </c>
      <c r="Y49" s="58" t="n">
        <f aca="false">WIP!Y664</f>
        <v>263315.840796441</v>
      </c>
      <c r="Z49" s="58" t="n">
        <f aca="false">WIP!Z664</f>
        <v>250913.993696025</v>
      </c>
      <c r="AA49" s="58" t="n">
        <f aca="false">WIP!AA664</f>
        <v>222297.622725384</v>
      </c>
      <c r="AB49" s="58" t="n">
        <f aca="false">WIP!AB664</f>
        <v>153260.803744129</v>
      </c>
    </row>
    <row r="50" customFormat="false" ht="15" hidden="false" customHeight="false" outlineLevel="0" collapsed="false">
      <c r="A50" s="27" t="s">
        <v>473</v>
      </c>
      <c r="B50" s="56" t="s">
        <v>469</v>
      </c>
      <c r="C50" s="57" t="n">
        <f aca="false">SUM(E50:P50)</f>
        <v>1747053.52829449</v>
      </c>
      <c r="D50" s="57" t="n">
        <f aca="false">SUM(Q50:AB50)</f>
        <v>2170292.61615373</v>
      </c>
      <c r="E50" s="58" t="n">
        <f aca="false">WIP!E689</f>
        <v>144766.1</v>
      </c>
      <c r="F50" s="58" t="n">
        <f aca="false">WIP!F689</f>
        <v>163070.87</v>
      </c>
      <c r="G50" s="58" t="n">
        <f aca="false">WIP!G689</f>
        <v>253854.78</v>
      </c>
      <c r="H50" s="58" t="n">
        <f aca="false">WIP!H689</f>
        <v>178666.93</v>
      </c>
      <c r="I50" s="58" t="n">
        <f aca="false">WIP!I689</f>
        <v>112812.06</v>
      </c>
      <c r="J50" s="58" t="n">
        <f aca="false">WIP!J689</f>
        <v>68015.76</v>
      </c>
      <c r="K50" s="58" t="n">
        <f aca="false">WIP!K689</f>
        <v>33354.11</v>
      </c>
      <c r="L50" s="58" t="n">
        <f aca="false">WIP!L689</f>
        <v>89759.77</v>
      </c>
      <c r="M50" s="58" t="n">
        <f aca="false">WIP!M689</f>
        <v>147462.086</v>
      </c>
      <c r="N50" s="58" t="n">
        <f aca="false">WIP!N689</f>
        <v>165931.476801111</v>
      </c>
      <c r="O50" s="58" t="n">
        <f aca="false">WIP!O689</f>
        <v>196229.611145605</v>
      </c>
      <c r="P50" s="58" t="n">
        <f aca="false">WIP!P689</f>
        <v>193129.974347772</v>
      </c>
      <c r="Q50" s="58" t="n">
        <f aca="false">WIP!Q689</f>
        <v>177470.787238493</v>
      </c>
      <c r="R50" s="58" t="n">
        <f aca="false">WIP!R689</f>
        <v>146152.413019936</v>
      </c>
      <c r="S50" s="58" t="n">
        <f aca="false">WIP!S689</f>
        <v>99174.8516920988</v>
      </c>
      <c r="T50" s="58" t="n">
        <f aca="false">WIP!T689</f>
        <v>70329.478254984</v>
      </c>
      <c r="U50" s="58" t="n">
        <f aca="false">WIP!U689</f>
        <v>57338.8203017833</v>
      </c>
      <c r="V50" s="58" t="n">
        <f aca="false">WIP!V689</f>
        <v>181393.038408779</v>
      </c>
      <c r="W50" s="58" t="n">
        <f aca="false">WIP!W689</f>
        <v>222474.622770919</v>
      </c>
      <c r="X50" s="58" t="n">
        <f aca="false">WIP!X689</f>
        <v>263758.573388203</v>
      </c>
      <c r="Y50" s="58" t="n">
        <f aca="false">WIP!Y689</f>
        <v>277519.890260631</v>
      </c>
      <c r="Z50" s="58" t="n">
        <f aca="false">WIP!Z689</f>
        <v>263758.573388203</v>
      </c>
      <c r="AA50" s="58" t="n">
        <f aca="false">WIP!AA689</f>
        <v>222474.622770919</v>
      </c>
      <c r="AB50" s="58" t="n">
        <f aca="false">WIP!AB689</f>
        <v>188446.944658779</v>
      </c>
    </row>
    <row r="51" customFormat="false" ht="15" hidden="false" customHeight="false" outlineLevel="0" collapsed="false">
      <c r="A51" s="27" t="s">
        <v>474</v>
      </c>
      <c r="B51" s="56" t="s">
        <v>469</v>
      </c>
      <c r="C51" s="57" t="n">
        <f aca="false">SUM(E51:P51)</f>
        <v>53912.5</v>
      </c>
      <c r="D51" s="57" t="n">
        <f aca="false">SUM(Q51:AB51)</f>
        <v>0</v>
      </c>
      <c r="E51" s="58" t="n">
        <f aca="false">Retentions!E29</f>
        <v>0</v>
      </c>
      <c r="F51" s="58" t="n">
        <f aca="false">Retentions!F29</f>
        <v>0</v>
      </c>
      <c r="G51" s="58" t="n">
        <f aca="false">Retentions!G29</f>
        <v>0</v>
      </c>
      <c r="H51" s="58" t="n">
        <f aca="false">Retentions!H29</f>
        <v>0</v>
      </c>
      <c r="I51" s="58" t="n">
        <f aca="false">Retentions!I29</f>
        <v>0</v>
      </c>
      <c r="J51" s="58" t="n">
        <f aca="false">Retentions!J29</f>
        <v>0</v>
      </c>
      <c r="K51" s="58" t="n">
        <f aca="false">Retentions!K29</f>
        <v>0</v>
      </c>
      <c r="L51" s="58" t="n">
        <f aca="false">Retentions!L29</f>
        <v>0</v>
      </c>
      <c r="M51" s="58" t="n">
        <f aca="false">Retentions!M29</f>
        <v>0</v>
      </c>
      <c r="N51" s="58" t="n">
        <f aca="false">Retentions!N29</f>
        <v>0</v>
      </c>
      <c r="O51" s="58" t="n">
        <f aca="false">Retentions!O29</f>
        <v>32347.5</v>
      </c>
      <c r="P51" s="58" t="n">
        <f aca="false">Retentions!P29</f>
        <v>21565</v>
      </c>
      <c r="Q51" s="58" t="n">
        <f aca="false">Retentions!Q29</f>
        <v>0</v>
      </c>
      <c r="R51" s="58" t="n">
        <f aca="false">Retentions!R29</f>
        <v>0</v>
      </c>
      <c r="S51" s="58" t="n">
        <f aca="false">Retentions!S29</f>
        <v>0</v>
      </c>
      <c r="T51" s="58" t="n">
        <f aca="false">Retentions!T29</f>
        <v>0</v>
      </c>
      <c r="U51" s="58" t="n">
        <f aca="false">Retentions!U29</f>
        <v>0</v>
      </c>
      <c r="V51" s="58" t="n">
        <f aca="false">Retentions!V29</f>
        <v>0</v>
      </c>
      <c r="W51" s="58" t="n">
        <f aca="false">Retentions!W29</f>
        <v>0</v>
      </c>
      <c r="X51" s="58" t="n">
        <f aca="false">Retentions!X29</f>
        <v>0</v>
      </c>
      <c r="Y51" s="58" t="n">
        <f aca="false">Retentions!Y29</f>
        <v>0</v>
      </c>
      <c r="Z51" s="58" t="n">
        <f aca="false">Retentions!Z29</f>
        <v>0</v>
      </c>
      <c r="AA51" s="58" t="n">
        <f aca="false">Retentions!AA29</f>
        <v>0</v>
      </c>
      <c r="AB51" s="58" t="n">
        <f aca="false">Retentions!AB29</f>
        <v>0</v>
      </c>
    </row>
    <row r="52" customFormat="false" ht="15" hidden="false" customHeight="false" outlineLevel="0" collapsed="false">
      <c r="A52" s="27" t="s">
        <v>475</v>
      </c>
      <c r="B52" s="56" t="s">
        <v>469</v>
      </c>
      <c r="C52" s="57" t="n">
        <f aca="false">SUM(E52:P52)</f>
        <v>-2875142.23554032</v>
      </c>
      <c r="D52" s="57" t="n">
        <f aca="false">SUM(Q52:AB52)</f>
        <v>-3304428.41021902</v>
      </c>
      <c r="E52" s="58" t="n">
        <f aca="false">-Payables!E16</f>
        <v>-156921.77448</v>
      </c>
      <c r="F52" s="58" t="n">
        <f aca="false">-Payables!F16</f>
        <v>-215557.54443</v>
      </c>
      <c r="G52" s="58" t="n">
        <f aca="false">-Payables!G16</f>
        <v>-183076.83522</v>
      </c>
      <c r="H52" s="58" t="n">
        <f aca="false">-Payables!H16</f>
        <v>-156841.73955</v>
      </c>
      <c r="I52" s="58" t="n">
        <f aca="false">-Payables!I16</f>
        <v>-148878.30735</v>
      </c>
      <c r="J52" s="58" t="n">
        <f aca="false">-Payables!J16</f>
        <v>-161935.22952</v>
      </c>
      <c r="K52" s="58" t="n">
        <f aca="false">-Payables!K16</f>
        <v>-186576.02091</v>
      </c>
      <c r="L52" s="58" t="n">
        <f aca="false">-Payables!L16</f>
        <v>-251225.93772</v>
      </c>
      <c r="M52" s="58" t="n">
        <f aca="false">-Payables!M16</f>
        <v>-348240.2404983</v>
      </c>
      <c r="N52" s="58" t="n">
        <f aca="false">-Payables!N16</f>
        <v>-359679.484213605</v>
      </c>
      <c r="O52" s="58" t="n">
        <f aca="false">-Payables!O16</f>
        <v>-364775.131043027</v>
      </c>
      <c r="P52" s="58" t="n">
        <f aca="false">-Payables!P16</f>
        <v>-341433.990605391</v>
      </c>
      <c r="Q52" s="58" t="n">
        <f aca="false">-Payables!Q16</f>
        <v>-319897.911462991</v>
      </c>
      <c r="R52" s="58" t="n">
        <f aca="false">-Payables!R16</f>
        <v>-281859.073343207</v>
      </c>
      <c r="S52" s="58" t="n">
        <f aca="false">-Payables!S16</f>
        <v>-222551.958387641</v>
      </c>
      <c r="T52" s="58" t="n">
        <f aca="false">-Payables!T16</f>
        <v>-203881.786028235</v>
      </c>
      <c r="U52" s="58" t="n">
        <f aca="false">-Payables!U16</f>
        <v>-229339.099695358</v>
      </c>
      <c r="V52" s="58" t="n">
        <f aca="false">-Payables!V16</f>
        <v>-283652.992181789</v>
      </c>
      <c r="W52" s="58" t="n">
        <f aca="false">-Payables!W16</f>
        <v>-318197.181046041</v>
      </c>
      <c r="X52" s="58" t="n">
        <f aca="false">-Payables!X16</f>
        <v>-334820.528754597</v>
      </c>
      <c r="Y52" s="58" t="n">
        <f aca="false">-Payables!Y16</f>
        <v>-323358.456952715</v>
      </c>
      <c r="Z52" s="58" t="n">
        <f aca="false">-Payables!Z16</f>
        <v>-286987.327391067</v>
      </c>
      <c r="AA52" s="58" t="n">
        <f aca="false">-Payables!AA16</f>
        <v>-263671.753247936</v>
      </c>
      <c r="AB52" s="58" t="n">
        <f aca="false">-Payables!AB16</f>
        <v>-236210.341727443</v>
      </c>
    </row>
    <row r="53" customFormat="false" ht="15" hidden="false" customHeight="false" outlineLevel="0" collapsed="false">
      <c r="A53" s="27" t="s">
        <v>476</v>
      </c>
      <c r="B53" s="56" t="s">
        <v>469</v>
      </c>
      <c r="C53" s="57" t="n">
        <f aca="false">SUM(E53:P53)</f>
        <v>-102549.122598746</v>
      </c>
      <c r="D53" s="57" t="n">
        <f aca="false">SUM(Q53:AB53)</f>
        <v>-131004.284721275</v>
      </c>
      <c r="E53" s="58" t="n">
        <f aca="false">VAT_RCT!E32</f>
        <v>-5200</v>
      </c>
      <c r="F53" s="58" t="n">
        <f aca="false">VAT_RCT!F32</f>
        <v>-6029.18552</v>
      </c>
      <c r="G53" s="58" t="n">
        <f aca="false">VAT_RCT!G32</f>
        <v>-8282.06557</v>
      </c>
      <c r="H53" s="58" t="n">
        <f aca="false">VAT_RCT!H32</f>
        <v>-7034.10478</v>
      </c>
      <c r="I53" s="58" t="n">
        <f aca="false">VAT_RCT!I32</f>
        <v>-6026.11045</v>
      </c>
      <c r="J53" s="58" t="n">
        <f aca="false">VAT_RCT!J32</f>
        <v>-5720.14265</v>
      </c>
      <c r="K53" s="58" t="n">
        <f aca="false">VAT_RCT!K32</f>
        <v>-6221.81048</v>
      </c>
      <c r="L53" s="58" t="n">
        <f aca="false">VAT_RCT!L32</f>
        <v>-7168.54909</v>
      </c>
      <c r="M53" s="58" t="n">
        <f aca="false">VAT_RCT!M32</f>
        <v>-9652.50228</v>
      </c>
      <c r="N53" s="58" t="n">
        <f aca="false">VAT_RCT!N32</f>
        <v>-13379.9469350333</v>
      </c>
      <c r="O53" s="58" t="n">
        <f aca="false">VAT_RCT!O32</f>
        <v>-13819.4609718623</v>
      </c>
      <c r="P53" s="58" t="n">
        <f aca="false">VAT_RCT!P32</f>
        <v>-14015.2438718505</v>
      </c>
      <c r="Q53" s="58" t="n">
        <f aca="false">VAT_RCT!Q32</f>
        <v>-13118.4399298022</v>
      </c>
      <c r="R53" s="58" t="n">
        <f aca="false">VAT_RCT!R32</f>
        <v>-12290.9893293153</v>
      </c>
      <c r="S53" s="58" t="n">
        <f aca="false">VAT_RCT!S32</f>
        <v>-10829.4763382125</v>
      </c>
      <c r="T53" s="58" t="n">
        <f aca="false">VAT_RCT!T32</f>
        <v>-8550.80213950438</v>
      </c>
      <c r="U53" s="58" t="n">
        <f aca="false">VAT_RCT!U32</f>
        <v>-7833.46426069023</v>
      </c>
      <c r="V53" s="58" t="n">
        <f aca="false">VAT_RCT!V32</f>
        <v>-8811.57496233464</v>
      </c>
      <c r="W53" s="58" t="n">
        <f aca="false">VAT_RCT!W32</f>
        <v>-10898.4015687707</v>
      </c>
      <c r="X53" s="58" t="n">
        <f aca="false">VAT_RCT!X32</f>
        <v>-12225.6445469403</v>
      </c>
      <c r="Y53" s="58" t="n">
        <f aca="false">VAT_RCT!Y32</f>
        <v>-12864.3401494497</v>
      </c>
      <c r="Z53" s="58" t="n">
        <f aca="false">VAT_RCT!Z32</f>
        <v>-12423.9490210285</v>
      </c>
      <c r="AA53" s="58" t="n">
        <f aca="false">VAT_RCT!AA32</f>
        <v>-11026.5120596776</v>
      </c>
      <c r="AB53" s="58" t="n">
        <f aca="false">VAT_RCT!AB32</f>
        <v>-10130.6904155489</v>
      </c>
    </row>
    <row r="54" customFormat="false" ht="15" hidden="false" customHeight="false" outlineLevel="0" collapsed="false">
      <c r="A54" s="27" t="s">
        <v>477</v>
      </c>
      <c r="B54" s="56" t="s">
        <v>469</v>
      </c>
      <c r="C54" s="57" t="n">
        <f aca="false">SUM(E54:P54)</f>
        <v>-2188306.36644671</v>
      </c>
      <c r="D54" s="57" t="n">
        <f aca="false">SUM(Q54:AB54)</f>
        <v>-2617562.46299679</v>
      </c>
      <c r="E54" s="58" t="n">
        <f aca="false">-Payables!E20</f>
        <v>-98833.65</v>
      </c>
      <c r="F54" s="58" t="n">
        <f aca="false">-Payables!F20</f>
        <v>-140309.29</v>
      </c>
      <c r="G54" s="58" t="n">
        <f aca="false">-Payables!G20</f>
        <v>-130537.09</v>
      </c>
      <c r="H54" s="58" t="n">
        <f aca="false">-Payables!H20</f>
        <v>-148213.23</v>
      </c>
      <c r="I54" s="58" t="n">
        <f aca="false">-Payables!I20</f>
        <v>-128489.84</v>
      </c>
      <c r="J54" s="58" t="n">
        <f aca="false">-Payables!J20</f>
        <v>-114926.95</v>
      </c>
      <c r="K54" s="58" t="n">
        <f aca="false">-Payables!K20</f>
        <v>-137044.46</v>
      </c>
      <c r="L54" s="58" t="n">
        <f aca="false">-Payables!L20</f>
        <v>-212489.96</v>
      </c>
      <c r="M54" s="58" t="n">
        <f aca="false">-Payables!M20</f>
        <v>-266655.94172</v>
      </c>
      <c r="N54" s="58" t="n">
        <f aca="false">-Payables!N20</f>
        <v>-264267.996732746</v>
      </c>
      <c r="O54" s="58" t="n">
        <f aca="false">-Payables!O20</f>
        <v>-278556.373112067</v>
      </c>
      <c r="P54" s="58" t="n">
        <f aca="false">-Payables!P20</f>
        <v>-267981.584881896</v>
      </c>
      <c r="Q54" s="58" t="n">
        <f aca="false">-Payables!Q20</f>
        <v>-246978.150243603</v>
      </c>
      <c r="R54" s="58" t="n">
        <f aca="false">-Payables!R20</f>
        <v>-224149.024676669</v>
      </c>
      <c r="S54" s="58" t="n">
        <f aca="false">-Payables!S20</f>
        <v>-195802.918646607</v>
      </c>
      <c r="T54" s="58" t="n">
        <f aca="false">-Payables!T20</f>
        <v>-165366.340815093</v>
      </c>
      <c r="U54" s="58" t="n">
        <f aca="false">-Payables!U20</f>
        <v>-164423.55750553</v>
      </c>
      <c r="V54" s="58" t="n">
        <f aca="false">-Payables!V20</f>
        <v>-198243.011045452</v>
      </c>
      <c r="W54" s="58" t="n">
        <f aca="false">-Payables!W20</f>
        <v>-236434.904576915</v>
      </c>
      <c r="X54" s="58" t="n">
        <f aca="false">-Payables!X20</f>
        <v>-257676.322184158</v>
      </c>
      <c r="Y54" s="58" t="n">
        <f aca="false">-Payables!Y20</f>
        <v>-258911.570242993</v>
      </c>
      <c r="Z54" s="58" t="n">
        <f aca="false">-Payables!Z20</f>
        <v>-242724.222199921</v>
      </c>
      <c r="AA54" s="58" t="n">
        <f aca="false">-Payables!AA20</f>
        <v>-221240.391145273</v>
      </c>
      <c r="AB54" s="58" t="n">
        <f aca="false">-Payables!AB20</f>
        <v>-205612.049714578</v>
      </c>
    </row>
    <row r="55" customFormat="false" ht="15" hidden="false" customHeight="false" outlineLevel="0" collapsed="false">
      <c r="A55" s="27" t="s">
        <v>478</v>
      </c>
      <c r="B55" s="56" t="s">
        <v>469</v>
      </c>
      <c r="C55" s="57" t="n">
        <f aca="false">SUM(E55:P55)</f>
        <v>-840686.999111624</v>
      </c>
      <c r="D55" s="57" t="n">
        <f aca="false">SUM(Q55:AB55)</f>
        <v>-945184.255036417</v>
      </c>
      <c r="E55" s="58" t="n">
        <f aca="false">-Payables!E25</f>
        <v>-39871.42</v>
      </c>
      <c r="F55" s="58" t="n">
        <f aca="false">-Payables!F25</f>
        <v>-62356.57</v>
      </c>
      <c r="G55" s="58" t="n">
        <f aca="false">-Payables!G25</f>
        <v>-48705.77</v>
      </c>
      <c r="H55" s="58" t="n">
        <f aca="false">-Payables!H25</f>
        <v>-45209.91</v>
      </c>
      <c r="I55" s="58" t="n">
        <f aca="false">-Payables!I25</f>
        <v>-38113.25</v>
      </c>
      <c r="J55" s="58" t="n">
        <f aca="false">-Payables!J25</f>
        <v>-45633.35</v>
      </c>
      <c r="K55" s="58" t="n">
        <f aca="false">-Payables!K25</f>
        <v>-84378.75</v>
      </c>
      <c r="L55" s="58" t="n">
        <f aca="false">-Payables!L25</f>
        <v>-65188.43</v>
      </c>
      <c r="M55" s="58" t="n">
        <f aca="false">-Payables!M25</f>
        <v>-104898.6373</v>
      </c>
      <c r="N55" s="58" t="n">
        <f aca="false">-Payables!N25</f>
        <v>-105265.00888457</v>
      </c>
      <c r="O55" s="58" t="n">
        <f aca="false">-Payables!O25</f>
        <v>-104026.632737275</v>
      </c>
      <c r="P55" s="58" t="n">
        <f aca="false">-Payables!P25</f>
        <v>-97039.2701897786</v>
      </c>
      <c r="Q55" s="58" t="n">
        <f aca="false">-Payables!Q25</f>
        <v>-87835.1059540364</v>
      </c>
      <c r="R55" s="58" t="n">
        <f aca="false">-Payables!R25</f>
        <v>-80455.670064581</v>
      </c>
      <c r="S55" s="58" t="n">
        <f aca="false">-Payables!S25</f>
        <v>-66517.0080683851</v>
      </c>
      <c r="T55" s="58" t="n">
        <f aca="false">-Payables!T25</f>
        <v>-56339.2316702656</v>
      </c>
      <c r="U55" s="58" t="n">
        <f aca="false">-Payables!U25</f>
        <v>-63938.3989971462</v>
      </c>
      <c r="V55" s="58" t="n">
        <f aca="false">-Payables!V25</f>
        <v>-80572.7674752219</v>
      </c>
      <c r="W55" s="58" t="n">
        <f aca="false">-Payables!W25</f>
        <v>-91868.4874436481</v>
      </c>
      <c r="X55" s="58" t="n">
        <f aca="false">-Payables!X25</f>
        <v>-95710.7097580614</v>
      </c>
      <c r="Y55" s="58" t="n">
        <f aca="false">-Payables!Y25</f>
        <v>-92001.3891681198</v>
      </c>
      <c r="Z55" s="58" t="n">
        <f aca="false">-Payables!Z25</f>
        <v>-82829.6627962928</v>
      </c>
      <c r="AA55" s="58" t="n">
        <f aca="false">-Payables!AA25</f>
        <v>-75622.1137828202</v>
      </c>
      <c r="AB55" s="58" t="n">
        <f aca="false">-Payables!AB25</f>
        <v>-71493.7098578387</v>
      </c>
    </row>
    <row r="56" customFormat="false" ht="15" hidden="false" customHeight="false" outlineLevel="0" collapsed="false">
      <c r="A56" s="27" t="s">
        <v>479</v>
      </c>
      <c r="B56" s="56" t="s">
        <v>469</v>
      </c>
      <c r="C56" s="57" t="n">
        <f aca="false">SUM(E56:P56)</f>
        <v>-841975.147884139</v>
      </c>
      <c r="D56" s="57" t="n">
        <f aca="false">SUM(Q56:AB56)</f>
        <v>-773430.900618667</v>
      </c>
      <c r="E56" s="58" t="n">
        <f aca="false">-Payables!E30</f>
        <v>-44200.79</v>
      </c>
      <c r="F56" s="58" t="n">
        <f aca="false">-Payables!F30</f>
        <v>-64704.8</v>
      </c>
      <c r="G56" s="58" t="n">
        <f aca="false">-Payables!G30</f>
        <v>-53584.95</v>
      </c>
      <c r="H56" s="58" t="n">
        <f aca="false">-Payables!H30</f>
        <v>-63082.86</v>
      </c>
      <c r="I56" s="58" t="n">
        <f aca="false">-Payables!I30</f>
        <v>-62637.05</v>
      </c>
      <c r="J56" s="58" t="n">
        <f aca="false">-Payables!J30</f>
        <v>-69961.65</v>
      </c>
      <c r="K56" s="58" t="n">
        <f aca="false">-Payables!K30</f>
        <v>-58478.97</v>
      </c>
      <c r="L56" s="58" t="n">
        <f aca="false">-Payables!L30</f>
        <v>-66163.97</v>
      </c>
      <c r="M56" s="58" t="n">
        <f aca="false">-Payables!M30</f>
        <v>-78685.3548890894</v>
      </c>
      <c r="N56" s="58" t="n">
        <f aca="false">-Payables!N30</f>
        <v>-110046.962240999</v>
      </c>
      <c r="O56" s="58" t="n">
        <f aca="false">-Payables!O30</f>
        <v>-98907.0206616614</v>
      </c>
      <c r="P56" s="58" t="n">
        <f aca="false">-Payables!P30</f>
        <v>-71520.7700923896</v>
      </c>
      <c r="Q56" s="58" t="n">
        <f aca="false">-Payables!Q30</f>
        <v>-63073.108892</v>
      </c>
      <c r="R56" s="58" t="n">
        <f aca="false">-Payables!R30</f>
        <v>-64833.9871266667</v>
      </c>
      <c r="S56" s="58" t="n">
        <f aca="false">-Payables!S30</f>
        <v>-64784.12046</v>
      </c>
      <c r="T56" s="58" t="n">
        <f aca="false">-Payables!T30</f>
        <v>-64557.1871266667</v>
      </c>
      <c r="U56" s="58" t="n">
        <f aca="false">-Payables!U30</f>
        <v>-64452.12046</v>
      </c>
      <c r="V56" s="58" t="n">
        <f aca="false">-Payables!V30</f>
        <v>-64471.32046</v>
      </c>
      <c r="W56" s="58" t="n">
        <f aca="false">-Payables!W30</f>
        <v>-64481.56046</v>
      </c>
      <c r="X56" s="58" t="n">
        <f aca="false">-Payables!X30</f>
        <v>-64531.16046</v>
      </c>
      <c r="Y56" s="58" t="n">
        <f aca="false">-Payables!Y30</f>
        <v>-64588.44046</v>
      </c>
      <c r="Z56" s="58" t="n">
        <f aca="false">-Payables!Z30</f>
        <v>-64651.6537933333</v>
      </c>
      <c r="AA56" s="58" t="n">
        <f aca="false">-Payables!AA30</f>
        <v>-64536.1871266667</v>
      </c>
      <c r="AB56" s="58" t="n">
        <f aca="false">-Payables!AB30</f>
        <v>-64470.0537933333</v>
      </c>
    </row>
    <row r="57" customFormat="false" ht="15" hidden="false" customHeight="false" outlineLevel="0" collapsed="false">
      <c r="A57" s="27" t="s">
        <v>480</v>
      </c>
      <c r="B57" s="56" t="s">
        <v>469</v>
      </c>
      <c r="C57" s="57" t="n">
        <f aca="false">SUM(E57:P57)</f>
        <v>-968217.96</v>
      </c>
      <c r="D57" s="57" t="n">
        <f aca="false">SUM(Q57:AB57)</f>
        <v>-1190715.75</v>
      </c>
      <c r="E57" s="58" t="n">
        <f aca="false">-Overheads!E55</f>
        <v>-76438.52</v>
      </c>
      <c r="F57" s="58" t="n">
        <f aca="false">-Overheads!F55</f>
        <v>-76055.48</v>
      </c>
      <c r="G57" s="58" t="n">
        <f aca="false">-Overheads!G55</f>
        <v>-78429.72</v>
      </c>
      <c r="H57" s="58" t="n">
        <f aca="false">-Overheads!H55</f>
        <v>-74930.68</v>
      </c>
      <c r="I57" s="58" t="n">
        <f aca="false">-Overheads!I55</f>
        <v>-74946.64</v>
      </c>
      <c r="J57" s="58" t="n">
        <f aca="false">-Overheads!J55</f>
        <v>-78774</v>
      </c>
      <c r="K57" s="58" t="n">
        <f aca="false">-Overheads!K55</f>
        <v>-85693.04</v>
      </c>
      <c r="L57" s="58" t="n">
        <f aca="false">-Overheads!L55</f>
        <v>-82317.88</v>
      </c>
      <c r="M57" s="58" t="n">
        <f aca="false">-Overheads!M55</f>
        <v>-82346</v>
      </c>
      <c r="N57" s="58" t="n">
        <f aca="false">-Overheads!N55</f>
        <v>-82346</v>
      </c>
      <c r="O57" s="58" t="n">
        <f aca="false">-Overheads!O55</f>
        <v>-87970</v>
      </c>
      <c r="P57" s="58" t="n">
        <f aca="false">-Overheads!P55</f>
        <v>-87970</v>
      </c>
      <c r="Q57" s="58" t="n">
        <f aca="false">-Overheads!Q55</f>
        <v>-91048.95</v>
      </c>
      <c r="R57" s="58" t="n">
        <f aca="false">-Overheads!R55</f>
        <v>-94234.68</v>
      </c>
      <c r="S57" s="58" t="n">
        <f aca="false">-Overheads!S55</f>
        <v>-96791.13</v>
      </c>
      <c r="T57" s="58" t="n">
        <f aca="false">-Overheads!T55</f>
        <v>-100960.11</v>
      </c>
      <c r="U57" s="58" t="n">
        <f aca="false">-Overheads!U55</f>
        <v>-100960.11</v>
      </c>
      <c r="V57" s="58" t="n">
        <f aca="false">-Overheads!V55</f>
        <v>-100960.11</v>
      </c>
      <c r="W57" s="58" t="n">
        <f aca="false">-Overheads!W55</f>
        <v>-100960.11</v>
      </c>
      <c r="X57" s="58" t="n">
        <f aca="false">-Overheads!X55</f>
        <v>-100960.11</v>
      </c>
      <c r="Y57" s="58" t="n">
        <f aca="false">-Overheads!Y55</f>
        <v>-100960.11</v>
      </c>
      <c r="Z57" s="58" t="n">
        <f aca="false">-Overheads!Z55</f>
        <v>-100960.11</v>
      </c>
      <c r="AA57" s="58" t="n">
        <f aca="false">-Overheads!AA55</f>
        <v>-100960.11</v>
      </c>
      <c r="AB57" s="58" t="n">
        <f aca="false">-Overheads!AB55</f>
        <v>-100960.11</v>
      </c>
    </row>
    <row r="58" customFormat="false" ht="15" hidden="false" customHeight="false" outlineLevel="0" collapsed="false">
      <c r="A58" s="27" t="s">
        <v>481</v>
      </c>
      <c r="B58" s="56" t="s">
        <v>469</v>
      </c>
      <c r="C58" s="57" t="n">
        <f aca="false">SUM(E58:P58)</f>
        <v>-394172.48</v>
      </c>
      <c r="D58" s="57" t="n">
        <f aca="false">SUM(Q58:AB58)</f>
        <v>-510660.72</v>
      </c>
      <c r="E58" s="58" t="n">
        <f aca="false">-Overheads!E56</f>
        <v>-33161.84</v>
      </c>
      <c r="F58" s="58" t="n">
        <f aca="false">-Overheads!F56</f>
        <v>-32908.76</v>
      </c>
      <c r="G58" s="58" t="n">
        <f aca="false">-Overheads!G56</f>
        <v>-30071.68</v>
      </c>
      <c r="H58" s="58" t="n">
        <f aca="false">-Overheads!H56</f>
        <v>-29829.24</v>
      </c>
      <c r="I58" s="58" t="n">
        <f aca="false">-Overheads!I56</f>
        <v>-29674.2</v>
      </c>
      <c r="J58" s="58" t="n">
        <f aca="false">-Overheads!J56</f>
        <v>-33318.4</v>
      </c>
      <c r="K58" s="58" t="n">
        <f aca="false">-Overheads!K56</f>
        <v>-32886.72</v>
      </c>
      <c r="L58" s="58" t="n">
        <f aca="false">-Overheads!L56</f>
        <v>-33089.64</v>
      </c>
      <c r="M58" s="58" t="n">
        <f aca="false">-Overheads!M56</f>
        <v>-33212</v>
      </c>
      <c r="N58" s="58" t="n">
        <f aca="false">-Overheads!N56</f>
        <v>-33212</v>
      </c>
      <c r="O58" s="58" t="n">
        <f aca="false">-Overheads!O56</f>
        <v>-36404</v>
      </c>
      <c r="P58" s="58" t="n">
        <f aca="false">-Overheads!P56</f>
        <v>-36404</v>
      </c>
      <c r="Q58" s="58" t="n">
        <f aca="false">-Overheads!Q56</f>
        <v>-42555.06</v>
      </c>
      <c r="R58" s="58" t="n">
        <f aca="false">-Overheads!R56</f>
        <v>-42555.06</v>
      </c>
      <c r="S58" s="58" t="n">
        <f aca="false">-Overheads!S56</f>
        <v>-42555.06</v>
      </c>
      <c r="T58" s="58" t="n">
        <f aca="false">-Overheads!T56</f>
        <v>-42555.06</v>
      </c>
      <c r="U58" s="58" t="n">
        <f aca="false">-Overheads!U56</f>
        <v>-42555.06</v>
      </c>
      <c r="V58" s="58" t="n">
        <f aca="false">-Overheads!V56</f>
        <v>-42555.06</v>
      </c>
      <c r="W58" s="58" t="n">
        <f aca="false">-Overheads!W56</f>
        <v>-42555.06</v>
      </c>
      <c r="X58" s="58" t="n">
        <f aca="false">-Overheads!X56</f>
        <v>-42555.06</v>
      </c>
      <c r="Y58" s="58" t="n">
        <f aca="false">-Overheads!Y56</f>
        <v>-42555.06</v>
      </c>
      <c r="Z58" s="58" t="n">
        <f aca="false">-Overheads!Z56</f>
        <v>-42555.06</v>
      </c>
      <c r="AA58" s="58" t="n">
        <f aca="false">-Overheads!AA56</f>
        <v>-42555.06</v>
      </c>
      <c r="AB58" s="58" t="n">
        <f aca="false">-Overheads!AB56</f>
        <v>-42555.06</v>
      </c>
    </row>
    <row r="59" customFormat="false" ht="15" hidden="false" customHeight="false" outlineLevel="0" collapsed="false">
      <c r="A59" s="27" t="s">
        <v>482</v>
      </c>
      <c r="B59" s="56" t="s">
        <v>469</v>
      </c>
      <c r="C59" s="57" t="n">
        <f aca="false">SUM(E59:P59)</f>
        <v>-717933.5725</v>
      </c>
      <c r="D59" s="57" t="n">
        <f aca="false">SUM(Q59:AB59)</f>
        <v>-894240.87</v>
      </c>
      <c r="E59" s="58" t="n">
        <f aca="false">Overheads!E53</f>
        <v>-61800</v>
      </c>
      <c r="F59" s="58" t="n">
        <f aca="false">Overheads!F53</f>
        <v>-58044.9275</v>
      </c>
      <c r="G59" s="58" t="n">
        <f aca="false">Overheads!G53</f>
        <v>-57708.035</v>
      </c>
      <c r="H59" s="58" t="n">
        <f aca="false">Overheads!H53</f>
        <v>-57462.9125</v>
      </c>
      <c r="I59" s="58" t="n">
        <f aca="false">Overheads!I53</f>
        <v>-55481.405</v>
      </c>
      <c r="J59" s="58" t="n">
        <f aca="false">Overheads!J53</f>
        <v>-55407.7475</v>
      </c>
      <c r="K59" s="58" t="n">
        <f aca="false">Overheads!K53</f>
        <v>-59364.725</v>
      </c>
      <c r="L59" s="58" t="n">
        <f aca="false">Overheads!L53</f>
        <v>-62800.465</v>
      </c>
      <c r="M59" s="58" t="n">
        <f aca="false">Overheads!M53</f>
        <v>-61120.43</v>
      </c>
      <c r="N59" s="58" t="n">
        <f aca="false">Overheads!N53</f>
        <v>-61200.125</v>
      </c>
      <c r="O59" s="58" t="n">
        <f aca="false">Overheads!O53</f>
        <v>-61428.2</v>
      </c>
      <c r="P59" s="58" t="n">
        <f aca="false">Overheads!P53</f>
        <v>-66114.6</v>
      </c>
      <c r="Q59" s="58" t="n">
        <f aca="false">Overheads!Q53</f>
        <v>-66114.6</v>
      </c>
      <c r="R59" s="58" t="n">
        <f aca="false">Overheads!R53</f>
        <v>-71021.079</v>
      </c>
      <c r="S59" s="58" t="n">
        <f aca="false">Overheads!S53</f>
        <v>-72714.546</v>
      </c>
      <c r="T59" s="58" t="n">
        <f aca="false">Overheads!T53</f>
        <v>-74073.501</v>
      </c>
      <c r="U59" s="58" t="n">
        <f aca="false">Overheads!U53</f>
        <v>-76289.643</v>
      </c>
      <c r="V59" s="58" t="n">
        <f aca="false">Overheads!V53</f>
        <v>-76289.643</v>
      </c>
      <c r="W59" s="58" t="n">
        <f aca="false">Overheads!W53</f>
        <v>-76289.643</v>
      </c>
      <c r="X59" s="58" t="n">
        <f aca="false">Overheads!X53</f>
        <v>-76289.643</v>
      </c>
      <c r="Y59" s="58" t="n">
        <f aca="false">Overheads!Y53</f>
        <v>-76289.643</v>
      </c>
      <c r="Z59" s="58" t="n">
        <f aca="false">Overheads!Z53</f>
        <v>-76289.643</v>
      </c>
      <c r="AA59" s="58" t="n">
        <f aca="false">Overheads!AA53</f>
        <v>-76289.643</v>
      </c>
      <c r="AB59" s="58" t="n">
        <f aca="false">Overheads!AB53</f>
        <v>-76289.643</v>
      </c>
    </row>
    <row r="60" customFormat="false" ht="15" hidden="false" customHeight="false" outlineLevel="0" collapsed="false">
      <c r="A60" s="27" t="s">
        <v>483</v>
      </c>
      <c r="B60" s="56" t="s">
        <v>469</v>
      </c>
      <c r="C60" s="57" t="n">
        <f aca="false">SUM(E60:P60)</f>
        <v>-177579.542287926</v>
      </c>
      <c r="D60" s="57" t="n">
        <f aca="false">SUM(Q60:AB60)</f>
        <v>-325090.939333488</v>
      </c>
      <c r="E60" s="58" t="n">
        <f aca="false">VAT_RCT!E27</f>
        <v>-46300</v>
      </c>
      <c r="F60" s="58" t="n">
        <f aca="false">VAT_RCT!F27</f>
        <v>0</v>
      </c>
      <c r="G60" s="58" t="n">
        <f aca="false">VAT_RCT!G27</f>
        <v>-23131.9689843723</v>
      </c>
      <c r="H60" s="58" t="n">
        <f aca="false">VAT_RCT!H27</f>
        <v>0</v>
      </c>
      <c r="I60" s="58" t="n">
        <f aca="false">VAT_RCT!I27</f>
        <v>-24543.1004352423</v>
      </c>
      <c r="J60" s="58" t="n">
        <f aca="false">VAT_RCT!J27</f>
        <v>0</v>
      </c>
      <c r="K60" s="58" t="n">
        <f aca="false">VAT_RCT!K27</f>
        <v>-22020.5873839648</v>
      </c>
      <c r="L60" s="58" t="n">
        <f aca="false">VAT_RCT!L27</f>
        <v>0</v>
      </c>
      <c r="M60" s="58" t="n">
        <f aca="false">VAT_RCT!M27</f>
        <v>-24951.0953312379</v>
      </c>
      <c r="N60" s="58" t="n">
        <f aca="false">VAT_RCT!N27</f>
        <v>0</v>
      </c>
      <c r="O60" s="58" t="n">
        <f aca="false">VAT_RCT!O27</f>
        <v>-36632.790153109</v>
      </c>
      <c r="P60" s="58" t="n">
        <f aca="false">VAT_RCT!P27</f>
        <v>0</v>
      </c>
      <c r="Q60" s="58" t="n">
        <f aca="false">VAT_RCT!Q27</f>
        <v>-90920.6641115637</v>
      </c>
      <c r="R60" s="58" t="n">
        <f aca="false">VAT_RCT!R27</f>
        <v>0</v>
      </c>
      <c r="S60" s="58" t="n">
        <f aca="false">VAT_RCT!S27</f>
        <v>-73303.9594735649</v>
      </c>
      <c r="T60" s="58" t="n">
        <f aca="false">VAT_RCT!T27</f>
        <v>0</v>
      </c>
      <c r="U60" s="58" t="n">
        <f aca="false">VAT_RCT!U27</f>
        <v>-48385.9085360924</v>
      </c>
      <c r="V60" s="58" t="n">
        <f aca="false">VAT_RCT!V27</f>
        <v>0</v>
      </c>
      <c r="W60" s="58" t="n">
        <f aca="false">VAT_RCT!W27</f>
        <v>-19731.6661888641</v>
      </c>
      <c r="X60" s="58" t="n">
        <f aca="false">VAT_RCT!X27</f>
        <v>0</v>
      </c>
      <c r="Y60" s="58" t="n">
        <f aca="false">VAT_RCT!Y27</f>
        <v>-39913.9412741087</v>
      </c>
      <c r="Z60" s="58" t="n">
        <f aca="false">VAT_RCT!Z27</f>
        <v>0</v>
      </c>
      <c r="AA60" s="58" t="n">
        <f aca="false">VAT_RCT!AA27</f>
        <v>-52834.7997492946</v>
      </c>
      <c r="AB60" s="58" t="n">
        <f aca="false">VAT_RCT!AB27</f>
        <v>0</v>
      </c>
    </row>
    <row r="61" customFormat="false" ht="15" hidden="false" customHeight="false" outlineLevel="0" collapsed="false">
      <c r="A61" s="27" t="s">
        <v>453</v>
      </c>
      <c r="B61" s="56" t="s">
        <v>469</v>
      </c>
      <c r="C61" s="57" t="n">
        <f aca="false">SUM(E61:P61)</f>
        <v>-38000</v>
      </c>
      <c r="D61" s="57" t="n">
        <f aca="false">SUM(Q61:AB61)</f>
        <v>-36902.741283228</v>
      </c>
      <c r="E61" s="58" t="n">
        <f aca="false">BS!E30</f>
        <v>-0</v>
      </c>
      <c r="F61" s="58" t="n">
        <f aca="false">BS!F30</f>
        <v>-0</v>
      </c>
      <c r="G61" s="58" t="n">
        <f aca="false">BS!G30</f>
        <v>-0</v>
      </c>
      <c r="H61" s="58" t="n">
        <f aca="false">BS!H30</f>
        <v>-0</v>
      </c>
      <c r="I61" s="58" t="n">
        <f aca="false">BS!I30</f>
        <v>-0</v>
      </c>
      <c r="J61" s="58" t="n">
        <f aca="false">BS!J30</f>
        <v>-0</v>
      </c>
      <c r="K61" s="58" t="n">
        <f aca="false">BS!K30</f>
        <v>-0</v>
      </c>
      <c r="L61" s="58" t="n">
        <f aca="false">BS!L30</f>
        <v>-0</v>
      </c>
      <c r="M61" s="58" t="n">
        <f aca="false">BS!M30</f>
        <v>-6000</v>
      </c>
      <c r="N61" s="58" t="n">
        <f aca="false">BS!N30</f>
        <v>-0</v>
      </c>
      <c r="O61" s="58" t="n">
        <f aca="false">BS!O30</f>
        <v>-32000</v>
      </c>
      <c r="P61" s="58" t="n">
        <f aca="false">BS!P30</f>
        <v>-0</v>
      </c>
      <c r="Q61" s="58" t="n">
        <f aca="false">BS!Q30</f>
        <v>-0</v>
      </c>
      <c r="R61" s="58" t="n">
        <f aca="false">BS!R30</f>
        <v>-0</v>
      </c>
      <c r="S61" s="58" t="n">
        <f aca="false">BS!S30</f>
        <v>-0</v>
      </c>
      <c r="T61" s="58" t="n">
        <f aca="false">BS!T30</f>
        <v>-0</v>
      </c>
      <c r="U61" s="58" t="n">
        <f aca="false">BS!U30</f>
        <v>-0</v>
      </c>
      <c r="V61" s="58" t="n">
        <f aca="false">BS!V30</f>
        <v>-0</v>
      </c>
      <c r="W61" s="58" t="n">
        <f aca="false">BS!W30</f>
        <v>-0</v>
      </c>
      <c r="X61" s="58" t="n">
        <f aca="false">BS!X30</f>
        <v>-0</v>
      </c>
      <c r="Y61" s="58" t="n">
        <f aca="false">BS!Y30</f>
        <v>-2451.37064161402</v>
      </c>
      <c r="Z61" s="58" t="n">
        <f aca="false">BS!Z30</f>
        <v>-0</v>
      </c>
      <c r="AA61" s="58" t="n">
        <f aca="false">BS!AA30</f>
        <v>-34451.370641614</v>
      </c>
      <c r="AB61" s="58" t="n">
        <f aca="false">BS!AB30</f>
        <v>-0</v>
      </c>
    </row>
    <row r="62" customFormat="false" ht="15" hidden="false" customHeight="false" outlineLevel="0" collapsed="false">
      <c r="A62" s="27" t="s">
        <v>484</v>
      </c>
      <c r="B62" s="56" t="s">
        <v>469</v>
      </c>
      <c r="C62" s="57" t="n">
        <f aca="false">SUM(E62:P62)</f>
        <v>-72324</v>
      </c>
      <c r="D62" s="57" t="n">
        <f aca="false">SUM(Q62:AB62)</f>
        <v>-129031.92</v>
      </c>
      <c r="E62" s="58" t="n">
        <f aca="false">-Fixed_Assets!E33*(1+Assumptions!$C$24*Assumptions!$C$27)</f>
        <v>-2214</v>
      </c>
      <c r="F62" s="58" t="n">
        <f aca="false">-Fixed_Assets!F33*(1+Assumptions!$C$24*Assumptions!$C$27)</f>
        <v>-0</v>
      </c>
      <c r="G62" s="58" t="n">
        <f aca="false">-Fixed_Assets!G33*(1+Assumptions!$C$24*Assumptions!$C$27)</f>
        <v>-8118</v>
      </c>
      <c r="H62" s="58" t="n">
        <f aca="false">-Fixed_Assets!H33*(1+Assumptions!$C$24*Assumptions!$C$27)</f>
        <v>-48462</v>
      </c>
      <c r="I62" s="58" t="n">
        <f aca="false">-Fixed_Assets!I33*(1+Assumptions!$C$24*Assumptions!$C$27)</f>
        <v>-0</v>
      </c>
      <c r="J62" s="58" t="n">
        <f aca="false">-Fixed_Assets!J33*(1+Assumptions!$C$24*Assumptions!$C$27)</f>
        <v>-3813</v>
      </c>
      <c r="K62" s="58" t="n">
        <f aca="false">-Fixed_Assets!K33*(1+Assumptions!$C$24*Assumptions!$C$27)</f>
        <v>-1476</v>
      </c>
      <c r="L62" s="58" t="n">
        <f aca="false">-Fixed_Assets!L33*(1+Assumptions!$C$24*Assumptions!$C$27)</f>
        <v>-2337</v>
      </c>
      <c r="M62" s="58" t="n">
        <f aca="false">-Fixed_Assets!M33*(1+Assumptions!$C$24*Assumptions!$C$27)</f>
        <v>-1476</v>
      </c>
      <c r="N62" s="58" t="n">
        <f aca="false">-Fixed_Assets!N33*(1+Assumptions!$C$24*Assumptions!$C$27)</f>
        <v>-1476</v>
      </c>
      <c r="O62" s="58" t="n">
        <f aca="false">-Fixed_Assets!O33*(1+Assumptions!$C$24*Assumptions!$C$27)</f>
        <v>-1476</v>
      </c>
      <c r="P62" s="58" t="n">
        <f aca="false">-Fixed_Assets!P33*(1+Assumptions!$C$24*Assumptions!$C$27)</f>
        <v>-1476</v>
      </c>
      <c r="Q62" s="58" t="n">
        <f aca="false">-Fixed_Assets!Q33*(1+Assumptions!$C$24*Assumptions!$C$27)</f>
        <v>-16287.66</v>
      </c>
      <c r="R62" s="58" t="n">
        <f aca="false">-Fixed_Assets!R33*(1+Assumptions!$C$24*Assumptions!$C$27)</f>
        <v>-1527.66</v>
      </c>
      <c r="S62" s="58" t="n">
        <f aca="false">-Fixed_Assets!S33*(1+Assumptions!$C$24*Assumptions!$C$27)</f>
        <v>-97467.66</v>
      </c>
      <c r="T62" s="58" t="n">
        <f aca="false">-Fixed_Assets!T33*(1+Assumptions!$C$24*Assumptions!$C$27)</f>
        <v>-1527.66</v>
      </c>
      <c r="U62" s="58" t="n">
        <f aca="false">-Fixed_Assets!U33*(1+Assumptions!$C$24*Assumptions!$C$27)</f>
        <v>-1527.66</v>
      </c>
      <c r="V62" s="58" t="n">
        <f aca="false">-Fixed_Assets!V33*(1+Assumptions!$C$24*Assumptions!$C$27)</f>
        <v>-1527.66</v>
      </c>
      <c r="W62" s="58" t="n">
        <f aca="false">-Fixed_Assets!W33*(1+Assumptions!$C$24*Assumptions!$C$27)</f>
        <v>-1527.66</v>
      </c>
      <c r="X62" s="58" t="n">
        <f aca="false">-Fixed_Assets!X33*(1+Assumptions!$C$24*Assumptions!$C$27)</f>
        <v>-1527.66</v>
      </c>
      <c r="Y62" s="58" t="n">
        <f aca="false">-Fixed_Assets!Y33*(1+Assumptions!$C$24*Assumptions!$C$27)</f>
        <v>-1527.66</v>
      </c>
      <c r="Z62" s="58" t="n">
        <f aca="false">-Fixed_Assets!Z33*(1+Assumptions!$C$24*Assumptions!$C$27)</f>
        <v>-1527.66</v>
      </c>
      <c r="AA62" s="58" t="n">
        <f aca="false">-Fixed_Assets!AA33*(1+Assumptions!$C$24*Assumptions!$C$27)</f>
        <v>-1527.66</v>
      </c>
      <c r="AB62" s="58" t="n">
        <f aca="false">-Fixed_Assets!AB33*(1+Assumptions!$C$24*Assumptions!$C$27)</f>
        <v>-1527.66</v>
      </c>
    </row>
    <row r="63" customFormat="false" ht="15" hidden="false" customHeight="false" outlineLevel="0" collapsed="false">
      <c r="A63" s="27" t="s">
        <v>485</v>
      </c>
      <c r="B63" s="56" t="s">
        <v>469</v>
      </c>
      <c r="C63" s="57" t="n">
        <f aca="false">SUM(E63:P63)</f>
        <v>-9657.628125</v>
      </c>
      <c r="D63" s="57" t="n">
        <f aca="false">SUM(Q63:AB63)</f>
        <v>-9999.2859375</v>
      </c>
      <c r="E63" s="58" t="n">
        <f aca="false">-Debt!E19</f>
        <v>-805</v>
      </c>
      <c r="F63" s="58" t="n">
        <f aca="false">-Debt!F19</f>
        <v>-782.575</v>
      </c>
      <c r="G63" s="58" t="n">
        <f aca="false">-Debt!G19</f>
        <v>-760.15</v>
      </c>
      <c r="H63" s="58" t="n">
        <f aca="false">-Debt!H19</f>
        <v>-737.725</v>
      </c>
      <c r="I63" s="58" t="n">
        <f aca="false">-Debt!I19</f>
        <v>-914.5375</v>
      </c>
      <c r="J63" s="58" t="n">
        <f aca="false">-Debt!J19</f>
        <v>-887.96171875</v>
      </c>
      <c r="K63" s="58" t="n">
        <f aca="false">-Debt!K19</f>
        <v>-861.3859375</v>
      </c>
      <c r="L63" s="58" t="n">
        <f aca="false">-Debt!L19</f>
        <v>-834.81015625</v>
      </c>
      <c r="M63" s="58" t="n">
        <f aca="false">-Debt!M19</f>
        <v>-808.234375</v>
      </c>
      <c r="N63" s="58" t="n">
        <f aca="false">-Debt!N19</f>
        <v>-781.65859375</v>
      </c>
      <c r="O63" s="58" t="n">
        <f aca="false">-Debt!O19</f>
        <v>-755.0828125</v>
      </c>
      <c r="P63" s="58" t="n">
        <f aca="false">-Debt!P19</f>
        <v>-728.50703125</v>
      </c>
      <c r="Q63" s="58" t="n">
        <f aca="false">-Debt!Q19</f>
        <v>-701.93125</v>
      </c>
      <c r="R63" s="58" t="n">
        <f aca="false">-Debt!R19</f>
        <v>-675.35546875</v>
      </c>
      <c r="S63" s="58" t="n">
        <f aca="false">-Debt!S19</f>
        <v>-648.7796875</v>
      </c>
      <c r="T63" s="58" t="n">
        <f aca="false">-Debt!T19</f>
        <v>-1025.85390625</v>
      </c>
      <c r="U63" s="58" t="n">
        <f aca="false">-Debt!U19</f>
        <v>-990.86875</v>
      </c>
      <c r="V63" s="58" t="n">
        <f aca="false">-Debt!V19</f>
        <v>-955.88359375</v>
      </c>
      <c r="W63" s="58" t="n">
        <f aca="false">-Debt!W19</f>
        <v>-920.8984375</v>
      </c>
      <c r="X63" s="58" t="n">
        <f aca="false">-Debt!X19</f>
        <v>-885.91328125</v>
      </c>
      <c r="Y63" s="58" t="n">
        <f aca="false">-Debt!Y19</f>
        <v>-850.928125</v>
      </c>
      <c r="Z63" s="58" t="n">
        <f aca="false">-Debt!Z19</f>
        <v>-815.94296875</v>
      </c>
      <c r="AA63" s="58" t="n">
        <f aca="false">-Debt!AA19</f>
        <v>-780.9578125</v>
      </c>
      <c r="AB63" s="58" t="n">
        <f aca="false">-Debt!AB19</f>
        <v>-745.97265625</v>
      </c>
    </row>
    <row r="64" customFormat="false" ht="15" hidden="false" customHeight="false" outlineLevel="0" collapsed="false">
      <c r="A64" s="27" t="s">
        <v>486</v>
      </c>
      <c r="B64" s="56" t="s">
        <v>469</v>
      </c>
      <c r="C64" s="57" t="n">
        <f aca="false">SUM(E64:P64)</f>
        <v>-17925</v>
      </c>
      <c r="D64" s="57" t="n">
        <f aca="false">SUM(Q64:AB64)</f>
        <v>1575</v>
      </c>
      <c r="E64" s="58" t="n">
        <f aca="false">Debt!E20+Debt!E14</f>
        <v>-3900</v>
      </c>
      <c r="F64" s="58" t="n">
        <f aca="false">Debt!F20+Debt!F14</f>
        <v>-3900</v>
      </c>
      <c r="G64" s="58" t="n">
        <f aca="false">Debt!G20+Debt!G14</f>
        <v>-3900</v>
      </c>
      <c r="H64" s="58" t="n">
        <f aca="false">Debt!H20+Debt!H14</f>
        <v>30750</v>
      </c>
      <c r="I64" s="58" t="n">
        <f aca="false">Debt!I20+Debt!I14</f>
        <v>-4621.875</v>
      </c>
      <c r="J64" s="58" t="n">
        <f aca="false">Debt!J20+Debt!J14</f>
        <v>-4621.875</v>
      </c>
      <c r="K64" s="58" t="n">
        <f aca="false">Debt!K20+Debt!K14</f>
        <v>-4621.875</v>
      </c>
      <c r="L64" s="58" t="n">
        <f aca="false">Debt!L20+Debt!L14</f>
        <v>-4621.875</v>
      </c>
      <c r="M64" s="58" t="n">
        <f aca="false">Debt!M20+Debt!M14</f>
        <v>-4621.875</v>
      </c>
      <c r="N64" s="58" t="n">
        <f aca="false">Debt!N20+Debt!N14</f>
        <v>-4621.875</v>
      </c>
      <c r="O64" s="58" t="n">
        <f aca="false">Debt!O20+Debt!O14</f>
        <v>-4621.875</v>
      </c>
      <c r="P64" s="58" t="n">
        <f aca="false">Debt!P20+Debt!P14</f>
        <v>-4621.875</v>
      </c>
      <c r="Q64" s="58" t="n">
        <f aca="false">Debt!Q20+Debt!Q14</f>
        <v>-4621.875</v>
      </c>
      <c r="R64" s="58" t="n">
        <f aca="false">Debt!R20+Debt!R14</f>
        <v>-4621.875</v>
      </c>
      <c r="S64" s="58" t="n">
        <f aca="false">Debt!S20+Debt!S14</f>
        <v>65578.125</v>
      </c>
      <c r="T64" s="58" t="n">
        <f aca="false">Debt!T20+Debt!T14</f>
        <v>-6084.375</v>
      </c>
      <c r="U64" s="58" t="n">
        <f aca="false">Debt!U20+Debt!U14</f>
        <v>-6084.375</v>
      </c>
      <c r="V64" s="58" t="n">
        <f aca="false">Debt!V20+Debt!V14</f>
        <v>-6084.375</v>
      </c>
      <c r="W64" s="58" t="n">
        <f aca="false">Debt!W20+Debt!W14</f>
        <v>-6084.375</v>
      </c>
      <c r="X64" s="58" t="n">
        <f aca="false">Debt!X20+Debt!X14</f>
        <v>-6084.375</v>
      </c>
      <c r="Y64" s="58" t="n">
        <f aca="false">Debt!Y20+Debt!Y14</f>
        <v>-6084.375</v>
      </c>
      <c r="Z64" s="58" t="n">
        <f aca="false">Debt!Z20+Debt!Z14</f>
        <v>-6084.375</v>
      </c>
      <c r="AA64" s="58" t="n">
        <f aca="false">Debt!AA20+Debt!AA14</f>
        <v>-6084.375</v>
      </c>
      <c r="AB64" s="58" t="n">
        <f aca="false">Debt!AB20+Debt!AB14</f>
        <v>-6084.375</v>
      </c>
    </row>
    <row r="65" customFormat="false" ht="15" hidden="false" customHeight="false" outlineLevel="0" collapsed="false">
      <c r="A65" s="27" t="s">
        <v>418</v>
      </c>
      <c r="B65" s="56" t="s">
        <v>469</v>
      </c>
      <c r="C65" s="57" t="n">
        <f aca="false">SUM(E65:P65)</f>
        <v>0</v>
      </c>
      <c r="D65" s="57" t="n">
        <f aca="false">SUM(Q65:AB65)</f>
        <v>0</v>
      </c>
      <c r="E65" s="58" t="n">
        <f aca="false">-BS!E39</f>
        <v>-0</v>
      </c>
      <c r="F65" s="58" t="n">
        <f aca="false">-BS!F39</f>
        <v>-0</v>
      </c>
      <c r="G65" s="58" t="n">
        <f aca="false">-BS!G39</f>
        <v>-0</v>
      </c>
      <c r="H65" s="58" t="n">
        <f aca="false">-BS!H39</f>
        <v>-0</v>
      </c>
      <c r="I65" s="58" t="n">
        <f aca="false">-BS!I39</f>
        <v>-0</v>
      </c>
      <c r="J65" s="58" t="n">
        <f aca="false">-BS!J39</f>
        <v>-0</v>
      </c>
      <c r="K65" s="58" t="n">
        <f aca="false">-BS!K39</f>
        <v>-0</v>
      </c>
      <c r="L65" s="58" t="n">
        <f aca="false">-BS!L39</f>
        <v>-0</v>
      </c>
      <c r="M65" s="58" t="n">
        <f aca="false">-BS!M39</f>
        <v>-0</v>
      </c>
      <c r="N65" s="58" t="n">
        <f aca="false">-BS!N39</f>
        <v>-0</v>
      </c>
      <c r="O65" s="58" t="n">
        <f aca="false">-BS!O39</f>
        <v>-0</v>
      </c>
      <c r="P65" s="58" t="n">
        <f aca="false">-BS!P39</f>
        <v>-0</v>
      </c>
      <c r="Q65" s="58" t="n">
        <f aca="false">-BS!Q39</f>
        <v>-0</v>
      </c>
      <c r="R65" s="58" t="n">
        <f aca="false">-BS!R39</f>
        <v>-0</v>
      </c>
      <c r="S65" s="58" t="n">
        <f aca="false">-BS!S39</f>
        <v>-0</v>
      </c>
      <c r="T65" s="58" t="n">
        <f aca="false">-BS!T39</f>
        <v>-0</v>
      </c>
      <c r="U65" s="58" t="n">
        <f aca="false">-BS!U39</f>
        <v>-0</v>
      </c>
      <c r="V65" s="58" t="n">
        <f aca="false">-BS!V39</f>
        <v>-0</v>
      </c>
      <c r="W65" s="58" t="n">
        <f aca="false">-BS!W39</f>
        <v>-0</v>
      </c>
      <c r="X65" s="58" t="n">
        <f aca="false">-BS!X39</f>
        <v>-0</v>
      </c>
      <c r="Y65" s="58" t="n">
        <f aca="false">-BS!Y39</f>
        <v>-0</v>
      </c>
      <c r="Z65" s="58" t="n">
        <f aca="false">-BS!Z39</f>
        <v>-0</v>
      </c>
      <c r="AA65" s="58" t="n">
        <f aca="false">-BS!AA39</f>
        <v>-0</v>
      </c>
      <c r="AB65" s="58" t="n">
        <f aca="false">-BS!AB39</f>
        <v>-0</v>
      </c>
    </row>
    <row r="66" customFormat="false" ht="15" hidden="false" customHeight="false" outlineLevel="0" collapsed="false">
      <c r="A66" s="67" t="s">
        <v>487</v>
      </c>
      <c r="B66" s="68"/>
      <c r="C66" s="69" t="n">
        <f aca="false">SUM(E66:P66)</f>
        <v>212766.877670917</v>
      </c>
      <c r="D66" s="69" t="n">
        <f aca="false">SUM(Q66:AB66)</f>
        <v>481754.739234012</v>
      </c>
      <c r="E66" s="69" t="n">
        <f aca="false">E46+E47+E48+E49+E50+E51+E52+E53+E54+E55+E56+E57+E58+E59+E60+E61+E62+E63+E64+E65</f>
        <v>79752.2155199999</v>
      </c>
      <c r="F66" s="69" t="n">
        <f aca="false">F46+F47+F48+F49+F50+F51+F52+F53+F54+F55+F56+F57+F58+F59+F60+F61+F62+F63+F64+F65</f>
        <v>61354.10755</v>
      </c>
      <c r="G66" s="69" t="n">
        <f aca="false">G46+G47+G48+G49+G50+G51+G52+G53+G54+G55+G56+G57+G58+G59+G60+G61+G62+G63+G64+G65</f>
        <v>82234.5652256277</v>
      </c>
      <c r="H66" s="69" t="n">
        <f aca="false">H46+H47+H48+H49+H50+H51+H52+H53+H54+H55+H56+H57+H58+H59+H60+H61+H62+H63+H64+H65</f>
        <v>72904.7581699999</v>
      </c>
      <c r="I66" s="69" t="n">
        <f aca="false">I46+I47+I48+I49+I50+I51+I52+I53+I54+I55+I56+I57+I58+I59+I60+I61+I62+I63+I64+I65</f>
        <v>59495.5242647578</v>
      </c>
      <c r="J66" s="69" t="n">
        <f aca="false">J46+J47+J48+J49+J50+J51+J52+J53+J54+J55+J56+J57+J58+J59+J60+J61+J62+J63+J64+J65</f>
        <v>-7081.28638874998</v>
      </c>
      <c r="K66" s="69" t="n">
        <f aca="false">K46+K47+K48+K49+K50+K51+K52+K53+K54+K55+K56+K57+K58+K59+K60+K61+K62+K63+K64+K65</f>
        <v>-154777.964711465</v>
      </c>
      <c r="L66" s="69" t="n">
        <f aca="false">L46+L47+L48+L49+L50+L51+L52+L53+L54+L55+L56+L57+L58+L59+L60+L61+L62+L63+L64+L65</f>
        <v>20622.45303375</v>
      </c>
      <c r="M66" s="69" t="n">
        <f aca="false">M46+M47+M48+M49+M50+M51+M52+M53+M54+M55+M56+M57+M58+M59+M60+M61+M62+M63+M64+M65</f>
        <v>-102628.540984011</v>
      </c>
      <c r="N66" s="69" t="n">
        <f aca="false">N46+N47+N48+N49+N50+N51+N52+N53+N54+N55+N56+N57+N58+N59+N60+N61+N62+N63+N64+N65</f>
        <v>-113405.463253246</v>
      </c>
      <c r="O66" s="69" t="n">
        <f aca="false">O46+O47+O48+O49+O50+O51+O52+O53+O54+O55+O56+O57+O58+O59+O60+O61+O62+O63+O64+O65</f>
        <v>28177.812032216</v>
      </c>
      <c r="P66" s="69" t="n">
        <f aca="false">P46+P47+P48+P49+P50+P51+P52+P53+P54+P55+P56+P57+P58+P59+P60+P61+P62+P63+P64+P65</f>
        <v>186118.697212037</v>
      </c>
      <c r="Q66" s="69" t="n">
        <f aca="false">Q46+Q47+Q48+Q49+Q50+Q51+Q52+Q53+Q54+Q55+Q56+Q57+Q58+Q59+Q60+Q61+Q62+Q63+Q64+Q65</f>
        <v>75763.1418042798</v>
      </c>
      <c r="R66" s="69" t="n">
        <f aca="false">R46+R47+R48+R49+R50+R51+R52+R53+R54+R55+R56+R57+R58+R59+R60+R61+R62+R63+R64+R65</f>
        <v>105305.838690402</v>
      </c>
      <c r="S66" s="69" t="n">
        <f aca="false">S46+S47+S48+S49+S50+S51+S52+S53+S54+S55+S56+S57+S58+S59+S60+S61+S62+S63+S64+S65</f>
        <v>47673.1636987058</v>
      </c>
      <c r="T66" s="69" t="n">
        <f aca="false">T46+T47+T48+T49+T50+T51+T52+T53+T54+T55+T56+T57+T58+T59+T60+T61+T62+T63+T64+T65</f>
        <v>142736.723000635</v>
      </c>
      <c r="U66" s="69" t="n">
        <f aca="false">U46+U47+U48+U49+U50+U51+U52+U53+U54+U55+U56+U57+U58+U59+U60+U61+U62+U63+U64+U65</f>
        <v>-23403.0137108172</v>
      </c>
      <c r="V66" s="69" t="n">
        <f aca="false">V46+V47+V48+V49+V50+V51+V52+V53+V54+V55+V56+V57+V58+V59+V60+V61+V62+V63+V64+V65</f>
        <v>-85969.7172398236</v>
      </c>
      <c r="W66" s="69" t="n">
        <f aca="false">W46+W47+W48+W49+W50+W51+W52+W53+W54+W55+W56+W57+W58+W59+W60+W61+W62+W63+W64+W65</f>
        <v>-62391.9145776857</v>
      </c>
      <c r="X66" s="69" t="n">
        <f aca="false">X46+X47+X48+X49+X50+X51+X52+X53+X54+X55+X56+X57+X58+X59+X60+X61+X62+X63+X64+X65</f>
        <v>30565.1305912838</v>
      </c>
      <c r="Y66" s="69" t="n">
        <f aca="false">Y46+Y47+Y48+Y49+Y50+Y51+Y52+Y53+Y54+Y55+Y56+Y57+Y58+Y59+Y60+Y61+Y62+Y63+Y64+Y65</f>
        <v>49786.4951150435</v>
      </c>
      <c r="Z66" s="69" t="n">
        <f aca="false">Z46+Z47+Z48+Z49+Z50+Z51+Z52+Z53+Z54+Z55+Z56+Z57+Z58+Z59+Z60+Z61+Z62+Z63+Z64+Z65</f>
        <v>135390.851152318</v>
      </c>
      <c r="AA66" s="69" t="n">
        <f aca="false">AA46+AA47+AA48+AA49+AA50+AA51+AA52+AA53+AA54+AA55+AA56+AA57+AA58+AA59+AA60+AA61+AA62+AA63+AA64+AA65</f>
        <v>28599.6809038776</v>
      </c>
      <c r="AB66" s="69" t="n">
        <f aca="false">AB46+AB47+AB48+AB49+AB50+AB51+AB52+AB53+AB54+AB55+AB56+AB57+AB58+AB59+AB60+AB61+AB62+AB63+AB64+AB65</f>
        <v>37698.3598057936</v>
      </c>
    </row>
    <row r="67" customFormat="false" ht="15" hidden="false" customHeight="false" outlineLevel="0" collapsed="false">
      <c r="A67" s="67" t="s">
        <v>488</v>
      </c>
      <c r="B67" s="68"/>
      <c r="C67" s="69" t="n">
        <f aca="false">SUM(E67:P67)</f>
        <v>0</v>
      </c>
      <c r="D67" s="69" t="n">
        <f aca="false">SUM(Q67:AB67)</f>
        <v>0</v>
      </c>
      <c r="E67" s="69" t="n">
        <f aca="false">ROUND(E41-E66,2)</f>
        <v>0</v>
      </c>
      <c r="F67" s="69" t="n">
        <f aca="false">ROUND(F41-F66,2)</f>
        <v>0</v>
      </c>
      <c r="G67" s="69" t="n">
        <f aca="false">ROUND(G41-G66,2)</f>
        <v>0</v>
      </c>
      <c r="H67" s="69" t="n">
        <f aca="false">ROUND(H41-H66,2)</f>
        <v>0</v>
      </c>
      <c r="I67" s="69" t="n">
        <f aca="false">ROUND(I41-I66,2)</f>
        <v>-0</v>
      </c>
      <c r="J67" s="69" t="n">
        <f aca="false">ROUND(J41-J66,2)</f>
        <v>-0</v>
      </c>
      <c r="K67" s="69" t="n">
        <f aca="false">ROUND(K41-K66,2)</f>
        <v>0</v>
      </c>
      <c r="L67" s="69" t="n">
        <f aca="false">ROUND(L41-L66,2)</f>
        <v>0</v>
      </c>
      <c r="M67" s="69" t="n">
        <f aca="false">ROUND(M41-M66,2)</f>
        <v>0</v>
      </c>
      <c r="N67" s="69" t="n">
        <f aca="false">ROUND(N41-N66,2)</f>
        <v>0</v>
      </c>
      <c r="O67" s="69" t="n">
        <f aca="false">ROUND(O41-O66,2)</f>
        <v>0</v>
      </c>
      <c r="P67" s="69" t="n">
        <f aca="false">ROUND(P41-P66,2)</f>
        <v>0</v>
      </c>
      <c r="Q67" s="69" t="n">
        <f aca="false">ROUND(Q41-Q66,2)</f>
        <v>0</v>
      </c>
      <c r="R67" s="69" t="n">
        <f aca="false">ROUND(R41-R66,2)</f>
        <v>0</v>
      </c>
      <c r="S67" s="69" t="n">
        <f aca="false">ROUND(S41-S66,2)</f>
        <v>0</v>
      </c>
      <c r="T67" s="69" t="n">
        <f aca="false">ROUND(T41-T66,2)</f>
        <v>0</v>
      </c>
      <c r="U67" s="69" t="n">
        <f aca="false">ROUND(U41-U66,2)</f>
        <v>-0</v>
      </c>
      <c r="V67" s="69" t="n">
        <f aca="false">ROUND(V41-V66,2)</f>
        <v>0</v>
      </c>
      <c r="W67" s="69" t="n">
        <f aca="false">ROUND(W41-W66,2)</f>
        <v>0</v>
      </c>
      <c r="X67" s="69" t="n">
        <f aca="false">ROUND(X41-X66,2)</f>
        <v>0</v>
      </c>
      <c r="Y67" s="69" t="n">
        <f aca="false">ROUND(Y41-Y66,2)</f>
        <v>0</v>
      </c>
      <c r="Z67" s="69" t="n">
        <f aca="false">ROUND(Z41-Z66,2)</f>
        <v>0</v>
      </c>
      <c r="AA67" s="69" t="n">
        <f aca="false">ROUND(AA41-AA66,2)</f>
        <v>0</v>
      </c>
      <c r="AB67" s="69" t="n">
        <f aca="false">ROUND(AB41-AB66,2)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5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14"/>
    <col collapsed="false" customWidth="true" hidden="false" outlineLevel="0" max="5" min="5" style="0" width="11"/>
    <col collapsed="false" customWidth="true" hidden="false" outlineLevel="0" max="8" min="6" style="0" width="14"/>
    <col collapsed="false" customWidth="true" hidden="false" outlineLevel="0" max="9" min="9" style="0" width="11"/>
    <col collapsed="false" customWidth="true" hidden="false" outlineLevel="0" max="10" min="10" style="0" width="64"/>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489</v>
      </c>
    </row>
    <row r="3" customFormat="false" ht="15" hidden="false" customHeight="false" outlineLevel="0" collapsed="false">
      <c r="A3" s="24" t="s">
        <v>490</v>
      </c>
    </row>
    <row r="5" customFormat="false" ht="15" hidden="false" customHeight="false" outlineLevel="0" collapsed="false">
      <c r="A5" s="25" t="s">
        <v>292</v>
      </c>
      <c r="B5" s="26" t="s">
        <v>491</v>
      </c>
      <c r="C5" s="26" t="s">
        <v>492</v>
      </c>
      <c r="D5" s="26" t="s">
        <v>493</v>
      </c>
      <c r="E5" s="26" t="s">
        <v>494</v>
      </c>
      <c r="F5" s="26" t="s">
        <v>495</v>
      </c>
      <c r="G5" s="26" t="s">
        <v>496</v>
      </c>
      <c r="H5" s="26" t="s">
        <v>493</v>
      </c>
      <c r="I5" s="26" t="s">
        <v>494</v>
      </c>
      <c r="J5" s="26" t="s">
        <v>497</v>
      </c>
    </row>
    <row r="6" customFormat="false" ht="15" hidden="false" customHeight="false" outlineLevel="0" collapsed="false">
      <c r="A6" s="21" t="s">
        <v>498</v>
      </c>
      <c r="B6" s="22"/>
      <c r="C6" s="22"/>
      <c r="D6" s="22"/>
      <c r="E6" s="22"/>
      <c r="F6" s="22"/>
      <c r="G6" s="22"/>
      <c r="H6" s="22"/>
      <c r="I6" s="22"/>
      <c r="J6" s="22"/>
    </row>
    <row r="7" customFormat="false" ht="22.35" hidden="false" customHeight="false" outlineLevel="0" collapsed="false">
      <c r="A7" s="27" t="s">
        <v>499</v>
      </c>
      <c r="B7" s="63" t="n">
        <f aca="false">SUMIFS(Residential!$E$12:$AB$12,Assumptions!$E$97:$AB$97,"A")</f>
        <v>22</v>
      </c>
      <c r="C7" s="63" t="n">
        <f aca="false">SUMIFS(Budget_FY26!$E$9:$P$9,Assumptions!$E$96:$P$96,"&lt;="&amp;Assumptions!$C$10)</f>
        <v>28.35</v>
      </c>
      <c r="D7" s="72" t="n">
        <f aca="false">B7-C7</f>
        <v>-6.35</v>
      </c>
      <c r="E7" s="60" t="n">
        <f aca="false">IF(C7=0,0,D7/ABS(C7))</f>
        <v>-0.223985890652557</v>
      </c>
      <c r="F7" s="63" t="n">
        <f aca="false">Residential!$C$12</f>
        <v>35.4788888074969</v>
      </c>
      <c r="G7" s="63" t="n">
        <f aca="false">Budget_FY26!$C$9</f>
        <v>42</v>
      </c>
      <c r="H7" s="72" t="n">
        <f aca="false">F7-G7</f>
        <v>-6.52111119250313</v>
      </c>
      <c r="I7" s="60" t="n">
        <f aca="false">IF(G7=0,0,H7/ABS(G7))</f>
        <v>-0.155264552202455</v>
      </c>
      <c r="J7" s="44" t="str">
        <f aca="false">"Coordinator vacancy Mar to May delayed surveys and grant applications; starts back to "&amp;TEXT(INDEX(Inputs_Actuals!$E$64:$AB$64,Assumptions!$C$10),"0")&amp;" in the last actual month."</f>
        <v>Coordinator vacancy Mar to May delayed surveys and grant applications; starts back to 4 in the last actual month.</v>
      </c>
    </row>
    <row r="8" customFormat="false" ht="15" hidden="false" customHeight="false" outlineLevel="0" collapsed="false">
      <c r="A8" s="27" t="s">
        <v>500</v>
      </c>
      <c r="B8" s="63" t="n">
        <f aca="false">SUMIFS(Residential!$E$45:$AB$45,Assumptions!$E$97:$AB$97,"A")</f>
        <v>11</v>
      </c>
      <c r="C8" s="63" t="n">
        <f aca="false">SUMIFS(Budget_FY26!$E$10:$P$10,Assumptions!$E$96:$P$96,"&lt;="&amp;Assumptions!$C$10)</f>
        <v>12.14</v>
      </c>
      <c r="D8" s="72" t="n">
        <f aca="false">B8-C8</f>
        <v>-1.14</v>
      </c>
      <c r="E8" s="60" t="n">
        <f aca="false">IF(C8=0,0,D8/ABS(C8))</f>
        <v>-0.0939044481054366</v>
      </c>
      <c r="F8" s="63" t="n">
        <f aca="false">Residential!$C$45</f>
        <v>16.410759235738</v>
      </c>
      <c r="G8" s="63" t="n">
        <f aca="false">Budget_FY26!$C$10</f>
        <v>17.99</v>
      </c>
      <c r="H8" s="72" t="n">
        <f aca="false">F8-G8</f>
        <v>-1.57924076426201</v>
      </c>
      <c r="I8" s="60" t="n">
        <f aca="false">IF(G8=0,0,H8/ABS(G8))</f>
        <v>-0.0877843671073936</v>
      </c>
    </row>
    <row r="9" customFormat="false" ht="15" hidden="false" customHeight="false" outlineLevel="0" collapsed="false">
      <c r="A9" s="21" t="s">
        <v>330</v>
      </c>
      <c r="B9" s="22"/>
      <c r="C9" s="22"/>
      <c r="D9" s="22"/>
      <c r="E9" s="22"/>
      <c r="F9" s="22"/>
      <c r="G9" s="22"/>
      <c r="H9" s="22"/>
      <c r="I9" s="22"/>
      <c r="J9" s="22"/>
    </row>
    <row r="10" customFormat="false" ht="15" hidden="false" customHeight="false" outlineLevel="0" collapsed="false">
      <c r="A10" s="27" t="s">
        <v>501</v>
      </c>
      <c r="B10" s="58" t="n">
        <f aca="false">SUMIFS(PL!$E$9:$AB$9,Assumptions!$E$97:$AB$97,"A")</f>
        <v>1247322.85</v>
      </c>
      <c r="C10" s="58" t="n">
        <f aca="false">SUMIFS(Budget_FY26!$E$12:$P$12,Assumptions!$E$96:$P$96,"&lt;="&amp;Assumptions!$C$10)</f>
        <v>1647190</v>
      </c>
      <c r="D10" s="70" t="n">
        <f aca="false">B10-C10</f>
        <v>-399867.15</v>
      </c>
      <c r="E10" s="60" t="n">
        <f aca="false">IF(C10=0,0,D10/ABS(C10))</f>
        <v>-0.242757150055549</v>
      </c>
      <c r="F10" s="58" t="n">
        <f aca="false">PL!$C$9</f>
        <v>2132818.98168121</v>
      </c>
      <c r="G10" s="58" t="n">
        <f aca="false">Budget_FY26!$C$12</f>
        <v>2525498</v>
      </c>
      <c r="H10" s="70" t="n">
        <f aca="false">F10-G10</f>
        <v>-392679.018318795</v>
      </c>
      <c r="I10" s="60" t="n">
        <f aca="false">IF(G10=0,0,H10/ABS(G10))</f>
        <v>-0.155485776792852</v>
      </c>
    </row>
    <row r="11" customFormat="false" ht="15" hidden="false" customHeight="false" outlineLevel="0" collapsed="false">
      <c r="A11" s="27" t="s">
        <v>502</v>
      </c>
      <c r="B11" s="58" t="n">
        <f aca="false">SUMIFS(PL!$E$10:$AB$10,Assumptions!$E$97:$AB$97,"A")</f>
        <v>1276311.62</v>
      </c>
      <c r="C11" s="58" t="n">
        <f aca="false">SUMIFS(Budget_FY26!$E$13:$P$13,Assumptions!$E$96:$P$96,"&lt;="&amp;Assumptions!$C$10)</f>
        <v>1263625</v>
      </c>
      <c r="D11" s="70" t="n">
        <f aca="false">B11-C11</f>
        <v>12686.6199999999</v>
      </c>
      <c r="E11" s="60" t="n">
        <f aca="false">IF(C11=0,0,D11/ABS(C11))</f>
        <v>0.0100398615095459</v>
      </c>
      <c r="F11" s="58" t="n">
        <f aca="false">PL!$C$10</f>
        <v>1982039.26991112</v>
      </c>
      <c r="G11" s="58" t="n">
        <f aca="false">Budget_FY26!$C$13</f>
        <v>2007754</v>
      </c>
      <c r="H11" s="70" t="n">
        <f aca="false">F11-G11</f>
        <v>-25714.730088881</v>
      </c>
      <c r="I11" s="60" t="n">
        <f aca="false">IF(G11=0,0,H11/ABS(G11))</f>
        <v>-0.0128077095544977</v>
      </c>
    </row>
    <row r="12" customFormat="false" ht="22.35" hidden="false" customHeight="false" outlineLevel="0" collapsed="false">
      <c r="A12" s="27" t="s">
        <v>503</v>
      </c>
      <c r="B12" s="58" t="n">
        <f aca="false">SUMIFS(PL!$E$11:$AB$11,Assumptions!$E$97:$AB$97,"A")</f>
        <v>1559275.96</v>
      </c>
      <c r="C12" s="58" t="n">
        <f aca="false">SUMIFS(Budget_FY26!$E$14:$P$14,Assumptions!$E$96:$P$96,"&lt;="&amp;Assumptions!$C$10)</f>
        <v>2059884</v>
      </c>
      <c r="D12" s="70" t="n">
        <f aca="false">B12-C12</f>
        <v>-500608.04</v>
      </c>
      <c r="E12" s="60" t="n">
        <f aca="false">IF(C12=0,0,D12/ABS(C12))</f>
        <v>-0.243027296682726</v>
      </c>
      <c r="F12" s="58" t="n">
        <f aca="false">PL!$C$11</f>
        <v>3290084.05362622</v>
      </c>
      <c r="G12" s="58" t="n">
        <f aca="false">Budget_FY26!$C$14</f>
        <v>3649153</v>
      </c>
      <c r="H12" s="70" t="n">
        <f aca="false">F12-G12</f>
        <v>-359068.946373776</v>
      </c>
      <c r="I12" s="60" t="n">
        <f aca="false">IF(G12=0,0,H12/ABS(G12))</f>
        <v>-0.0983978875026001</v>
      </c>
      <c r="J12" s="44" t="str">
        <f aca="false">"CF-2602 and CF-2603 started two months after the budget dates; CF-2601 on programme."</f>
        <v>CF-2602 and CF-2603 started two months after the budget dates; CF-2601 on programme.</v>
      </c>
    </row>
    <row r="13" customFormat="false" ht="15" hidden="false" customHeight="false" outlineLevel="0" collapsed="false">
      <c r="A13" s="27" t="s">
        <v>504</v>
      </c>
      <c r="B13" s="58" t="n">
        <f aca="false">SUMIFS(PL!$E$12:$AB$12,Assumptions!$E$97:$AB$97,"A")</f>
        <v>1044493.57</v>
      </c>
      <c r="C13" s="58" t="n">
        <f aca="false">SUMIFS(Budget_FY26!$E$15:$P$15,Assumptions!$E$96:$P$96,"&lt;="&amp;Assumptions!$C$10)</f>
        <v>1395360</v>
      </c>
      <c r="D13" s="70" t="n">
        <f aca="false">B13-C13</f>
        <v>-350866.43</v>
      </c>
      <c r="E13" s="60" t="n">
        <f aca="false">IF(C13=0,0,D13/ABS(C13))</f>
        <v>-0.251452263215228</v>
      </c>
      <c r="F13" s="58" t="n">
        <f aca="false">PL!$C$12</f>
        <v>1792491.93795044</v>
      </c>
      <c r="G13" s="58" t="n">
        <f aca="false">Budget_FY26!$C$15</f>
        <v>1860000</v>
      </c>
      <c r="H13" s="70" t="n">
        <f aca="false">F13-G13</f>
        <v>-67508.062049561</v>
      </c>
      <c r="I13" s="60" t="n">
        <f aca="false">IF(G13=0,0,H13/ABS(G13))</f>
        <v>-0.036294657015893</v>
      </c>
      <c r="J13" s="44" t="str">
        <f aca="false">"PS-2601 started in May against a March budget start."</f>
        <v>PS-2601 started in May against a March budget start.</v>
      </c>
    </row>
    <row r="14" customFormat="false" ht="15" hidden="false" customHeight="false" outlineLevel="0" collapsed="false">
      <c r="A14" s="73" t="s">
        <v>338</v>
      </c>
      <c r="B14" s="74" t="n">
        <f aca="false">SUMIFS(PL!$E$13:$AB$13,Assumptions!$E$97:$AB$97,"A")</f>
        <v>5127404</v>
      </c>
      <c r="C14" s="74" t="n">
        <f aca="false">SUMIFS(Budget_FY26!$E$16:$P$16,Assumptions!$E$96:$P$96,"&lt;="&amp;Assumptions!$C$10)</f>
        <v>6366059</v>
      </c>
      <c r="D14" s="69" t="n">
        <f aca="false">B14-C14</f>
        <v>-1238655</v>
      </c>
      <c r="E14" s="75" t="n">
        <f aca="false">IF(C14=0,0,D14/ABS(C14))</f>
        <v>-0.194571712263427</v>
      </c>
      <c r="F14" s="74" t="n">
        <f aca="false">PL!$C$13</f>
        <v>9197434.24316899</v>
      </c>
      <c r="G14" s="74" t="n">
        <f aca="false">Budget_FY26!$C$16</f>
        <v>10042405</v>
      </c>
      <c r="H14" s="69" t="n">
        <f aca="false">F14-G14</f>
        <v>-844970.756831011</v>
      </c>
      <c r="I14" s="75" t="n">
        <f aca="false">IF(G14=0,0,H14/ABS(G14))</f>
        <v>-0.0841402788307194</v>
      </c>
      <c r="J14" s="76" t="str">
        <f aca="false">"Volume effect on gross profit EUR "&amp;TEXT(BvA!F56/1000,"#,##0")&amp;"k, margin effect EUR "&amp;TEXT(BvA!G56/1000,"#,##0")&amp;"k (bridge below)."</f>
        <v>Volume effect on gross profit EUR -214k, margin effect EUR -53k (bridge below).</v>
      </c>
    </row>
    <row r="15" customFormat="false" ht="15" hidden="false" customHeight="false" outlineLevel="0" collapsed="false">
      <c r="A15" s="27" t="s">
        <v>505</v>
      </c>
      <c r="B15" s="58" t="n">
        <f aca="false">SUMIFS(PL!$E$22:$AB$22,Assumptions!$E$97:$AB$97,"A")</f>
        <v>273319.13</v>
      </c>
      <c r="C15" s="58" t="n">
        <f aca="false">SUMIFS(Budget_FY26!$E$22:$P$22,Assumptions!$E$96:$P$96,"&lt;="&amp;Assumptions!$C$10)</f>
        <v>403561.55</v>
      </c>
      <c r="D15" s="70" t="n">
        <f aca="false">B15-C15</f>
        <v>-130242.42</v>
      </c>
      <c r="E15" s="60" t="n">
        <f aca="false">IF(C15=0,0,D15/ABS(C15))</f>
        <v>-0.322732480336643</v>
      </c>
      <c r="F15" s="58" t="n">
        <f aca="false">PL!$C$22</f>
        <v>481410.720945083</v>
      </c>
      <c r="G15" s="58" t="n">
        <f aca="false">Budget_FY26!$C$22</f>
        <v>618747.01</v>
      </c>
      <c r="H15" s="70" t="n">
        <f aca="false">F15-G15</f>
        <v>-137336.289054917</v>
      </c>
      <c r="I15" s="60" t="n">
        <f aca="false">IF(G15=0,0,H15/ABS(G15))</f>
        <v>-0.221958711452871</v>
      </c>
    </row>
    <row r="16" customFormat="false" ht="15" hidden="false" customHeight="false" outlineLevel="0" collapsed="false">
      <c r="A16" s="27" t="s">
        <v>506</v>
      </c>
      <c r="B16" s="58" t="n">
        <f aca="false">SUMIFS(PL!$E$23:$AB$23,Assumptions!$E$97:$AB$97,"A")</f>
        <v>323607.23</v>
      </c>
      <c r="C16" s="58" t="n">
        <f aca="false">SUMIFS(Budget_FY26!$E$23:$P$23,Assumptions!$E$96:$P$96,"&lt;="&amp;Assumptions!$C$10)</f>
        <v>322224.375</v>
      </c>
      <c r="D16" s="70" t="n">
        <f aca="false">B16-C16</f>
        <v>1382.85499999998</v>
      </c>
      <c r="E16" s="60" t="n">
        <f aca="false">IF(C16=0,0,D16/ABS(C16))</f>
        <v>0.00429159029325445</v>
      </c>
      <c r="F16" s="58" t="n">
        <f aca="false">PL!$C$23</f>
        <v>492981.865978669</v>
      </c>
      <c r="G16" s="58" t="n">
        <f aca="false">Budget_FY26!$C$23</f>
        <v>511977.27</v>
      </c>
      <c r="H16" s="70" t="n">
        <f aca="false">F16-G16</f>
        <v>-18995.4040213315</v>
      </c>
      <c r="I16" s="60" t="n">
        <f aca="false">IF(G16=0,0,H16/ABS(G16))</f>
        <v>-0.0371020456070863</v>
      </c>
    </row>
    <row r="17" customFormat="false" ht="15" hidden="false" customHeight="false" outlineLevel="0" collapsed="false">
      <c r="A17" s="27" t="s">
        <v>507</v>
      </c>
      <c r="B17" s="58" t="n">
        <f aca="false">SUMIFS(PL!$E$24:$AB$24,Assumptions!$E$97:$AB$97,"A")</f>
        <v>186515.87</v>
      </c>
      <c r="C17" s="58" t="n">
        <f aca="false">SUMIFS(Budget_FY26!$E$24:$P$24,Assumptions!$E$96:$P$96,"&lt;="&amp;Assumptions!$C$10)</f>
        <v>304862.832</v>
      </c>
      <c r="D17" s="70" t="n">
        <f aca="false">B17-C17</f>
        <v>-118346.962</v>
      </c>
      <c r="E17" s="60" t="n">
        <f aca="false">IF(C17=0,0,D17/ABS(C17))</f>
        <v>-0.388197410696493</v>
      </c>
      <c r="F17" s="58" t="n">
        <f aca="false">PL!$C$24</f>
        <v>443935.543200299</v>
      </c>
      <c r="G17" s="58" t="n">
        <f aca="false">Budget_FY26!$C$24</f>
        <v>540074.644</v>
      </c>
      <c r="H17" s="70" t="n">
        <f aca="false">F17-G17</f>
        <v>-96139.1007997014</v>
      </c>
      <c r="I17" s="60" t="n">
        <f aca="false">IF(G17=0,0,H17/ABS(G17))</f>
        <v>-0.178010765489115</v>
      </c>
    </row>
    <row r="18" customFormat="false" ht="15" hidden="false" customHeight="false" outlineLevel="0" collapsed="false">
      <c r="A18" s="27" t="s">
        <v>508</v>
      </c>
      <c r="B18" s="58" t="n">
        <f aca="false">SUMIFS(PL!$E$25:$AB$25,Assumptions!$E$97:$AB$97,"A")</f>
        <v>161136.4</v>
      </c>
      <c r="C18" s="58" t="n">
        <f aca="false">SUMIFS(Budget_FY26!$E$25:$P$25,Assumptions!$E$96:$P$96,"&lt;="&amp;Assumptions!$C$10)</f>
        <v>181396.8</v>
      </c>
      <c r="D18" s="70" t="n">
        <f aca="false">B18-C18</f>
        <v>-20260.4</v>
      </c>
      <c r="E18" s="60" t="n">
        <f aca="false">IF(C18=0,0,D18/ABS(C18))</f>
        <v>-0.111691055189507</v>
      </c>
      <c r="F18" s="58" t="n">
        <f aca="false">PL!$C$25</f>
        <v>262315.023752908</v>
      </c>
      <c r="G18" s="58" t="n">
        <f aca="false">Budget_FY26!$C$25</f>
        <v>241800</v>
      </c>
      <c r="H18" s="70" t="n">
        <f aca="false">F18-G18</f>
        <v>20515.0237529082</v>
      </c>
      <c r="I18" s="60" t="n">
        <f aca="false">IF(G18=0,0,H18/ABS(G18))</f>
        <v>0.0848429435604145</v>
      </c>
    </row>
    <row r="19" customFormat="false" ht="15" hidden="false" customHeight="false" outlineLevel="0" collapsed="false">
      <c r="A19" s="73" t="s">
        <v>348</v>
      </c>
      <c r="B19" s="74" t="n">
        <f aca="false">SUMIFS(PL!$E$30:$AB$30,Assumptions!$E$97:$AB$97,"A")</f>
        <v>944578.63</v>
      </c>
      <c r="C19" s="74" t="n">
        <f aca="false">SUMIFS(Budget_FY26!$E$26:$P$26,Assumptions!$E$96:$P$96,"&lt;="&amp;Assumptions!$C$10)</f>
        <v>1212045.557</v>
      </c>
      <c r="D19" s="69" t="n">
        <f aca="false">B19-C19</f>
        <v>-267466.927</v>
      </c>
      <c r="E19" s="75" t="n">
        <f aca="false">IF(C19=0,0,D19/ABS(C19))</f>
        <v>-0.220673988246797</v>
      </c>
      <c r="F19" s="74" t="n">
        <f aca="false">PL!$C$30</f>
        <v>1680643.15387696</v>
      </c>
      <c r="G19" s="74" t="n">
        <f aca="false">Budget_FY26!$C$26</f>
        <v>1912598.924</v>
      </c>
      <c r="H19" s="69" t="n">
        <f aca="false">F19-G19</f>
        <v>-231955.770123041</v>
      </c>
      <c r="I19" s="75" t="n">
        <f aca="false">IF(G19=0,0,H19/ABS(G19))</f>
        <v>-0.121277789719724</v>
      </c>
      <c r="J19" s="77"/>
    </row>
    <row r="20" customFormat="false" ht="15" hidden="false" customHeight="false" outlineLevel="0" collapsed="false">
      <c r="A20" s="27" t="s">
        <v>344</v>
      </c>
      <c r="B20" s="60" t="n">
        <f aca="false">IF(B10=0,0,B15/B10)</f>
        <v>0.219124607554492</v>
      </c>
      <c r="C20" s="60" t="n">
        <f aca="false">IF(C10=0,0,C15/C10)</f>
        <v>0.245</v>
      </c>
      <c r="D20" s="60" t="n">
        <f aca="false">B20-C20</f>
        <v>-0.0258753924455084</v>
      </c>
      <c r="F20" s="60" t="n">
        <f aca="false">IF(F10=0,0,F15/F10)</f>
        <v>0.225715696024802</v>
      </c>
      <c r="G20" s="60" t="n">
        <f aca="false">IF(G10=0,0,G15/G10)</f>
        <v>0.245</v>
      </c>
      <c r="H20" s="60" t="n">
        <f aca="false">F20-G20</f>
        <v>-0.0192843039751978</v>
      </c>
    </row>
    <row r="21" customFormat="false" ht="15" hidden="false" customHeight="false" outlineLevel="0" collapsed="false">
      <c r="A21" s="27" t="s">
        <v>345</v>
      </c>
      <c r="B21" s="60" t="n">
        <f aca="false">IF(B11=0,0,B16/B11)</f>
        <v>0.253548761077643</v>
      </c>
      <c r="C21" s="60" t="n">
        <f aca="false">IF(C11=0,0,C16/C11)</f>
        <v>0.255</v>
      </c>
      <c r="D21" s="60" t="n">
        <f aca="false">B21-C21</f>
        <v>-0.0014512389223566</v>
      </c>
      <c r="F21" s="60" t="n">
        <f aca="false">IF(F11=0,0,F16/F11)</f>
        <v>0.248724570427293</v>
      </c>
      <c r="G21" s="60" t="n">
        <f aca="false">IF(G11=0,0,G16/G11)</f>
        <v>0.255</v>
      </c>
      <c r="H21" s="60" t="n">
        <f aca="false">F21-G21</f>
        <v>-0.00627542957270702</v>
      </c>
    </row>
    <row r="22" customFormat="false" ht="22.35" hidden="false" customHeight="false" outlineLevel="0" collapsed="false">
      <c r="A22" s="27" t="s">
        <v>346</v>
      </c>
      <c r="B22" s="60" t="n">
        <f aca="false">IF(B12=0,0,B17/B12)</f>
        <v>0.119616972739065</v>
      </c>
      <c r="C22" s="60" t="n">
        <f aca="false">IF(C12=0,0,C17/C12)</f>
        <v>0.148</v>
      </c>
      <c r="D22" s="60" t="n">
        <f aca="false">B22-C22</f>
        <v>-0.0283830272609346</v>
      </c>
      <c r="F22" s="60" t="n">
        <f aca="false">IF(F12=0,0,F17/F12)</f>
        <v>0.134931368306839</v>
      </c>
      <c r="G22" s="60" t="n">
        <f aca="false">IF(G12=0,0,G17/G12)</f>
        <v>0.148</v>
      </c>
      <c r="H22" s="60" t="n">
        <f aca="false">F22-G22</f>
        <v>-0.0130686316931608</v>
      </c>
      <c r="J22" s="44" t="str">
        <f aca="false">"CF-2601 cost at completion EUR "&amp;TEXT(Commitments!J28/1000,"#,##0")&amp;"k over tender (M&amp;E subcontractor replaced, design changes)."</f>
        <v>CF-2601 cost at completion EUR 172k over tender (M&amp;E subcontractor replaced, design changes).</v>
      </c>
    </row>
    <row r="23" customFormat="false" ht="15" hidden="false" customHeight="false" outlineLevel="0" collapsed="false">
      <c r="A23" s="27" t="s">
        <v>347</v>
      </c>
      <c r="B23" s="60" t="n">
        <f aca="false">IF(B13=0,0,B18/B13)</f>
        <v>0.154272275701994</v>
      </c>
      <c r="C23" s="60" t="n">
        <f aca="false">IF(C13=0,0,C18/C13)</f>
        <v>0.13</v>
      </c>
      <c r="D23" s="60" t="n">
        <f aca="false">B23-C23</f>
        <v>0.0242722757019941</v>
      </c>
      <c r="F23" s="60" t="n">
        <f aca="false">IF(F13=0,0,F18/F13)</f>
        <v>0.14634097827678</v>
      </c>
      <c r="G23" s="60" t="n">
        <f aca="false">IF(G13=0,0,G18/G13)</f>
        <v>0.13</v>
      </c>
      <c r="H23" s="60" t="n">
        <f aca="false">F23-G23</f>
        <v>0.0163409782767799</v>
      </c>
    </row>
    <row r="24" customFormat="false" ht="15" hidden="false" customHeight="false" outlineLevel="0" collapsed="false">
      <c r="A24" s="73" t="s">
        <v>303</v>
      </c>
      <c r="B24" s="75" t="n">
        <f aca="false">IF(B14=0,0,B19/B14)</f>
        <v>0.184221611950219</v>
      </c>
      <c r="C24" s="75" t="n">
        <f aca="false">IF(C14=0,0,C19/C14)</f>
        <v>0.190391819648546</v>
      </c>
      <c r="D24" s="75" t="n">
        <f aca="false">B24-C24</f>
        <v>-0.00617020769832666</v>
      </c>
      <c r="E24" s="77"/>
      <c r="F24" s="75" t="n">
        <f aca="false">IF(F14=0,0,F19/F14)</f>
        <v>0.182729564511449</v>
      </c>
      <c r="G24" s="75" t="n">
        <f aca="false">IF(G14=0,0,G19/G14)</f>
        <v>0.190452279508743</v>
      </c>
      <c r="H24" s="75" t="n">
        <f aca="false">F24-G24</f>
        <v>-0.0077227149972941</v>
      </c>
      <c r="I24" s="77"/>
      <c r="J24" s="77"/>
    </row>
    <row r="25" customFormat="false" ht="22.35" hidden="false" customHeight="false" outlineLevel="0" collapsed="false">
      <c r="A25" s="27" t="s">
        <v>509</v>
      </c>
      <c r="B25" s="58" t="n">
        <f aca="false">SUMIFS(PL!$E$33:$AB$33,Assumptions!$E$97:$AB$97,"A")</f>
        <v>-76910.8575</v>
      </c>
      <c r="C25" s="58" t="n">
        <f aca="false">SUMIFS(Budget_FY26!$E$28:$P$28,Assumptions!$E$96:$P$96,"&lt;="&amp;Assumptions!$C$10)</f>
        <v>-24000</v>
      </c>
      <c r="D25" s="70" t="n">
        <f aca="false">B25-C25</f>
        <v>-52910.8575</v>
      </c>
      <c r="E25" s="60" t="n">
        <f aca="false">IF(C25=0,0,D25/ABS(C25))</f>
        <v>-2.2046190625</v>
      </c>
      <c r="F25" s="58" t="n">
        <f aca="false">PL!$C$33</f>
        <v>87.7116031759397</v>
      </c>
      <c r="G25" s="58" t="n">
        <f aca="false">Budget_FY26!$C$28</f>
        <v>-36000</v>
      </c>
      <c r="H25" s="70" t="n">
        <f aca="false">F25-G25</f>
        <v>36087.7116031759</v>
      </c>
      <c r="I25" s="60" t="n">
        <f aca="false">IF(G25=0,0,H25/ABS(G25))</f>
        <v>1.00243643342155</v>
      </c>
      <c r="J25" s="44" t="str">
        <f aca="false">"Site team under-used Feb to Apr while named work ran down; fully used from July with agency support."</f>
        <v>Site team under-used Feb to Apr while named work ran down; fully used from July with agency support.</v>
      </c>
    </row>
    <row r="26" customFormat="false" ht="15" hidden="false" customHeight="false" outlineLevel="0" collapsed="false">
      <c r="A26" s="27" t="s">
        <v>351</v>
      </c>
      <c r="B26" s="58" t="n">
        <f aca="false">SUMIFS(PL!$E$34:$AB$34,Assumptions!$E$97:$AB$97,"A")</f>
        <v>-111934</v>
      </c>
      <c r="C26" s="58" t="n">
        <f aca="false">SUMIFS(Budget_FY26!$E$29:$P$29,Assumptions!$E$96:$P$96,"&lt;="&amp;Assumptions!$C$10)</f>
        <v>-104000</v>
      </c>
      <c r="D26" s="70" t="n">
        <f aca="false">B26-C26</f>
        <v>-7934</v>
      </c>
      <c r="E26" s="60" t="n">
        <f aca="false">IF(C26=0,0,D26/ABS(C26))</f>
        <v>-0.0762884615384615</v>
      </c>
      <c r="F26" s="58" t="n">
        <f aca="false">PL!$C$34</f>
        <v>-170254</v>
      </c>
      <c r="G26" s="58" t="n">
        <f aca="false">Budget_FY26!$C$29</f>
        <v>-156000</v>
      </c>
      <c r="H26" s="70" t="n">
        <f aca="false">F26-G26</f>
        <v>-14254</v>
      </c>
      <c r="I26" s="60" t="n">
        <f aca="false">IF(G26=0,0,H26/ABS(G26))</f>
        <v>-0.0913717948717949</v>
      </c>
    </row>
    <row r="27" customFormat="false" ht="15" hidden="false" customHeight="false" outlineLevel="0" collapsed="false">
      <c r="A27" s="73" t="s">
        <v>353</v>
      </c>
      <c r="B27" s="74" t="n">
        <f aca="false">SUMIFS(PL!$E$36:$AB$36,Assumptions!$E$97:$AB$97,"A")</f>
        <v>755733.7725</v>
      </c>
      <c r="C27" s="74" t="n">
        <f aca="false">SUMIFS(Budget_FY26!$E$30:$P$30,Assumptions!$E$96:$P$96,"&lt;="&amp;Assumptions!$C$10)</f>
        <v>1084045.557</v>
      </c>
      <c r="D27" s="69" t="n">
        <f aca="false">B27-C27</f>
        <v>-328311.7845</v>
      </c>
      <c r="E27" s="75" t="n">
        <f aca="false">IF(C27=0,0,D27/ABS(C27))</f>
        <v>-0.302857921772747</v>
      </c>
      <c r="F27" s="74" t="n">
        <f aca="false">PL!$C$36</f>
        <v>1510476.86548013</v>
      </c>
      <c r="G27" s="74" t="n">
        <f aca="false">Budget_FY26!$C$30</f>
        <v>1720598.924</v>
      </c>
      <c r="H27" s="69" t="n">
        <f aca="false">F27-G27</f>
        <v>-210122.058519865</v>
      </c>
      <c r="I27" s="75" t="n">
        <f aca="false">IF(G27=0,0,H27/ABS(G27))</f>
        <v>-0.122121463397977</v>
      </c>
      <c r="J27" s="77"/>
    </row>
    <row r="28" customFormat="false" ht="15" hidden="false" customHeight="false" outlineLevel="0" collapsed="false">
      <c r="A28" s="27" t="s">
        <v>510</v>
      </c>
      <c r="B28" s="58" t="n">
        <f aca="false">SUMIFS(PL!$E$39:$AB$39,Assumptions!$E$97:$AB$97,"A")</f>
        <v>-389958.3</v>
      </c>
      <c r="C28" s="58" t="n">
        <f aca="false">SUMIFS(Budget_FY26!$E$31:$P$31,Assumptions!$E$96:$P$96,"&lt;="&amp;Assumptions!$C$10)</f>
        <v>-438960</v>
      </c>
      <c r="D28" s="70" t="n">
        <f aca="false">B28-C28</f>
        <v>49001.7</v>
      </c>
      <c r="E28" s="60" t="n">
        <f aca="false">IF(C28=0,0,D28/ABS(C28))</f>
        <v>0.111631355932203</v>
      </c>
      <c r="F28" s="58" t="n">
        <f aca="false">PL!$C$39</f>
        <v>-603137.55</v>
      </c>
      <c r="G28" s="58" t="n">
        <f aca="false">Budget_FY26!$C$31</f>
        <v>-658440</v>
      </c>
      <c r="H28" s="70" t="n">
        <f aca="false">F28-G28</f>
        <v>55302.4500000001</v>
      </c>
      <c r="I28" s="60" t="n">
        <f aca="false">IF(G28=0,0,H28/ABS(G28))</f>
        <v>0.0839901129943504</v>
      </c>
      <c r="J28" s="44" t="str">
        <f aca="false">"Retrofit coordinator vacancy March to May."</f>
        <v>Retrofit coordinator vacancy March to May.</v>
      </c>
    </row>
    <row r="29" customFormat="false" ht="15" hidden="false" customHeight="false" outlineLevel="0" collapsed="false">
      <c r="A29" s="27" t="s">
        <v>357</v>
      </c>
      <c r="B29" s="58" t="n">
        <f aca="false">SUMIFS(PL!$E$40:$AB$40,Assumptions!$E$97:$AB$97,"A")</f>
        <v>-57312</v>
      </c>
      <c r="C29" s="58" t="n">
        <f aca="false">SUMIFS(Budget_FY26!$E$32:$P$32,Assumptions!$E$96:$P$96,"&lt;="&amp;Assumptions!$C$10)</f>
        <v>-59200</v>
      </c>
      <c r="D29" s="70" t="n">
        <f aca="false">B29-C29</f>
        <v>1888</v>
      </c>
      <c r="E29" s="60" t="n">
        <f aca="false">IF(C29=0,0,D29/ABS(C29))</f>
        <v>0.0318918918918919</v>
      </c>
      <c r="F29" s="58" t="n">
        <f aca="false">PL!$C$40</f>
        <v>-86912</v>
      </c>
      <c r="G29" s="58" t="n">
        <f aca="false">Budget_FY26!$C$32</f>
        <v>-88800</v>
      </c>
      <c r="H29" s="70" t="n">
        <f aca="false">F29-G29</f>
        <v>1888</v>
      </c>
      <c r="I29" s="60" t="n">
        <f aca="false">IF(G29=0,0,H29/ABS(G29))</f>
        <v>0.0212612612612613</v>
      </c>
    </row>
    <row r="30" customFormat="false" ht="15" hidden="false" customHeight="false" outlineLevel="0" collapsed="false">
      <c r="A30" s="27" t="s">
        <v>358</v>
      </c>
      <c r="B30" s="58" t="n">
        <f aca="false">SUMIFS(PL!$E$41:$AB$41,Assumptions!$E$97:$AB$97,"A")</f>
        <v>-75131</v>
      </c>
      <c r="C30" s="58" t="n">
        <f aca="false">SUMIFS(Budget_FY26!$E$33:$P$33,Assumptions!$E$96:$P$96,"&lt;="&amp;Assumptions!$C$10)</f>
        <v>-76800</v>
      </c>
      <c r="D30" s="70" t="n">
        <f aca="false">B30-C30</f>
        <v>1669</v>
      </c>
      <c r="E30" s="60" t="n">
        <f aca="false">IF(C30=0,0,D30/ABS(C30))</f>
        <v>0.0217317708333333</v>
      </c>
      <c r="F30" s="58" t="n">
        <f aca="false">PL!$C$41</f>
        <v>-113931</v>
      </c>
      <c r="G30" s="58" t="n">
        <f aca="false">Budget_FY26!$C$33</f>
        <v>-115200</v>
      </c>
      <c r="H30" s="70" t="n">
        <f aca="false">F30-G30</f>
        <v>1269</v>
      </c>
      <c r="I30" s="60" t="n">
        <f aca="false">IF(G30=0,0,H30/ABS(G30))</f>
        <v>0.011015625</v>
      </c>
    </row>
    <row r="31" customFormat="false" ht="15" hidden="false" customHeight="false" outlineLevel="0" collapsed="false">
      <c r="A31" s="27" t="s">
        <v>359</v>
      </c>
      <c r="B31" s="58" t="n">
        <f aca="false">SUMIFS(PL!$E$42:$AB$42,Assumptions!$E$97:$AB$97,"A")</f>
        <v>-31234</v>
      </c>
      <c r="C31" s="58" t="n">
        <f aca="false">SUMIFS(Budget_FY26!$E$34:$P$34,Assumptions!$E$96:$P$96,"&lt;="&amp;Assumptions!$C$10)</f>
        <v>-29600</v>
      </c>
      <c r="D31" s="70" t="n">
        <f aca="false">B31-C31</f>
        <v>-1634</v>
      </c>
      <c r="E31" s="60" t="n">
        <f aca="false">IF(C31=0,0,D31/ABS(C31))</f>
        <v>-0.0552027027027027</v>
      </c>
      <c r="F31" s="58" t="n">
        <f aca="false">PL!$C$42</f>
        <v>-46834</v>
      </c>
      <c r="G31" s="58" t="n">
        <f aca="false">Budget_FY26!$C$34</f>
        <v>-44400</v>
      </c>
      <c r="H31" s="70" t="n">
        <f aca="false">F31-G31</f>
        <v>-2434</v>
      </c>
      <c r="I31" s="60" t="n">
        <f aca="false">IF(G31=0,0,H31/ABS(G31))</f>
        <v>-0.0548198198198198</v>
      </c>
    </row>
    <row r="32" customFormat="false" ht="15" hidden="false" customHeight="false" outlineLevel="0" collapsed="false">
      <c r="A32" s="27" t="s">
        <v>360</v>
      </c>
      <c r="B32" s="58" t="n">
        <f aca="false">SUMIFS(PL!$E$43:$AB$43,Assumptions!$E$97:$AB$97,"A")</f>
        <v>-52476</v>
      </c>
      <c r="C32" s="58" t="n">
        <f aca="false">SUMIFS(Budget_FY26!$E$35:$P$35,Assumptions!$E$96:$P$96,"&lt;="&amp;Assumptions!$C$10)</f>
        <v>-52000</v>
      </c>
      <c r="D32" s="70" t="n">
        <f aca="false">B32-C32</f>
        <v>-476</v>
      </c>
      <c r="E32" s="60" t="n">
        <f aca="false">IF(C32=0,0,D32/ABS(C32))</f>
        <v>-0.00915384615384615</v>
      </c>
      <c r="F32" s="58" t="n">
        <f aca="false">PL!$C$43</f>
        <v>-79676</v>
      </c>
      <c r="G32" s="58" t="n">
        <f aca="false">Budget_FY26!$C$35</f>
        <v>-78000</v>
      </c>
      <c r="H32" s="70" t="n">
        <f aca="false">F32-G32</f>
        <v>-1676</v>
      </c>
      <c r="I32" s="60" t="n">
        <f aca="false">IF(G32=0,0,H32/ABS(G32))</f>
        <v>-0.0214871794871795</v>
      </c>
    </row>
    <row r="33" customFormat="false" ht="15" hidden="false" customHeight="false" outlineLevel="0" collapsed="false">
      <c r="A33" s="27" t="s">
        <v>361</v>
      </c>
      <c r="B33" s="58" t="n">
        <f aca="false">SUMIFS(PL!$E$44:$AB$44,Assumptions!$E$97:$AB$97,"A")</f>
        <v>-32840</v>
      </c>
      <c r="C33" s="58" t="n">
        <f aca="false">SUMIFS(Budget_FY26!$E$36:$P$36,Assumptions!$E$96:$P$96,"&lt;="&amp;Assumptions!$C$10)</f>
        <v>-32000</v>
      </c>
      <c r="D33" s="70" t="n">
        <f aca="false">B33-C33</f>
        <v>-840</v>
      </c>
      <c r="E33" s="60" t="n">
        <f aca="false">IF(C33=0,0,D33/ABS(C33))</f>
        <v>-0.02625</v>
      </c>
      <c r="F33" s="58" t="n">
        <f aca="false">PL!$C$44</f>
        <v>-49640</v>
      </c>
      <c r="G33" s="58" t="n">
        <f aca="false">Budget_FY26!$C$36</f>
        <v>-48000</v>
      </c>
      <c r="H33" s="70" t="n">
        <f aca="false">F33-G33</f>
        <v>-1640</v>
      </c>
      <c r="I33" s="60" t="n">
        <f aca="false">IF(G33=0,0,H33/ABS(G33))</f>
        <v>-0.0341666666666667</v>
      </c>
    </row>
    <row r="34" customFormat="false" ht="15" hidden="false" customHeight="false" outlineLevel="0" collapsed="false">
      <c r="A34" s="27" t="s">
        <v>362</v>
      </c>
      <c r="B34" s="58" t="n">
        <f aca="false">SUMIFS(PL!$E$45:$AB$45,Assumptions!$E$97:$AB$97,"A")</f>
        <v>-20728</v>
      </c>
      <c r="C34" s="58" t="n">
        <f aca="false">SUMIFS(Budget_FY26!$E$37:$P$37,Assumptions!$E$96:$P$96,"&lt;="&amp;Assumptions!$C$10)</f>
        <v>-20800</v>
      </c>
      <c r="D34" s="70" t="n">
        <f aca="false">B34-C34</f>
        <v>72</v>
      </c>
      <c r="E34" s="60" t="n">
        <f aca="false">IF(C34=0,0,D34/ABS(C34))</f>
        <v>0.00346153846153846</v>
      </c>
      <c r="F34" s="58" t="n">
        <f aca="false">PL!$C$45</f>
        <v>-31928</v>
      </c>
      <c r="G34" s="58" t="n">
        <f aca="false">Budget_FY26!$C$37</f>
        <v>-31200</v>
      </c>
      <c r="H34" s="70" t="n">
        <f aca="false">F34-G34</f>
        <v>-728</v>
      </c>
      <c r="I34" s="60" t="n">
        <f aca="false">IF(G34=0,0,H34/ABS(G34))</f>
        <v>-0.0233333333333333</v>
      </c>
    </row>
    <row r="35" customFormat="false" ht="15" hidden="false" customHeight="false" outlineLevel="0" collapsed="false">
      <c r="A35" s="27" t="s">
        <v>363</v>
      </c>
      <c r="B35" s="58" t="n">
        <f aca="false">SUMIFS(PL!$E$46:$AB$46,Assumptions!$E$97:$AB$97,"A")</f>
        <v>-17868</v>
      </c>
      <c r="C35" s="58" t="n">
        <f aca="false">SUMIFS(Budget_FY26!$E$38:$P$38,Assumptions!$E$96:$P$96,"&lt;="&amp;Assumptions!$C$10)</f>
        <v>-16800</v>
      </c>
      <c r="D35" s="70" t="n">
        <f aca="false">B35-C35</f>
        <v>-1068</v>
      </c>
      <c r="E35" s="60" t="n">
        <f aca="false">IF(C35=0,0,D35/ABS(C35))</f>
        <v>-0.0635714285714286</v>
      </c>
      <c r="F35" s="58" t="n">
        <f aca="false">PL!$C$46</f>
        <v>-26868</v>
      </c>
      <c r="G35" s="58" t="n">
        <f aca="false">Budget_FY26!$C$38</f>
        <v>-25200</v>
      </c>
      <c r="H35" s="70" t="n">
        <f aca="false">F35-G35</f>
        <v>-1668</v>
      </c>
      <c r="I35" s="60" t="n">
        <f aca="false">IF(G35=0,0,H35/ABS(G35))</f>
        <v>-0.0661904761904762</v>
      </c>
    </row>
    <row r="36" customFormat="false" ht="15" hidden="false" customHeight="false" outlineLevel="0" collapsed="false">
      <c r="A36" s="27" t="s">
        <v>364</v>
      </c>
      <c r="B36" s="58" t="n">
        <f aca="false">SUMIFS(PL!$E$47:$AB$47,Assumptions!$E$97:$AB$97,"A")</f>
        <v>-13345</v>
      </c>
      <c r="C36" s="58" t="n">
        <f aca="false">SUMIFS(Budget_FY26!$E$39:$P$39,Assumptions!$E$96:$P$96,"&lt;="&amp;Assumptions!$C$10)</f>
        <v>-13600</v>
      </c>
      <c r="D36" s="70" t="n">
        <f aca="false">B36-C36</f>
        <v>255</v>
      </c>
      <c r="E36" s="60" t="n">
        <f aca="false">IF(C36=0,0,D36/ABS(C36))</f>
        <v>0.01875</v>
      </c>
      <c r="F36" s="58" t="n">
        <f aca="false">PL!$C$47</f>
        <v>-20345</v>
      </c>
      <c r="G36" s="58" t="n">
        <f aca="false">Budget_FY26!$C$39</f>
        <v>-20400</v>
      </c>
      <c r="H36" s="70" t="n">
        <f aca="false">F36-G36</f>
        <v>55</v>
      </c>
      <c r="I36" s="60" t="n">
        <f aca="false">IF(G36=0,0,H36/ABS(G36))</f>
        <v>0.00269607843137255</v>
      </c>
    </row>
    <row r="37" customFormat="false" ht="15" hidden="false" customHeight="false" outlineLevel="0" collapsed="false">
      <c r="A37" s="27" t="s">
        <v>365</v>
      </c>
      <c r="B37" s="58" t="n">
        <f aca="false">SUMIFS(PL!$E$48:$AB$48,Assumptions!$E$97:$AB$97,"A")</f>
        <v>-6843</v>
      </c>
      <c r="C37" s="58" t="n">
        <f aca="false">SUMIFS(Budget_FY26!$E$40:$P$40,Assumptions!$E$96:$P$96,"&lt;="&amp;Assumptions!$C$10)</f>
        <v>-6800</v>
      </c>
      <c r="D37" s="70" t="n">
        <f aca="false">B37-C37</f>
        <v>-43</v>
      </c>
      <c r="E37" s="60" t="n">
        <f aca="false">IF(C37=0,0,D37/ABS(C37))</f>
        <v>-0.00632352941176471</v>
      </c>
      <c r="F37" s="58" t="n">
        <f aca="false">PL!$C$48</f>
        <v>-10283</v>
      </c>
      <c r="G37" s="58" t="n">
        <f aca="false">Budget_FY26!$C$40</f>
        <v>-10200</v>
      </c>
      <c r="H37" s="70" t="n">
        <f aca="false">F37-G37</f>
        <v>-83</v>
      </c>
      <c r="I37" s="60" t="n">
        <f aca="false">IF(G37=0,0,H37/ABS(G37))</f>
        <v>-0.00813725490196078</v>
      </c>
    </row>
    <row r="38" customFormat="false" ht="15" hidden="false" customHeight="false" outlineLevel="0" collapsed="false">
      <c r="A38" s="27" t="s">
        <v>366</v>
      </c>
      <c r="B38" s="58" t="n">
        <f aca="false">SUMIFS(PL!$E$49:$AB$49,Assumptions!$E$97:$AB$97,"A")</f>
        <v>-3874.66666666667</v>
      </c>
      <c r="C38" s="58" t="n">
        <f aca="false">SUMIFS(Budget_FY26!$E$41:$P$41,Assumptions!$E$96:$P$96,"&lt;="&amp;Assumptions!$C$10)</f>
        <v>-4160</v>
      </c>
      <c r="D38" s="70" t="n">
        <f aca="false">B38-C38</f>
        <v>285.333333333334</v>
      </c>
      <c r="E38" s="60" t="n">
        <f aca="false">IF(C38=0,0,D38/ABS(C38))</f>
        <v>0.0685897435897436</v>
      </c>
      <c r="F38" s="58" t="n">
        <f aca="false">PL!$C$49</f>
        <v>-7144</v>
      </c>
      <c r="G38" s="58" t="n">
        <f aca="false">Budget_FY26!$C$41</f>
        <v>-6240</v>
      </c>
      <c r="H38" s="70" t="n">
        <f aca="false">F38-G38</f>
        <v>-904</v>
      </c>
      <c r="I38" s="60" t="n">
        <f aca="false">IF(G38=0,0,H38/ABS(G38))</f>
        <v>-0.144871794871795</v>
      </c>
    </row>
    <row r="39" customFormat="false" ht="15" hidden="false" customHeight="false" outlineLevel="0" collapsed="false">
      <c r="A39" s="27" t="s">
        <v>367</v>
      </c>
      <c r="B39" s="58" t="n">
        <f aca="false">SUMIFS(PL!$E$50:$AB$50,Assumptions!$E$97:$AB$97,"A")</f>
        <v>-9500</v>
      </c>
      <c r="C39" s="58" t="n">
        <f aca="false">SUMIFS(Budget_FY26!$E$42:$P$42,Assumptions!$E$96:$P$96,"&lt;="&amp;Assumptions!$C$10)</f>
        <v>0</v>
      </c>
      <c r="D39" s="70" t="n">
        <f aca="false">B39-C39</f>
        <v>-9500</v>
      </c>
      <c r="E39" s="60" t="n">
        <f aca="false">IF(C39=0,0,D39/ABS(C39))</f>
        <v>0</v>
      </c>
      <c r="F39" s="58" t="n">
        <f aca="false">PL!$C$50</f>
        <v>-9500</v>
      </c>
      <c r="G39" s="58" t="n">
        <f aca="false">Budget_FY26!$C$42</f>
        <v>0</v>
      </c>
      <c r="H39" s="70" t="n">
        <f aca="false">F39-G39</f>
        <v>-9500</v>
      </c>
      <c r="I39" s="60" t="n">
        <f aca="false">IF(G39=0,0,H39/ABS(G39))</f>
        <v>0</v>
      </c>
      <c r="J39" s="44" t="str">
        <f aca="false">"Specific provision on the disputed CF-2311 legacy retention."</f>
        <v>Specific provision on the disputed CF-2311 legacy retention.</v>
      </c>
    </row>
    <row r="40" customFormat="false" ht="15" hidden="false" customHeight="false" outlineLevel="0" collapsed="false">
      <c r="A40" s="73" t="s">
        <v>368</v>
      </c>
      <c r="B40" s="74" t="n">
        <f aca="false">SUMIFS(PL!$E$51:$AB$51,Assumptions!$E$97:$AB$97,"A")</f>
        <v>-711109.966666667</v>
      </c>
      <c r="C40" s="74" t="n">
        <f aca="false">SUMIFS(Budget_FY26!$E$43:$P$43,Assumptions!$E$96:$P$96,"&lt;="&amp;Assumptions!$C$10)</f>
        <v>-750720</v>
      </c>
      <c r="D40" s="69" t="n">
        <f aca="false">B40-C40</f>
        <v>39610.0333333333</v>
      </c>
      <c r="E40" s="75" t="n">
        <f aca="false">IF(C40=0,0,D40/ABS(C40))</f>
        <v>0.052762725561239</v>
      </c>
      <c r="F40" s="74" t="n">
        <f aca="false">PL!$C$51</f>
        <v>-1086198.55</v>
      </c>
      <c r="G40" s="74" t="n">
        <f aca="false">Budget_FY26!$C$43</f>
        <v>-1126080</v>
      </c>
      <c r="H40" s="69" t="n">
        <f aca="false">F40-G40</f>
        <v>39881.45</v>
      </c>
      <c r="I40" s="75" t="n">
        <f aca="false">IF(G40=0,0,H40/ABS(G40))</f>
        <v>0.0354161782466609</v>
      </c>
      <c r="J40" s="77"/>
    </row>
    <row r="41" customFormat="false" ht="15" hidden="false" customHeight="false" outlineLevel="0" collapsed="false">
      <c r="A41" s="73" t="s">
        <v>307</v>
      </c>
      <c r="B41" s="74" t="n">
        <f aca="false">SUMIFS(PL!$E$53:$AB$53,Assumptions!$E$97:$AB$97,"A")</f>
        <v>44623.8058333334</v>
      </c>
      <c r="C41" s="74" t="n">
        <f aca="false">SUMIFS(Budget_FY26!$E$44:$P$44,Assumptions!$E$96:$P$96,"&lt;="&amp;Assumptions!$C$10)</f>
        <v>333325.557</v>
      </c>
      <c r="D41" s="69" t="n">
        <f aca="false">B41-C41</f>
        <v>-288701.751166667</v>
      </c>
      <c r="E41" s="75" t="n">
        <f aca="false">IF(C41=0,0,D41/ABS(C41))</f>
        <v>-0.866125459340841</v>
      </c>
      <c r="F41" s="74" t="n">
        <f aca="false">PL!$C$53</f>
        <v>424278.315480134</v>
      </c>
      <c r="G41" s="74" t="n">
        <f aca="false">Budget_FY26!$C$44</f>
        <v>594518.924</v>
      </c>
      <c r="H41" s="69" t="n">
        <f aca="false">F41-G41</f>
        <v>-170240.608519866</v>
      </c>
      <c r="I41" s="75" t="n">
        <f aca="false">IF(G41=0,0,H41/ABS(G41))</f>
        <v>-0.286350192815503</v>
      </c>
      <c r="J41" s="76" t="str">
        <f aca="false">"EUR "&amp;TEXT(ABS(D41)/1000,"#,##0")&amp;"k "&amp;IF(D41&lt;0,"behind","ahead of")&amp;" budget YTD; EUR "&amp;TEXT(ABS(H41)/1000,"#,##0")&amp;"k on the full-year outlook."</f>
        <v>EUR 289k behind budget YTD; EUR 170k on the full-year outlook.</v>
      </c>
    </row>
    <row r="42" customFormat="false" ht="15" hidden="false" customHeight="false" outlineLevel="0" collapsed="false">
      <c r="A42" s="73" t="s">
        <v>306</v>
      </c>
      <c r="B42" s="75" t="n">
        <f aca="false">IF(B14=0,0,B41/B14)</f>
        <v>0.00870300172042878</v>
      </c>
      <c r="C42" s="75" t="n">
        <f aca="false">IF(C14=0,0,C41/C14)</f>
        <v>0.0523597970109922</v>
      </c>
      <c r="D42" s="75" t="n">
        <f aca="false">B42-C42</f>
        <v>-0.0436567952905634</v>
      </c>
      <c r="E42" s="77"/>
      <c r="F42" s="75" t="n">
        <f aca="false">IF(F14=0,0,F41/F14)</f>
        <v>0.0461300732642095</v>
      </c>
      <c r="G42" s="75" t="n">
        <f aca="false">IF(G14=0,0,G41/G14)</f>
        <v>0.0592008511905266</v>
      </c>
      <c r="H42" s="75" t="n">
        <f aca="false">F42-G42</f>
        <v>-0.0130707779263171</v>
      </c>
      <c r="I42" s="77"/>
      <c r="J42" s="77"/>
    </row>
    <row r="43" customFormat="false" ht="15" hidden="false" customHeight="false" outlineLevel="0" collapsed="false">
      <c r="A43" s="73" t="s">
        <v>378</v>
      </c>
      <c r="B43" s="74" t="n">
        <f aca="false">SUMIFS(PL!$E$63:$AB$63,Assumptions!$E$97:$AB$97,"A")</f>
        <v>-53414.5061458333</v>
      </c>
      <c r="C43" s="74" t="n">
        <f aca="false">SUMIFS(Budget_FY26!$E$49:$P$49,Assumptions!$E$96:$P$96,"&lt;="&amp;Assumptions!$C$10)</f>
        <v>232470.003125</v>
      </c>
      <c r="D43" s="69" t="n">
        <f aca="false">B43-C43</f>
        <v>-285884.509270833</v>
      </c>
      <c r="E43" s="75" t="n">
        <f aca="false">IF(C43=0,0,D43/ABS(C43))</f>
        <v>-1.22976945596337</v>
      </c>
      <c r="F43" s="74" t="n">
        <f aca="false">PL!$C$63</f>
        <v>241159.594491298</v>
      </c>
      <c r="G43" s="74" t="n">
        <f aca="false">Budget_FY26!$C$49</f>
        <v>432917.94925</v>
      </c>
      <c r="H43" s="69" t="n">
        <f aca="false">F43-G43</f>
        <v>-191758.354758702</v>
      </c>
      <c r="I43" s="75" t="n">
        <f aca="false">IF(G43=0,0,H43/ABS(G43))</f>
        <v>-0.4429438767575</v>
      </c>
      <c r="J43" s="77"/>
    </row>
    <row r="44" customFormat="false" ht="15" hidden="false" customHeight="false" outlineLevel="0" collapsed="false">
      <c r="A44" s="21" t="s">
        <v>511</v>
      </c>
      <c r="B44" s="22"/>
      <c r="C44" s="22"/>
      <c r="D44" s="22"/>
      <c r="E44" s="22"/>
      <c r="F44" s="22"/>
      <c r="G44" s="22"/>
      <c r="H44" s="22"/>
      <c r="I44" s="22"/>
      <c r="J44" s="22"/>
    </row>
    <row r="45" customFormat="false" ht="15" hidden="false" customHeight="false" outlineLevel="0" collapsed="false">
      <c r="A45" s="27" t="s">
        <v>325</v>
      </c>
      <c r="B45" s="58" t="n">
        <f aca="false">INDEX(BS!$E$9:$AB$9,Assumptions!$C$10)</f>
        <v>634504.37266392</v>
      </c>
      <c r="C45" s="58" t="n">
        <f aca="false">INDEX(Budget_FY26!$E$51:$P$51,Assumptions!$C$10)</f>
        <v>560000</v>
      </c>
      <c r="D45" s="70" t="n">
        <f aca="false">B45-C45</f>
        <v>74504.3726639201</v>
      </c>
      <c r="E45" s="60" t="n">
        <f aca="false">IF(C45=0,0,D45/ABS(C45))</f>
        <v>0.133043522614143</v>
      </c>
      <c r="F45" s="58" t="n">
        <f aca="false">BS!$C$9</f>
        <v>632766.877670916</v>
      </c>
      <c r="G45" s="58" t="n">
        <f aca="false">Budget_FY26!$C$51</f>
        <v>610000</v>
      </c>
      <c r="H45" s="70" t="n">
        <f aca="false">F45-G45</f>
        <v>22766.8776709163</v>
      </c>
      <c r="I45" s="60" t="n">
        <f aca="false">IF(G45=0,0,H45/ABS(G45))</f>
        <v>0.0373227502801906</v>
      </c>
    </row>
    <row r="46" customFormat="false" ht="15" hidden="false" customHeight="false" outlineLevel="0" collapsed="false">
      <c r="A46" s="27" t="s">
        <v>512</v>
      </c>
      <c r="B46" s="58" t="n">
        <f aca="false">INDEX(BS!$E$10:$AB$10,Assumptions!$C$10)+INDEX(BS!$E$11:$AB$11,Assumptions!$C$10)</f>
        <v>747826.1630705</v>
      </c>
      <c r="C46" s="58" t="n">
        <f aca="false">INDEX(Budget_FY26!$E$52:$P$52,Assumptions!$C$10)</f>
        <v>740000</v>
      </c>
      <c r="D46" s="70" t="n">
        <f aca="false">B46-C46</f>
        <v>7826.16307050036</v>
      </c>
      <c r="E46" s="60" t="n">
        <f aca="false">IF(C46=0,0,D46/ABS(C46))</f>
        <v>0.0105758960412167</v>
      </c>
      <c r="F46" s="58" t="n">
        <f aca="false">BS!$C$10+BS!$C$11</f>
        <v>1081534.31292054</v>
      </c>
      <c r="G46" s="58" t="n">
        <f aca="false">Budget_FY26!$C$52</f>
        <v>720000</v>
      </c>
      <c r="H46" s="70" t="n">
        <f aca="false">F46-G46</f>
        <v>361534.312920541</v>
      </c>
      <c r="I46" s="60" t="n">
        <f aca="false">IF(G46=0,0,H46/ABS(G46))</f>
        <v>0.502130990167418</v>
      </c>
    </row>
    <row r="47" customFormat="false" ht="22.35" hidden="false" customHeight="false" outlineLevel="0" collapsed="false">
      <c r="A47" s="27" t="s">
        <v>513</v>
      </c>
      <c r="B47" s="58" t="n">
        <f aca="false">INDEX(BS!$E$13:$AB$13,Assumptions!$C$10)-INDEX(BS!$E$26:$AB$26,Assumptions!$C$10)</f>
        <v>705601.060264317</v>
      </c>
      <c r="C47" s="58" t="n">
        <f aca="false">INDEX(Budget_FY26!$E$53:$P$53,Assumptions!$C$10)</f>
        <v>490000</v>
      </c>
      <c r="D47" s="70" t="n">
        <f aca="false">B47-C47</f>
        <v>215601.060264317</v>
      </c>
      <c r="E47" s="60" t="n">
        <f aca="false">IF(C47=0,0,D47/ABS(C47))</f>
        <v>0.440002163804729</v>
      </c>
      <c r="F47" s="58" t="n">
        <f aca="false">BS!$C$13-BS!$C$26</f>
        <v>690014.79963014</v>
      </c>
      <c r="G47" s="58" t="n">
        <f aca="false">Budget_FY26!$C$53</f>
        <v>450000</v>
      </c>
      <c r="H47" s="70" t="n">
        <f aca="false">F47-G47</f>
        <v>240014.79963014</v>
      </c>
      <c r="I47" s="60" t="n">
        <f aca="false">IF(G47=0,0,H47/ABS(G47))</f>
        <v>0.53336622140031</v>
      </c>
      <c r="J47" s="44" t="str">
        <f aca="false">"Certification lags progress on CF-2601 and PS-2601; valuations should be submitted with the cost report each month."</f>
        <v>Certification lags progress on CF-2601 and PS-2601; valuations should be submitted with the cost report each month.</v>
      </c>
    </row>
    <row r="48" customFormat="false" ht="15" hidden="false" customHeight="false" outlineLevel="0" collapsed="false">
      <c r="A48" s="27" t="s">
        <v>322</v>
      </c>
      <c r="B48" s="58" t="n">
        <f aca="false">INDEX(BS!$E$12:$AB$12,Assumptions!$C$10)</f>
        <v>154454.4872</v>
      </c>
      <c r="C48" s="58" t="n">
        <f aca="false">INDEX(Budget_FY26!$E$54:$P$54,Assumptions!$C$10)</f>
        <v>185000</v>
      </c>
      <c r="D48" s="70" t="n">
        <f aca="false">B48-C48</f>
        <v>-30545.5128</v>
      </c>
      <c r="E48" s="60" t="n">
        <f aca="false">IF(C48=0,0,D48/ABS(C48))</f>
        <v>-0.16511088</v>
      </c>
      <c r="F48" s="58" t="n">
        <f aca="false">BS!$C$12</f>
        <v>186751.800075962</v>
      </c>
      <c r="G48" s="58" t="n">
        <f aca="false">Budget_FY26!$C$54</f>
        <v>195000</v>
      </c>
      <c r="H48" s="70" t="n">
        <f aca="false">F48-G48</f>
        <v>-8248.19992403823</v>
      </c>
      <c r="I48" s="60" t="n">
        <f aca="false">IF(G48=0,0,H48/ABS(G48))</f>
        <v>-0.042298461148914</v>
      </c>
    </row>
    <row r="50" customFormat="false" ht="15" hidden="false" customHeight="false" outlineLevel="0" collapsed="false">
      <c r="A50" s="21" t="s">
        <v>514</v>
      </c>
      <c r="B50" s="22"/>
      <c r="C50" s="22"/>
      <c r="D50" s="22"/>
      <c r="E50" s="22"/>
      <c r="F50" s="22"/>
      <c r="G50" s="22"/>
      <c r="H50" s="22"/>
      <c r="I50" s="22"/>
      <c r="J50" s="22"/>
    </row>
    <row r="51" customFormat="false" ht="30" hidden="false" customHeight="true" outlineLevel="0" collapsed="false">
      <c r="A51" s="40" t="s">
        <v>515</v>
      </c>
      <c r="B51" s="41" t="s">
        <v>516</v>
      </c>
      <c r="C51" s="41" t="s">
        <v>517</v>
      </c>
      <c r="D51" s="41" t="s">
        <v>518</v>
      </c>
      <c r="E51" s="41" t="s">
        <v>519</v>
      </c>
      <c r="F51" s="41" t="s">
        <v>520</v>
      </c>
      <c r="G51" s="41" t="s">
        <v>521</v>
      </c>
      <c r="H51" s="41" t="s">
        <v>522</v>
      </c>
      <c r="I51" s="41" t="s">
        <v>523</v>
      </c>
    </row>
    <row r="52" customFormat="false" ht="15" hidden="false" customHeight="false" outlineLevel="0" collapsed="false">
      <c r="A52" s="0" t="s">
        <v>333</v>
      </c>
      <c r="B52" s="28" t="n">
        <f aca="false">B10</f>
        <v>1247322.85</v>
      </c>
      <c r="C52" s="28" t="n">
        <f aca="false">C10</f>
        <v>1647190</v>
      </c>
      <c r="D52" s="78" t="n">
        <f aca="false">IF(B52=0,0,B15/B52)</f>
        <v>0.219124607554492</v>
      </c>
      <c r="E52" s="78" t="n">
        <f aca="false">IF(C52=0,0,C15/C52)</f>
        <v>0.245</v>
      </c>
      <c r="F52" s="28" t="n">
        <f aca="false">(B52-C52)*E52</f>
        <v>-97967.45175</v>
      </c>
      <c r="G52" s="28" t="n">
        <f aca="false">B52*(D52-E52)</f>
        <v>-32274.96825</v>
      </c>
      <c r="H52" s="28" t="n">
        <f aca="false">F52+G52</f>
        <v>-130242.42</v>
      </c>
      <c r="I52" s="28" t="n">
        <f aca="false">ROUND(H52-D15,0)</f>
        <v>0</v>
      </c>
    </row>
    <row r="53" customFormat="false" ht="15" hidden="false" customHeight="false" outlineLevel="0" collapsed="false">
      <c r="A53" s="0" t="s">
        <v>335</v>
      </c>
      <c r="B53" s="28" t="n">
        <f aca="false">B11</f>
        <v>1276311.62</v>
      </c>
      <c r="C53" s="28" t="n">
        <f aca="false">C11</f>
        <v>1263625</v>
      </c>
      <c r="D53" s="78" t="n">
        <f aca="false">IF(B53=0,0,B16/B53)</f>
        <v>0.253548761077643</v>
      </c>
      <c r="E53" s="78" t="n">
        <f aca="false">IF(C53=0,0,C16/C53)</f>
        <v>0.255</v>
      </c>
      <c r="F53" s="28" t="n">
        <f aca="false">(B53-C53)*E53</f>
        <v>3235.08809999997</v>
      </c>
      <c r="G53" s="28" t="n">
        <f aca="false">B53*(D53-E53)</f>
        <v>-1852.23310000001</v>
      </c>
      <c r="H53" s="28" t="n">
        <f aca="false">F53+G53</f>
        <v>1382.85499999996</v>
      </c>
      <c r="I53" s="28" t="n">
        <f aca="false">ROUND(H53-D16,0)</f>
        <v>-0</v>
      </c>
    </row>
    <row r="54" customFormat="false" ht="15" hidden="false" customHeight="false" outlineLevel="0" collapsed="false">
      <c r="A54" s="0" t="s">
        <v>336</v>
      </c>
      <c r="B54" s="28" t="n">
        <f aca="false">B12</f>
        <v>1559275.96</v>
      </c>
      <c r="C54" s="28" t="n">
        <f aca="false">C12</f>
        <v>2059884</v>
      </c>
      <c r="D54" s="78" t="n">
        <f aca="false">IF(B54=0,0,B17/B54)</f>
        <v>0.119616972739065</v>
      </c>
      <c r="E54" s="78" t="n">
        <f aca="false">IF(C54=0,0,C17/C54)</f>
        <v>0.148</v>
      </c>
      <c r="F54" s="28" t="n">
        <f aca="false">(B54-C54)*E54</f>
        <v>-74089.98992</v>
      </c>
      <c r="G54" s="28" t="n">
        <f aca="false">B54*(D54-E54)</f>
        <v>-44256.97208</v>
      </c>
      <c r="H54" s="28" t="n">
        <f aca="false">F54+G54</f>
        <v>-118346.962</v>
      </c>
      <c r="I54" s="28" t="n">
        <f aca="false">ROUND(H54-D17,0)</f>
        <v>0</v>
      </c>
    </row>
    <row r="55" customFormat="false" ht="15" hidden="false" customHeight="false" outlineLevel="0" collapsed="false">
      <c r="A55" s="0" t="s">
        <v>337</v>
      </c>
      <c r="B55" s="28" t="n">
        <f aca="false">B13</f>
        <v>1044493.57</v>
      </c>
      <c r="C55" s="28" t="n">
        <f aca="false">C13</f>
        <v>1395360</v>
      </c>
      <c r="D55" s="78" t="n">
        <f aca="false">IF(B55=0,0,B18/B55)</f>
        <v>0.154272275701994</v>
      </c>
      <c r="E55" s="78" t="n">
        <f aca="false">IF(C55=0,0,C18/C55)</f>
        <v>0.13</v>
      </c>
      <c r="F55" s="28" t="n">
        <f aca="false">(B55-C55)*E55</f>
        <v>-45612.6359</v>
      </c>
      <c r="G55" s="28" t="n">
        <f aca="false">B55*(D55-E55)</f>
        <v>25352.2359</v>
      </c>
      <c r="H55" s="28" t="n">
        <f aca="false">F55+G55</f>
        <v>-20260.4</v>
      </c>
      <c r="I55" s="28" t="n">
        <f aca="false">ROUND(H55-D18,0)</f>
        <v>0</v>
      </c>
    </row>
    <row r="56" customFormat="false" ht="15" hidden="false" customHeight="false" outlineLevel="0" collapsed="false">
      <c r="A56" s="79" t="s">
        <v>524</v>
      </c>
      <c r="B56" s="80" t="n">
        <f aca="false">SUM(B52:B55)</f>
        <v>5127404</v>
      </c>
      <c r="C56" s="80" t="n">
        <f aca="false">SUM(C52:C55)</f>
        <v>6366059</v>
      </c>
      <c r="F56" s="80" t="n">
        <f aca="false">SUM(F52:F55)</f>
        <v>-214434.98947</v>
      </c>
      <c r="G56" s="80" t="n">
        <f aca="false">SUM(G52:G55)</f>
        <v>-53031.93753</v>
      </c>
      <c r="H56" s="80" t="n">
        <f aca="false">SUM(H52:H55)</f>
        <v>-267466.927</v>
      </c>
      <c r="I56" s="80" t="n">
        <f aca="false">SUM(I52:I55)</f>
        <v>0</v>
      </c>
    </row>
    <row r="58" customFormat="false" ht="15" hidden="false" customHeight="false" outlineLevel="0" collapsed="false">
      <c r="A58" s="24" t="s">
        <v>525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6"/>
    <col collapsed="false" customWidth="true" hidden="false" outlineLevel="0" max="2" min="2" style="0" width="10"/>
    <col collapsed="false" customWidth="true" hidden="false" outlineLevel="0" max="7" min="3" style="0" width="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526</v>
      </c>
    </row>
    <row r="3" customFormat="false" ht="15" hidden="false" customHeight="false" outlineLevel="0" collapsed="false">
      <c r="A3" s="24" t="s">
        <v>527</v>
      </c>
    </row>
    <row r="5" customFormat="false" ht="15" hidden="false" customHeight="false" outlineLevel="0" collapsed="false">
      <c r="A5" s="0" t="s">
        <v>528</v>
      </c>
      <c r="B5" s="79" t="s">
        <v>529</v>
      </c>
    </row>
    <row r="6" customFormat="false" ht="15" hidden="false" customHeight="false" outlineLevel="0" collapsed="false">
      <c r="A6" s="0" t="s">
        <v>530</v>
      </c>
      <c r="B6" s="81" t="str">
        <f aca="false">Assumptions!$C$12</f>
        <v>Base</v>
      </c>
    </row>
    <row r="8" customFormat="false" ht="23.85" hidden="false" customHeight="false" outlineLevel="0" collapsed="false">
      <c r="A8" s="25" t="s">
        <v>531</v>
      </c>
      <c r="B8" s="26" t="s">
        <v>532</v>
      </c>
      <c r="C8" s="26" t="s">
        <v>533</v>
      </c>
      <c r="D8" s="26" t="s">
        <v>534</v>
      </c>
      <c r="E8" s="26" t="s">
        <v>535</v>
      </c>
      <c r="F8" s="26" t="s">
        <v>536</v>
      </c>
      <c r="G8" s="26" t="s">
        <v>537</v>
      </c>
    </row>
    <row r="9" customFormat="false" ht="15" hidden="false" customHeight="false" outlineLevel="0" collapsed="false">
      <c r="A9" s="0" t="s">
        <v>538</v>
      </c>
      <c r="B9" s="56" t="s">
        <v>6</v>
      </c>
      <c r="C9" s="82" t="n">
        <v>9197434.24316899</v>
      </c>
      <c r="D9" s="82" t="n">
        <v>8568111.17220179</v>
      </c>
      <c r="E9" s="82" t="n">
        <v>9257328.18663977</v>
      </c>
      <c r="F9" s="83" t="n">
        <f aca="false">PL!$C$13</f>
        <v>9197434.24316899</v>
      </c>
      <c r="G9" s="28" t="n">
        <f aca="false">ROUND(F9-INDEX(C9:E9,Assumptions!$C$11),0)</f>
        <v>0</v>
      </c>
    </row>
    <row r="10" customFormat="false" ht="15" hidden="false" customHeight="false" outlineLevel="0" collapsed="false">
      <c r="A10" s="0" t="s">
        <v>539</v>
      </c>
      <c r="B10" s="56" t="s">
        <v>6</v>
      </c>
      <c r="C10" s="82" t="n">
        <v>9703425.52294328</v>
      </c>
      <c r="D10" s="82" t="n">
        <v>7971780.82547763</v>
      </c>
      <c r="E10" s="82" t="n">
        <v>10898085.6245455</v>
      </c>
      <c r="F10" s="83" t="n">
        <f aca="false">PL!$D$13</f>
        <v>9703425.52294328</v>
      </c>
      <c r="G10" s="28" t="n">
        <f aca="false">ROUND(F10-INDEX(C10:E10,Assumptions!$C$11),0)</f>
        <v>0</v>
      </c>
    </row>
    <row r="11" customFormat="false" ht="15" hidden="false" customHeight="false" outlineLevel="0" collapsed="false">
      <c r="A11" s="0" t="s">
        <v>540</v>
      </c>
      <c r="B11" s="56" t="s">
        <v>541</v>
      </c>
      <c r="C11" s="84" t="n">
        <v>0.182729564511449</v>
      </c>
      <c r="D11" s="84" t="n">
        <v>0.16443375531366</v>
      </c>
      <c r="E11" s="84" t="n">
        <v>0.190189714551527</v>
      </c>
      <c r="F11" s="85" t="n">
        <f aca="false">PL!$C$31</f>
        <v>0.182729564511449</v>
      </c>
      <c r="G11" s="86" t="n">
        <f aca="false">ROUND(F11-INDEX(C11:E11,Assumptions!$C$11),4)</f>
        <v>0</v>
      </c>
    </row>
    <row r="12" customFormat="false" ht="15" hidden="false" customHeight="false" outlineLevel="0" collapsed="false">
      <c r="A12" s="0" t="s">
        <v>542</v>
      </c>
      <c r="B12" s="56" t="s">
        <v>541</v>
      </c>
      <c r="C12" s="84" t="n">
        <v>0.134931368306839</v>
      </c>
      <c r="D12" s="84" t="n">
        <v>0.0989269467468489</v>
      </c>
      <c r="E12" s="84" t="n">
        <v>0.147334489081077</v>
      </c>
      <c r="F12" s="85" t="n">
        <f aca="false">PL!$C$28</f>
        <v>0.134931368306839</v>
      </c>
      <c r="G12" s="86" t="n">
        <f aca="false">ROUND(F12-INDEX(C12:E12,Assumptions!$C$11),4)</f>
        <v>0</v>
      </c>
    </row>
    <row r="13" customFormat="false" ht="15" hidden="false" customHeight="false" outlineLevel="0" collapsed="false">
      <c r="A13" s="0" t="s">
        <v>543</v>
      </c>
      <c r="B13" s="56" t="s">
        <v>6</v>
      </c>
      <c r="C13" s="82" t="n">
        <v>424278.315480134</v>
      </c>
      <c r="D13" s="82" t="n">
        <v>163434.019779185</v>
      </c>
      <c r="E13" s="82" t="n">
        <v>511888.111327785</v>
      </c>
      <c r="F13" s="83" t="n">
        <f aca="false">PL!$C$53</f>
        <v>424278.315480134</v>
      </c>
      <c r="G13" s="28" t="n">
        <f aca="false">ROUND(F13-INDEX(C13:E13,Assumptions!$C$11),0)</f>
        <v>0</v>
      </c>
    </row>
    <row r="14" customFormat="false" ht="15" hidden="false" customHeight="false" outlineLevel="0" collapsed="false">
      <c r="A14" s="0" t="s">
        <v>544</v>
      </c>
      <c r="B14" s="56" t="s">
        <v>541</v>
      </c>
      <c r="C14" s="84" t="n">
        <v>0.0461300732642095</v>
      </c>
      <c r="D14" s="84" t="n">
        <v>0.0190746847811017</v>
      </c>
      <c r="E14" s="84" t="n">
        <v>0.0552954482122114</v>
      </c>
      <c r="F14" s="85" t="n">
        <f aca="false">PL!$C$54</f>
        <v>0.0461300732642095</v>
      </c>
      <c r="G14" s="86" t="n">
        <f aca="false">ROUND(F14-INDEX(C14:E14,Assumptions!$C$11),4)</f>
        <v>0</v>
      </c>
    </row>
    <row r="15" customFormat="false" ht="15" hidden="false" customHeight="false" outlineLevel="0" collapsed="false">
      <c r="A15" s="0" t="s">
        <v>545</v>
      </c>
      <c r="B15" s="56" t="s">
        <v>6</v>
      </c>
      <c r="C15" s="82" t="n">
        <v>241159.594491298</v>
      </c>
      <c r="D15" s="82" t="n">
        <v>12920.8357529671</v>
      </c>
      <c r="E15" s="82" t="n">
        <v>317818.165857992</v>
      </c>
      <c r="F15" s="83" t="n">
        <f aca="false">PL!$C$63</f>
        <v>241159.594491298</v>
      </c>
      <c r="G15" s="28" t="n">
        <f aca="false">ROUND(F15-INDEX(C15:E15,Assumptions!$C$11),0)</f>
        <v>0</v>
      </c>
    </row>
    <row r="16" customFormat="false" ht="15" hidden="false" customHeight="false" outlineLevel="0" collapsed="false">
      <c r="A16" s="0" t="s">
        <v>546</v>
      </c>
      <c r="B16" s="56" t="s">
        <v>541</v>
      </c>
      <c r="C16" s="84" t="n">
        <v>0.186168299857649</v>
      </c>
      <c r="D16" s="84" t="n">
        <v>0.15325100064598</v>
      </c>
      <c r="E16" s="84" t="n">
        <v>0.195070120195639</v>
      </c>
      <c r="F16" s="85" t="n">
        <f aca="false">PL!$D$31</f>
        <v>0.186168299857649</v>
      </c>
      <c r="G16" s="86" t="n">
        <f aca="false">ROUND(F16-INDEX(C16:E16,Assumptions!$C$11),4)</f>
        <v>0</v>
      </c>
    </row>
    <row r="17" customFormat="false" ht="15" hidden="false" customHeight="false" outlineLevel="0" collapsed="false">
      <c r="A17" s="0" t="s">
        <v>547</v>
      </c>
      <c r="B17" s="56" t="s">
        <v>6</v>
      </c>
      <c r="C17" s="82" t="n">
        <v>263955.868423479</v>
      </c>
      <c r="D17" s="82" t="n">
        <v>-181433.990542615</v>
      </c>
      <c r="E17" s="82" t="n">
        <v>735043.09924444</v>
      </c>
      <c r="F17" s="83" t="n">
        <f aca="false">PL!$D$53</f>
        <v>263955.868423479</v>
      </c>
      <c r="G17" s="28" t="n">
        <f aca="false">ROUND(F17-INDEX(C17:E17,Assumptions!$C$11),0)</f>
        <v>0</v>
      </c>
    </row>
    <row r="18" customFormat="false" ht="15" hidden="false" customHeight="false" outlineLevel="0" collapsed="false">
      <c r="A18" s="0" t="s">
        <v>548</v>
      </c>
      <c r="B18" s="56" t="s">
        <v>541</v>
      </c>
      <c r="C18" s="84" t="n">
        <v>0.0272023387822546</v>
      </c>
      <c r="D18" s="84" t="n">
        <v>-0.0227595307139851</v>
      </c>
      <c r="E18" s="84" t="n">
        <v>0.0674469924872787</v>
      </c>
      <c r="F18" s="85" t="n">
        <f aca="false">PL!$D$54</f>
        <v>0.0272023387822546</v>
      </c>
      <c r="G18" s="86" t="n">
        <f aca="false">ROUND(F18-INDEX(C18:E18,Assumptions!$C$11),4)</f>
        <v>0</v>
      </c>
    </row>
    <row r="19" customFormat="false" ht="15" hidden="false" customHeight="false" outlineLevel="0" collapsed="false">
      <c r="A19" s="0" t="s">
        <v>549</v>
      </c>
      <c r="B19" s="56" t="s">
        <v>6</v>
      </c>
      <c r="C19" s="82" t="n">
        <v>88245.693703009</v>
      </c>
      <c r="D19" s="82" t="n">
        <v>-344537.637591226</v>
      </c>
      <c r="E19" s="82" t="n">
        <v>500447.02067135</v>
      </c>
      <c r="F19" s="83" t="n">
        <f aca="false">PL!$D$63</f>
        <v>88245.693703009</v>
      </c>
      <c r="G19" s="28" t="n">
        <f aca="false">ROUND(F19-INDEX(C19:E19,Assumptions!$C$11),0)</f>
        <v>0</v>
      </c>
    </row>
    <row r="20" customFormat="false" ht="15" hidden="false" customHeight="false" outlineLevel="0" collapsed="false">
      <c r="A20" s="0" t="s">
        <v>550</v>
      </c>
      <c r="B20" s="56" t="s">
        <v>6</v>
      </c>
      <c r="C20" s="82" t="n">
        <v>632766.877670916</v>
      </c>
      <c r="D20" s="82" t="n">
        <v>40385.2569966995</v>
      </c>
      <c r="E20" s="82" t="n">
        <v>776221.492555316</v>
      </c>
      <c r="F20" s="83" t="n">
        <f aca="false">BS!$C$9</f>
        <v>632766.877670916</v>
      </c>
      <c r="G20" s="28" t="n">
        <f aca="false">ROUND(F20-INDEX(C20:E20,Assumptions!$C$11),0)</f>
        <v>0</v>
      </c>
    </row>
    <row r="21" customFormat="false" ht="15" hidden="false" customHeight="false" outlineLevel="0" collapsed="false">
      <c r="A21" s="0" t="s">
        <v>551</v>
      </c>
      <c r="B21" s="56" t="s">
        <v>6</v>
      </c>
      <c r="C21" s="82" t="n">
        <v>1114521.61690493</v>
      </c>
      <c r="D21" s="82" t="n">
        <v>111554.272939692</v>
      </c>
      <c r="E21" s="82" t="n">
        <v>1633476.72957766</v>
      </c>
      <c r="F21" s="83" t="n">
        <f aca="false">BS!$D$9</f>
        <v>1114521.61690493</v>
      </c>
      <c r="G21" s="28" t="n">
        <f aca="false">ROUND(F21-INDEX(C21:E21,Assumptions!$C$11),0)</f>
        <v>0</v>
      </c>
    </row>
    <row r="22" customFormat="false" ht="15" hidden="false" customHeight="false" outlineLevel="0" collapsed="false">
      <c r="A22" s="0" t="s">
        <v>552</v>
      </c>
      <c r="B22" s="56" t="s">
        <v>6</v>
      </c>
      <c r="C22" s="82" t="n">
        <v>418470.368426663</v>
      </c>
      <c r="D22" s="82" t="n">
        <v>-26677.3565274915</v>
      </c>
      <c r="E22" s="82" t="n">
        <v>543229.338821755</v>
      </c>
      <c r="F22" s="83" t="n">
        <f aca="false">MIN(BS!M9:AB9)</f>
        <v>418470.368426663</v>
      </c>
      <c r="G22" s="28" t="n">
        <f aca="false">ROUND(F22-INDEX(C22:E22,Assumptions!$C$11),0)</f>
        <v>0</v>
      </c>
    </row>
    <row r="23" customFormat="false" ht="15" hidden="false" customHeight="false" outlineLevel="0" collapsed="false">
      <c r="A23" s="0" t="s">
        <v>553</v>
      </c>
      <c r="B23" s="56" t="s">
        <v>554</v>
      </c>
      <c r="C23" s="87" t="n">
        <v>46326</v>
      </c>
      <c r="D23" s="87" t="n">
        <v>46356</v>
      </c>
      <c r="E23" s="87" t="n">
        <v>46326</v>
      </c>
      <c r="F23" s="88" t="n">
        <f aca="false">INDEX(Assumptions!M$95:AB$95,MATCH(F22,BS!M9:AB9,0))</f>
        <v>46326</v>
      </c>
      <c r="G23" s="28" t="n">
        <f aca="false">IF(F23=INDEX(C23:E23,Assumptions!$C$11),0,1)</f>
        <v>0</v>
      </c>
    </row>
    <row r="24" customFormat="false" ht="15" hidden="false" customHeight="false" outlineLevel="0" collapsed="false">
      <c r="A24" s="0" t="s">
        <v>555</v>
      </c>
      <c r="B24" s="56" t="s">
        <v>6</v>
      </c>
      <c r="C24" s="82" t="n">
        <v>218470.368426663</v>
      </c>
      <c r="D24" s="82" t="n">
        <v>-226677.356527491</v>
      </c>
      <c r="E24" s="82" t="n">
        <v>343229.338821755</v>
      </c>
      <c r="F24" s="83" t="n">
        <f aca="false">F22-Assumptions!$C$13</f>
        <v>218470.368426663</v>
      </c>
      <c r="G24" s="28" t="n">
        <f aca="false">ROUND(F24-INDEX(C24:E24,Assumptions!$C$11),0)</f>
        <v>0</v>
      </c>
    </row>
    <row r="25" customFormat="false" ht="15" hidden="false" customHeight="false" outlineLevel="0" collapsed="false">
      <c r="A25" s="0" t="s">
        <v>556</v>
      </c>
      <c r="B25" s="56" t="s">
        <v>6</v>
      </c>
      <c r="C25" s="82" t="n">
        <v>2859805.72827531</v>
      </c>
      <c r="D25" s="82" t="n">
        <v>3295961.33412057</v>
      </c>
      <c r="E25" s="82" t="n">
        <v>2873087.93718885</v>
      </c>
      <c r="F25" s="83" t="n">
        <f aca="false">Pipeline!$C$11</f>
        <v>2859805.72827531</v>
      </c>
      <c r="G25" s="28" t="n">
        <f aca="false">ROUND(F25-INDEX(C25:E25,Assumptions!$C$11),0)</f>
        <v>0</v>
      </c>
    </row>
    <row r="26" customFormat="false" ht="15" hidden="false" customHeight="false" outlineLevel="0" collapsed="false">
      <c r="A26" s="0" t="s">
        <v>557</v>
      </c>
      <c r="B26" s="56" t="s">
        <v>6</v>
      </c>
      <c r="C26" s="82" t="n">
        <v>3106562.5</v>
      </c>
      <c r="D26" s="82" t="n">
        <v>2022000</v>
      </c>
      <c r="E26" s="82" t="n">
        <v>4081937.5</v>
      </c>
      <c r="F26" s="83" t="n">
        <f aca="false">Pipeline!$C$12</f>
        <v>3106562.5</v>
      </c>
      <c r="G26" s="28" t="n">
        <f aca="false">ROUND(F26-INDEX(C26:E26,Assumptions!$C$11),0)</f>
        <v>0</v>
      </c>
    </row>
    <row r="27" customFormat="false" ht="15" hidden="false" customHeight="false" outlineLevel="0" collapsed="false">
      <c r="A27" s="0" t="s">
        <v>558</v>
      </c>
      <c r="B27" s="56" t="s">
        <v>6</v>
      </c>
      <c r="C27" s="82" t="n">
        <v>970968.420225584</v>
      </c>
      <c r="D27" s="82" t="n">
        <v>1267652.02698765</v>
      </c>
      <c r="E27" s="82" t="n">
        <v>915330.709594224</v>
      </c>
      <c r="F27" s="83" t="n">
        <f aca="false">BS!$C$45</f>
        <v>970968.420225584</v>
      </c>
      <c r="G27" s="28" t="n">
        <f aca="false">ROUND(F27-INDEX(C27:E27,Assumptions!$C$11),0)</f>
        <v>0</v>
      </c>
    </row>
    <row r="28" customFormat="false" ht="15" hidden="false" customHeight="false" outlineLevel="0" collapsed="false">
      <c r="A28" s="0" t="s">
        <v>218</v>
      </c>
      <c r="B28" s="56" t="s">
        <v>541</v>
      </c>
      <c r="C28" s="84" t="n">
        <v>0.882666666666667</v>
      </c>
      <c r="D28" s="84" t="n">
        <v>0.830666666666667</v>
      </c>
      <c r="E28" s="84" t="n">
        <v>0.8896</v>
      </c>
      <c r="F28" s="85" t="n">
        <f aca="false">MAX(Debt!$E$28:$AB$28)</f>
        <v>0.882666666666667</v>
      </c>
      <c r="G28" s="86" t="n">
        <f aca="false">ROUND(F28-INDEX(C28:E28,Assumptions!$C$11),4)</f>
        <v>0</v>
      </c>
    </row>
    <row r="29" customFormat="false" ht="15" hidden="false" customHeight="false" outlineLevel="0" collapsed="false">
      <c r="A29" s="0" t="s">
        <v>559</v>
      </c>
      <c r="B29" s="56" t="s">
        <v>541</v>
      </c>
      <c r="C29" s="84" t="n">
        <v>0.805544667662094</v>
      </c>
      <c r="D29" s="84" t="n">
        <v>0.792491043891814</v>
      </c>
      <c r="E29" s="84" t="n">
        <v>0.878055970809666</v>
      </c>
      <c r="F29" s="85" t="n">
        <f aca="false">Resources!$D$33</f>
        <v>0.805544667662094</v>
      </c>
      <c r="G29" s="86" t="n">
        <f aca="false">ROUND(F29-INDEX(C29:E29,Assumptions!$C$11),4)</f>
        <v>0</v>
      </c>
    </row>
    <row r="30" customFormat="false" ht="15" hidden="false" customHeight="false" outlineLevel="0" collapsed="false">
      <c r="A30" s="0" t="s">
        <v>560</v>
      </c>
      <c r="B30" s="56" t="s">
        <v>6</v>
      </c>
      <c r="C30" s="82" t="n">
        <v>-80877.7559781917</v>
      </c>
      <c r="D30" s="82" t="n">
        <v>-96783.6229774951</v>
      </c>
      <c r="E30" s="82" t="n">
        <v>71610.2345619907</v>
      </c>
      <c r="F30" s="83" t="n">
        <f aca="false">PL!$D$33</f>
        <v>-80877.7559781917</v>
      </c>
      <c r="G30" s="28" t="n">
        <f aca="false">ROUND(F30-INDEX(C30:E30,Assumptions!$C$11),0)</f>
        <v>0</v>
      </c>
    </row>
    <row r="31" customFormat="false" ht="15" hidden="false" customHeight="false" outlineLevel="0" collapsed="false">
      <c r="A31" s="0" t="s">
        <v>561</v>
      </c>
      <c r="B31" s="56" t="s">
        <v>6</v>
      </c>
      <c r="C31" s="82" t="n">
        <v>109460</v>
      </c>
      <c r="D31" s="82" t="n">
        <v>58940</v>
      </c>
      <c r="E31" s="82" t="n">
        <v>143140</v>
      </c>
      <c r="F31" s="83" t="n">
        <f aca="false">Variations!G32</f>
        <v>109460</v>
      </c>
      <c r="G31" s="28" t="n">
        <f aca="false">ROUND(F31-INDEX(C31:E31,Assumptions!$C$11),0)</f>
        <v>0</v>
      </c>
    </row>
    <row r="33" customFormat="false" ht="15" hidden="false" customHeight="false" outlineLevel="0" collapsed="false">
      <c r="A33" s="5" t="s">
        <v>562</v>
      </c>
      <c r="G33" s="79" t="n">
        <f aca="false">SUMPRODUCT(ABS(G9:G32))</f>
        <v>0</v>
      </c>
    </row>
    <row r="35" customFormat="false" ht="15" hidden="false" customHeight="false" outlineLevel="0" collapsed="false">
      <c r="A35" s="21" t="s">
        <v>563</v>
      </c>
      <c r="B35" s="22"/>
      <c r="C35" s="22"/>
      <c r="D35" s="22"/>
      <c r="E35" s="22"/>
      <c r="F35" s="22"/>
      <c r="G35" s="22"/>
    </row>
    <row r="36" customFormat="false" ht="15" hidden="false" customHeight="false" outlineLevel="0" collapsed="false">
      <c r="A36" s="0" t="str">
        <f aca="false">Assumptions!A111</f>
        <v>Retrofit homes started: growth vs deseasonalised run-rate (annualised)</v>
      </c>
      <c r="B36" s="56" t="n">
        <f aca="false">Assumptions!B111</f>
        <v>0</v>
      </c>
      <c r="C36" s="61" t="n">
        <f aca="false">Assumptions!C111</f>
        <v>0.2</v>
      </c>
      <c r="D36" s="61" t="n">
        <f aca="false">Assumptions!D111</f>
        <v>-0.1</v>
      </c>
      <c r="E36" s="61" t="n">
        <f aca="false">Assumptions!E111</f>
        <v>0.35</v>
      </c>
      <c r="F36" s="85" t="n">
        <f aca="false">Assumptions!F111</f>
        <v>0.2</v>
      </c>
    </row>
    <row r="37" customFormat="false" ht="15" hidden="false" customHeight="false" outlineLevel="0" collapsed="false">
      <c r="A37" s="0" t="str">
        <f aca="false">Assumptions!A112</f>
        <v>Renovation jobs started: growth vs run-rate (annualised)</v>
      </c>
      <c r="B37" s="56" t="n">
        <f aca="false">Assumptions!B112</f>
        <v>0</v>
      </c>
      <c r="C37" s="61" t="n">
        <f aca="false">Assumptions!C112</f>
        <v>0.05</v>
      </c>
      <c r="D37" s="61" t="n">
        <f aca="false">Assumptions!D112</f>
        <v>-0.15</v>
      </c>
      <c r="E37" s="61" t="n">
        <f aca="false">Assumptions!E112</f>
        <v>0.12</v>
      </c>
      <c r="F37" s="85" t="n">
        <f aca="false">Assumptions!F112</f>
        <v>0.05</v>
      </c>
    </row>
    <row r="38" customFormat="false" ht="15" hidden="false" customHeight="false" outlineLevel="0" collapsed="false">
      <c r="A38" s="0" t="str">
        <f aca="false">Assumptions!A113</f>
        <v>Retrofit average contract value change (annualised)</v>
      </c>
      <c r="B38" s="56" t="n">
        <f aca="false">Assumptions!B113</f>
        <v>0</v>
      </c>
      <c r="C38" s="61" t="n">
        <f aca="false">Assumptions!C113</f>
        <v>0.03</v>
      </c>
      <c r="D38" s="61" t="n">
        <f aca="false">Assumptions!D113</f>
        <v>0</v>
      </c>
      <c r="E38" s="61" t="n">
        <f aca="false">Assumptions!E113</f>
        <v>0.04</v>
      </c>
      <c r="F38" s="85" t="n">
        <f aca="false">Assumptions!F113</f>
        <v>0.03</v>
      </c>
    </row>
    <row r="39" customFormat="false" ht="15" hidden="false" customHeight="false" outlineLevel="0" collapsed="false">
      <c r="A39" s="0" t="str">
        <f aca="false">Assumptions!A114</f>
        <v>Renovation average contract value change (annualised)</v>
      </c>
      <c r="B39" s="56" t="n">
        <f aca="false">Assumptions!B114</f>
        <v>0</v>
      </c>
      <c r="C39" s="61" t="n">
        <f aca="false">Assumptions!C114</f>
        <v>0.03</v>
      </c>
      <c r="D39" s="61" t="n">
        <f aca="false">Assumptions!D114</f>
        <v>0</v>
      </c>
      <c r="E39" s="61" t="n">
        <f aca="false">Assumptions!E114</f>
        <v>0.04</v>
      </c>
      <c r="F39" s="85" t="n">
        <f aca="false">Assumptions!F114</f>
        <v>0.03</v>
      </c>
    </row>
    <row r="40" customFormat="false" ht="15" hidden="false" customHeight="false" outlineLevel="0" collapsed="false">
      <c r="A40" s="0" t="str">
        <f aca="false">Assumptions!A115</f>
        <v>Retrofit gross margin on new and in-flight work</v>
      </c>
      <c r="B40" s="56" t="n">
        <f aca="false">Assumptions!B115</f>
        <v>0</v>
      </c>
      <c r="C40" s="61" t="n">
        <f aca="false">Assumptions!C115</f>
        <v>0.235</v>
      </c>
      <c r="D40" s="61" t="n">
        <f aca="false">Assumptions!D115</f>
        <v>0.205</v>
      </c>
      <c r="E40" s="61" t="n">
        <f aca="false">Assumptions!E115</f>
        <v>0.245</v>
      </c>
      <c r="F40" s="85" t="n">
        <f aca="false">Assumptions!F115</f>
        <v>0.235</v>
      </c>
    </row>
    <row r="41" customFormat="false" ht="15" hidden="false" customHeight="false" outlineLevel="0" collapsed="false">
      <c r="A41" s="0" t="str">
        <f aca="false">Assumptions!A116</f>
        <v>Renovation gross margin on new and in-flight work</v>
      </c>
      <c r="B41" s="56" t="n">
        <f aca="false">Assumptions!B116</f>
        <v>0</v>
      </c>
      <c r="C41" s="61" t="n">
        <f aca="false">Assumptions!C116</f>
        <v>0.24</v>
      </c>
      <c r="D41" s="61" t="n">
        <f aca="false">Assumptions!D116</f>
        <v>0.21</v>
      </c>
      <c r="E41" s="61" t="n">
        <f aca="false">Assumptions!E116</f>
        <v>0.255</v>
      </c>
      <c r="F41" s="85" t="n">
        <f aca="false">Assumptions!F116</f>
        <v>0.24</v>
      </c>
    </row>
    <row r="42" customFormat="false" ht="15" hidden="false" customHeight="false" outlineLevel="0" collapsed="false">
      <c r="A42" s="0" t="str">
        <f aca="false">Assumptions!A117</f>
        <v>Start delay: contracted and pipeline projects</v>
      </c>
      <c r="B42" s="56" t="str">
        <f aca="false">Assumptions!B117</f>
        <v>months</v>
      </c>
      <c r="C42" s="66" t="n">
        <f aca="false">Assumptions!C117</f>
        <v>0</v>
      </c>
      <c r="D42" s="66" t="n">
        <f aca="false">Assumptions!D117</f>
        <v>2</v>
      </c>
      <c r="E42" s="66" t="n">
        <f aca="false">Assumptions!E117</f>
        <v>0</v>
      </c>
      <c r="F42" s="89" t="n">
        <f aca="false">Assumptions!F117</f>
        <v>0</v>
      </c>
    </row>
    <row r="43" customFormat="false" ht="15" hidden="false" customHeight="false" outlineLevel="0" collapsed="false">
      <c r="A43" s="0" t="str">
        <f aca="false">Assumptions!A118</f>
        <v>Completion delay: projects in progress</v>
      </c>
      <c r="B43" s="56" t="str">
        <f aca="false">Assumptions!B118</f>
        <v>months</v>
      </c>
      <c r="C43" s="66" t="n">
        <f aca="false">Assumptions!C118</f>
        <v>0</v>
      </c>
      <c r="D43" s="66" t="n">
        <f aca="false">Assumptions!D118</f>
        <v>1</v>
      </c>
      <c r="E43" s="66" t="n">
        <f aca="false">Assumptions!E118</f>
        <v>0</v>
      </c>
      <c r="F43" s="89" t="n">
        <f aca="false">Assumptions!F118</f>
        <v>0</v>
      </c>
    </row>
    <row r="44" customFormat="false" ht="15" hidden="false" customHeight="false" outlineLevel="0" collapsed="false">
      <c r="A44" s="0" t="str">
        <f aca="false">Assumptions!A119</f>
        <v>Cost overrun on cost to complete, projects in progress</v>
      </c>
      <c r="B44" s="56" t="n">
        <f aca="false">Assumptions!B119</f>
        <v>0</v>
      </c>
      <c r="C44" s="61" t="n">
        <f aca="false">Assumptions!C119</f>
        <v>0</v>
      </c>
      <c r="D44" s="61" t="n">
        <f aca="false">Assumptions!D119</f>
        <v>0.05</v>
      </c>
      <c r="E44" s="61" t="n">
        <f aca="false">Assumptions!E119</f>
        <v>-0.01</v>
      </c>
      <c r="F44" s="85" t="n">
        <f aca="false">Assumptions!F119</f>
        <v>0</v>
      </c>
    </row>
    <row r="45" customFormat="false" ht="15" hidden="false" customHeight="false" outlineLevel="0" collapsed="false">
      <c r="A45" s="0" t="str">
        <f aca="false">Assumptions!A120</f>
        <v>Cost overrun on tender budgets, projects not yet started</v>
      </c>
      <c r="B45" s="56" t="n">
        <f aca="false">Assumptions!B120</f>
        <v>0</v>
      </c>
      <c r="C45" s="61" t="n">
        <f aca="false">Assumptions!C120</f>
        <v>0</v>
      </c>
      <c r="D45" s="61" t="n">
        <f aca="false">Assumptions!D120</f>
        <v>0.04</v>
      </c>
      <c r="E45" s="61" t="n">
        <f aca="false">Assumptions!E120</f>
        <v>-0.01</v>
      </c>
      <c r="F45" s="85" t="n">
        <f aca="false">Assumptions!F120</f>
        <v>0</v>
      </c>
    </row>
    <row r="46" customFormat="false" ht="15" hidden="false" customHeight="false" outlineLevel="0" collapsed="false">
      <c r="A46" s="0" t="str">
        <f aca="false">Assumptions!A121</f>
        <v>Pending variations: final agreed value as share of claimed</v>
      </c>
      <c r="B46" s="56" t="n">
        <f aca="false">Assumptions!B121</f>
        <v>0</v>
      </c>
      <c r="C46" s="61" t="n">
        <f aca="false">Assumptions!C121</f>
        <v>0.65</v>
      </c>
      <c r="D46" s="61" t="n">
        <f aca="false">Assumptions!D121</f>
        <v>0.35</v>
      </c>
      <c r="E46" s="61" t="n">
        <f aca="false">Assumptions!E121</f>
        <v>0.85</v>
      </c>
      <c r="F46" s="85" t="n">
        <f aca="false">Assumptions!F121</f>
        <v>0.65</v>
      </c>
    </row>
    <row r="47" customFormat="false" ht="15" hidden="false" customHeight="false" outlineLevel="0" collapsed="false">
      <c r="A47" s="0" t="str">
        <f aca="false">Assumptions!A122</f>
        <v>Commercial and council clients: extra payment days</v>
      </c>
      <c r="B47" s="56" t="str">
        <f aca="false">Assumptions!B122</f>
        <v>days</v>
      </c>
      <c r="C47" s="66" t="n">
        <f aca="false">Assumptions!C122</f>
        <v>0</v>
      </c>
      <c r="D47" s="66" t="n">
        <f aca="false">Assumptions!D122</f>
        <v>15</v>
      </c>
      <c r="E47" s="66" t="n">
        <f aca="false">Assumptions!E122</f>
        <v>0</v>
      </c>
      <c r="F47" s="89" t="n">
        <f aca="false">Assumptions!F122</f>
        <v>0</v>
      </c>
    </row>
    <row r="48" customFormat="false" ht="15" hidden="false" customHeight="false" outlineLevel="0" collapsed="false">
      <c r="A48" s="0" t="str">
        <f aca="false">Assumptions!A123</f>
        <v>SEAI grant claims: days to payment</v>
      </c>
      <c r="B48" s="56" t="str">
        <f aca="false">Assumptions!B123</f>
        <v>days</v>
      </c>
      <c r="C48" s="66" t="n">
        <f aca="false">Assumptions!C123</f>
        <v>60</v>
      </c>
      <c r="D48" s="66" t="n">
        <f aca="false">Assumptions!D123</f>
        <v>90</v>
      </c>
      <c r="E48" s="66" t="n">
        <f aca="false">Assumptions!E123</f>
        <v>45</v>
      </c>
      <c r="F48" s="89" t="n">
        <f aca="false">Assumptions!F123</f>
        <v>60</v>
      </c>
    </row>
    <row r="49" customFormat="false" ht="15" hidden="false" customHeight="false" outlineLevel="0" collapsed="false">
      <c r="A49" s="0" t="str">
        <f aca="false">Assumptions!A124</f>
        <v>Homeowners: days to payment</v>
      </c>
      <c r="B49" s="56" t="str">
        <f aca="false">Assumptions!B124</f>
        <v>days</v>
      </c>
      <c r="C49" s="66" t="n">
        <f aca="false">Assumptions!C124</f>
        <v>10</v>
      </c>
      <c r="D49" s="66" t="n">
        <f aca="false">Assumptions!D124</f>
        <v>20</v>
      </c>
      <c r="E49" s="66" t="n">
        <f aca="false">Assumptions!E124</f>
        <v>7</v>
      </c>
      <c r="F49" s="89" t="n">
        <f aca="false">Assumptions!F124</f>
        <v>10</v>
      </c>
    </row>
    <row r="50" customFormat="false" ht="15" hidden="false" customHeight="false" outlineLevel="0" collapsed="false">
      <c r="A50" s="0" t="str">
        <f aca="false">Assumptions!A125</f>
        <v>Site hiring plan (1 = as planned, 0 = freeze)</v>
      </c>
      <c r="B50" s="56" t="str">
        <f aca="false">Assumptions!B125</f>
        <v>flag</v>
      </c>
      <c r="C50" s="66" t="n">
        <f aca="false">Assumptions!C125</f>
        <v>1</v>
      </c>
      <c r="D50" s="66" t="n">
        <f aca="false">Assumptions!D125</f>
        <v>0</v>
      </c>
      <c r="E50" s="66" t="n">
        <f aca="false">Assumptions!E125</f>
        <v>1</v>
      </c>
      <c r="F50" s="89" t="n">
        <f aca="false">Assumptions!F125</f>
        <v>1</v>
      </c>
    </row>
    <row r="51" customFormat="false" ht="15" hidden="false" customHeight="false" outlineLevel="0" collapsed="false">
      <c r="A51" s="0" t="str">
        <f aca="false">Assumptions!A126</f>
        <v>Office hiring plan (1 = as planned, 0 = freeze)</v>
      </c>
      <c r="B51" s="56" t="str">
        <f aca="false">Assumptions!B126</f>
        <v>flag</v>
      </c>
      <c r="C51" s="66" t="n">
        <f aca="false">Assumptions!C126</f>
        <v>1</v>
      </c>
      <c r="D51" s="66" t="n">
        <f aca="false">Assumptions!D126</f>
        <v>0</v>
      </c>
      <c r="E51" s="66" t="n">
        <f aca="false">Assumptions!E126</f>
        <v>1</v>
      </c>
      <c r="F51" s="89" t="n">
        <f aca="false">Assumptions!F126</f>
        <v>1</v>
      </c>
    </row>
    <row r="52" customFormat="false" ht="15" hidden="false" customHeight="false" outlineLevel="0" collapsed="false">
      <c r="A52" s="0" t="str">
        <f aca="false">Assumptions!A127</f>
        <v>Discretionary overheads factor (marketing, training, motor)</v>
      </c>
      <c r="B52" s="56" t="str">
        <f aca="false">Assumptions!B127</f>
        <v>x</v>
      </c>
      <c r="C52" s="90" t="n">
        <f aca="false">Assumptions!C127</f>
        <v>1</v>
      </c>
      <c r="D52" s="90" t="n">
        <f aca="false">Assumptions!D127</f>
        <v>0.9</v>
      </c>
      <c r="E52" s="90" t="n">
        <f aca="false">Assumptions!E127</f>
        <v>1</v>
      </c>
      <c r="F52" s="91" t="n">
        <f aca="false">Assumptions!F127</f>
        <v>1</v>
      </c>
    </row>
    <row r="53" customFormat="false" ht="15" hidden="false" customHeight="false" outlineLevel="0" collapsed="false">
      <c r="A53" s="0" t="str">
        <f aca="false">Assumptions!A128</f>
        <v>Disputed retention CF-2311: share recovered</v>
      </c>
      <c r="B53" s="56" t="n">
        <f aca="false">Assumptions!B128</f>
        <v>0</v>
      </c>
      <c r="C53" s="61" t="n">
        <f aca="false">Assumptions!C128</f>
        <v>0.75</v>
      </c>
      <c r="D53" s="61" t="n">
        <f aca="false">Assumptions!D128</f>
        <v>0.5</v>
      </c>
      <c r="E53" s="61" t="n">
        <f aca="false">Assumptions!E128</f>
        <v>0.9</v>
      </c>
      <c r="F53" s="85" t="n">
        <f aca="false">Assumptions!F128</f>
        <v>0.75</v>
      </c>
    </row>
    <row r="54" customFormat="false" ht="15" hidden="false" customHeight="false" outlineLevel="0" collapsed="false">
      <c r="A54" s="0" t="str">
        <f aca="false">Assumptions!A129</f>
        <v>Disputed retention CF-2311: month of settlement</v>
      </c>
      <c r="B54" s="56" t="str">
        <f aca="false">Assumptions!B129</f>
        <v>month</v>
      </c>
      <c r="C54" s="92" t="n">
        <f aca="false">Assumptions!C129</f>
        <v>46356</v>
      </c>
      <c r="D54" s="92" t="n">
        <f aca="false">Assumptions!D129</f>
        <v>46446</v>
      </c>
      <c r="E54" s="92" t="n">
        <f aca="false">Assumptions!E129</f>
        <v>46326</v>
      </c>
      <c r="F54" s="88" t="n">
        <f aca="false">Assumptions!F129</f>
        <v>46356</v>
      </c>
    </row>
    <row r="56" customFormat="false" ht="15" hidden="false" customHeight="false" outlineLevel="0" collapsed="false">
      <c r="A56" s="24" t="s">
        <v>564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86"/>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8.6796875" defaultRowHeight="15" zeroHeight="false" outlineLevelRow="1" outlineLevelCol="0"/>
  <cols>
    <col collapsed="false" customWidth="true" hidden="false" outlineLevel="0" max="1" min="1" style="0" width="66"/>
    <col collapsed="false" customWidth="true" hidden="false" outlineLevel="0" max="2" min="2" style="0" width="18"/>
    <col collapsed="false" customWidth="true" hidden="false" outlineLevel="0" max="7" min="3" style="0" width="13"/>
    <col collapsed="false" customWidth="true" hidden="false" outlineLevel="0" max="23" min="8" style="0" width="12"/>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565</v>
      </c>
    </row>
    <row r="3" customFormat="false" ht="15" hidden="false" customHeight="false" outlineLevel="0" collapsed="false">
      <c r="A3" s="24" t="s">
        <v>566</v>
      </c>
    </row>
    <row r="5" customFormat="false" ht="54" hidden="false" customHeight="true" outlineLevel="0" collapsed="false">
      <c r="A5" s="25" t="s">
        <v>292</v>
      </c>
      <c r="B5" s="26" t="s">
        <v>567</v>
      </c>
      <c r="C5" s="26" t="s">
        <v>568</v>
      </c>
      <c r="D5" s="26" t="s">
        <v>569</v>
      </c>
      <c r="E5" s="26" t="s">
        <v>570</v>
      </c>
      <c r="F5" s="26" t="s">
        <v>571</v>
      </c>
      <c r="G5" s="26" t="s">
        <v>572</v>
      </c>
      <c r="H5" s="26" t="s">
        <v>573</v>
      </c>
      <c r="I5" s="26" t="s">
        <v>574</v>
      </c>
      <c r="J5" s="26" t="s">
        <v>575</v>
      </c>
      <c r="K5" s="26" t="s">
        <v>576</v>
      </c>
      <c r="L5" s="26" t="s">
        <v>577</v>
      </c>
      <c r="M5" s="26" t="s">
        <v>578</v>
      </c>
      <c r="N5" s="26" t="s">
        <v>579</v>
      </c>
      <c r="O5" s="26" t="s">
        <v>580</v>
      </c>
      <c r="P5" s="26" t="s">
        <v>581</v>
      </c>
      <c r="Q5" s="26" t="s">
        <v>582</v>
      </c>
      <c r="R5" s="26" t="s">
        <v>583</v>
      </c>
      <c r="S5" s="26" t="s">
        <v>584</v>
      </c>
      <c r="T5" s="26" t="s">
        <v>585</v>
      </c>
      <c r="U5" s="26" t="s">
        <v>586</v>
      </c>
      <c r="V5" s="26" t="s">
        <v>587</v>
      </c>
      <c r="W5" s="26" t="s">
        <v>588</v>
      </c>
    </row>
    <row r="6" customFormat="false" ht="15" hidden="false" customHeight="false" outlineLevel="0" collapsed="false">
      <c r="A6" s="0" t="s">
        <v>589</v>
      </c>
      <c r="H6" s="93" t="n">
        <v>46283</v>
      </c>
      <c r="I6" s="94" t="n">
        <f aca="false">H6+7</f>
        <v>46290</v>
      </c>
      <c r="J6" s="94" t="n">
        <f aca="false">I6+7</f>
        <v>46297</v>
      </c>
      <c r="K6" s="94" t="n">
        <f aca="false">J6+7</f>
        <v>46304</v>
      </c>
      <c r="L6" s="94" t="n">
        <f aca="false">K6+7</f>
        <v>46311</v>
      </c>
      <c r="M6" s="94" t="n">
        <f aca="false">L6+7</f>
        <v>46318</v>
      </c>
      <c r="N6" s="94" t="n">
        <f aca="false">M6+7</f>
        <v>46325</v>
      </c>
      <c r="O6" s="94" t="n">
        <f aca="false">N6+7</f>
        <v>46332</v>
      </c>
      <c r="P6" s="94" t="n">
        <f aca="false">O6+7</f>
        <v>46339</v>
      </c>
      <c r="Q6" s="94" t="n">
        <f aca="false">P6+7</f>
        <v>46346</v>
      </c>
      <c r="R6" s="94" t="n">
        <f aca="false">Q6+7</f>
        <v>46353</v>
      </c>
      <c r="S6" s="94" t="n">
        <f aca="false">R6+7</f>
        <v>46360</v>
      </c>
      <c r="T6" s="94" t="n">
        <f aca="false">S6+7</f>
        <v>46367</v>
      </c>
    </row>
    <row r="7" customFormat="false" ht="15" hidden="false" customHeight="false" outlineLevel="0" collapsed="false">
      <c r="A7" s="0" t="s">
        <v>590</v>
      </c>
      <c r="B7" s="56" t="s">
        <v>591</v>
      </c>
      <c r="C7" s="95" t="n">
        <v>46276</v>
      </c>
      <c r="H7" s="95" t="n">
        <f aca="false">H6-6</f>
        <v>46277</v>
      </c>
      <c r="I7" s="95" t="n">
        <f aca="false">I6-6</f>
        <v>46284</v>
      </c>
      <c r="J7" s="95" t="n">
        <f aca="false">J6-6</f>
        <v>46291</v>
      </c>
      <c r="K7" s="95" t="n">
        <f aca="false">K6-6</f>
        <v>46298</v>
      </c>
      <c r="L7" s="95" t="n">
        <f aca="false">L6-6</f>
        <v>46305</v>
      </c>
      <c r="M7" s="95" t="n">
        <f aca="false">M6-6</f>
        <v>46312</v>
      </c>
      <c r="N7" s="95" t="n">
        <f aca="false">N6-6</f>
        <v>46319</v>
      </c>
      <c r="O7" s="95" t="n">
        <f aca="false">O6-6</f>
        <v>46326</v>
      </c>
      <c r="P7" s="95" t="n">
        <f aca="false">P6-6</f>
        <v>46333</v>
      </c>
      <c r="Q7" s="95" t="n">
        <f aca="false">Q6-6</f>
        <v>46340</v>
      </c>
      <c r="R7" s="95" t="n">
        <f aca="false">R6-6</f>
        <v>46347</v>
      </c>
      <c r="S7" s="95" t="n">
        <f aca="false">S6-6</f>
        <v>46354</v>
      </c>
      <c r="T7" s="95" t="n">
        <f aca="false">T6-6</f>
        <v>46361</v>
      </c>
    </row>
    <row r="8" customFormat="false" ht="15" hidden="false" customHeight="false" outlineLevel="0" collapsed="false">
      <c r="A8" s="0" t="s">
        <v>592</v>
      </c>
      <c r="H8" s="96" t="n">
        <f aca="false">EOMONTH(H6,0)</f>
        <v>46295</v>
      </c>
      <c r="I8" s="96" t="n">
        <f aca="false">EOMONTH(I6,0)</f>
        <v>46295</v>
      </c>
      <c r="J8" s="96" t="n">
        <f aca="false">EOMONTH(J6,0)</f>
        <v>46326</v>
      </c>
      <c r="K8" s="96" t="n">
        <f aca="false">EOMONTH(K6,0)</f>
        <v>46326</v>
      </c>
      <c r="L8" s="96" t="n">
        <f aca="false">EOMONTH(L6,0)</f>
        <v>46326</v>
      </c>
      <c r="M8" s="96" t="n">
        <f aca="false">EOMONTH(M6,0)</f>
        <v>46326</v>
      </c>
      <c r="N8" s="96" t="n">
        <f aca="false">EOMONTH(N6,0)</f>
        <v>46326</v>
      </c>
      <c r="O8" s="96" t="n">
        <f aca="false">EOMONTH(O6,0)</f>
        <v>46356</v>
      </c>
      <c r="P8" s="96" t="n">
        <f aca="false">EOMONTH(P6,0)</f>
        <v>46356</v>
      </c>
      <c r="Q8" s="96" t="n">
        <f aca="false">EOMONTH(Q6,0)</f>
        <v>46356</v>
      </c>
      <c r="R8" s="96" t="n">
        <f aca="false">EOMONTH(R6,0)</f>
        <v>46356</v>
      </c>
      <c r="S8" s="96" t="n">
        <f aca="false">EOMONTH(S6,0)</f>
        <v>46387</v>
      </c>
      <c r="T8" s="96" t="n">
        <f aca="false">EOMONTH(T6,0)</f>
        <v>46387</v>
      </c>
    </row>
    <row r="10" customFormat="false" ht="15" hidden="false" customHeight="false" outlineLevel="0" collapsed="false">
      <c r="A10" s="21" t="s">
        <v>593</v>
      </c>
      <c r="B10" s="22"/>
      <c r="C10" s="22"/>
      <c r="D10" s="22"/>
      <c r="E10" s="22"/>
      <c r="F10" s="22"/>
      <c r="G10" s="22"/>
      <c r="H10" s="22"/>
      <c r="I10" s="22"/>
      <c r="J10" s="22"/>
      <c r="K10" s="22"/>
      <c r="L10" s="22"/>
      <c r="M10" s="22"/>
      <c r="N10" s="22"/>
      <c r="O10" s="22"/>
      <c r="P10" s="22"/>
      <c r="Q10" s="22"/>
      <c r="R10" s="22"/>
      <c r="S10" s="22"/>
      <c r="T10" s="22"/>
      <c r="U10" s="22"/>
      <c r="V10" s="22"/>
      <c r="W10" s="22"/>
    </row>
    <row r="11" customFormat="false" ht="15" hidden="false" customHeight="false" outlineLevel="1" collapsed="false">
      <c r="A11" s="13" t="s">
        <v>594</v>
      </c>
      <c r="H11" s="97" t="n">
        <f aca="false">MAX(0,MIN(H$6,Assumptions!M$95)-MAX(H$7,DATE(2026,9,1),$C$7+1)+1)/(Assumptions!M$95-$C$7)</f>
        <v>0.368421052631579</v>
      </c>
      <c r="I11" s="97" t="n">
        <f aca="false">MAX(0,MIN(I$6,Assumptions!M$95)-MAX(I$7,DATE(2026,9,1),$C$7+1)+1)/(Assumptions!M$95-$C$7)</f>
        <v>0.368421052631579</v>
      </c>
      <c r="J11" s="97" t="n">
        <f aca="false">MAX(0,MIN(J$6,Assumptions!M$95)-MAX(J$7,DATE(2026,9,1),$C$7+1)+1)/(Assumptions!M$95-$C$7)</f>
        <v>0.263157894736842</v>
      </c>
      <c r="K11" s="97" t="n">
        <f aca="false">MAX(0,MIN(K$6,Assumptions!M$95)-MAX(K$7,DATE(2026,9,1),$C$7+1)+1)/(Assumptions!M$95-$C$7)</f>
        <v>0</v>
      </c>
      <c r="L11" s="97" t="n">
        <f aca="false">MAX(0,MIN(L$6,Assumptions!M$95)-MAX(L$7,DATE(2026,9,1),$C$7+1)+1)/(Assumptions!M$95-$C$7)</f>
        <v>0</v>
      </c>
      <c r="M11" s="97" t="n">
        <f aca="false">MAX(0,MIN(M$6,Assumptions!M$95)-MAX(M$7,DATE(2026,9,1),$C$7+1)+1)/(Assumptions!M$95-$C$7)</f>
        <v>0</v>
      </c>
      <c r="N11" s="97" t="n">
        <f aca="false">MAX(0,MIN(N$6,Assumptions!M$95)-MAX(N$7,DATE(2026,9,1),$C$7+1)+1)/(Assumptions!M$95-$C$7)</f>
        <v>0</v>
      </c>
      <c r="O11" s="97" t="n">
        <f aca="false">MAX(0,MIN(O$6,Assumptions!M$95)-MAX(O$7,DATE(2026,9,1),$C$7+1)+1)/(Assumptions!M$95-$C$7)</f>
        <v>0</v>
      </c>
      <c r="P11" s="97" t="n">
        <f aca="false">MAX(0,MIN(P$6,Assumptions!M$95)-MAX(P$7,DATE(2026,9,1),$C$7+1)+1)/(Assumptions!M$95-$C$7)</f>
        <v>0</v>
      </c>
      <c r="Q11" s="97" t="n">
        <f aca="false">MAX(0,MIN(Q$6,Assumptions!M$95)-MAX(Q$7,DATE(2026,9,1),$C$7+1)+1)/(Assumptions!M$95-$C$7)</f>
        <v>0</v>
      </c>
      <c r="R11" s="97" t="n">
        <f aca="false">MAX(0,MIN(R$6,Assumptions!M$95)-MAX(R$7,DATE(2026,9,1),$C$7+1)+1)/(Assumptions!M$95-$C$7)</f>
        <v>0</v>
      </c>
      <c r="S11" s="97" t="n">
        <f aca="false">MAX(0,MIN(S$6,Assumptions!M$95)-MAX(S$7,DATE(2026,9,1),$C$7+1)+1)/(Assumptions!M$95-$C$7)</f>
        <v>0</v>
      </c>
      <c r="T11" s="97" t="n">
        <f aca="false">MAX(0,MIN(T$6,Assumptions!M$95)-MAX(T$7,DATE(2026,9,1),$C$7+1)+1)/(Assumptions!M$95-$C$7)</f>
        <v>0</v>
      </c>
      <c r="U11" s="97" t="n">
        <f aca="false">SUM(H11:T11)</f>
        <v>1</v>
      </c>
    </row>
    <row r="12" customFormat="false" ht="15" hidden="false" customHeight="false" outlineLevel="1" collapsed="false">
      <c r="A12" s="13" t="s">
        <v>595</v>
      </c>
      <c r="H12" s="97" t="n">
        <f aca="false">MAX(0,MIN(H$6,Assumptions!N$95)-MAX(H$7,DATE(2026,10,1),$C$7+1)+1)/DAY(Assumptions!N$95)</f>
        <v>0</v>
      </c>
      <c r="I12" s="97" t="n">
        <f aca="false">MAX(0,MIN(I$6,Assumptions!N$95)-MAX(I$7,DATE(2026,10,1),$C$7+1)+1)/DAY(Assumptions!N$95)</f>
        <v>0</v>
      </c>
      <c r="J12" s="97" t="n">
        <f aca="false">MAX(0,MIN(J$6,Assumptions!N$95)-MAX(J$7,DATE(2026,10,1),$C$7+1)+1)/DAY(Assumptions!N$95)</f>
        <v>0.0645161290322581</v>
      </c>
      <c r="K12" s="97" t="n">
        <f aca="false">MAX(0,MIN(K$6,Assumptions!N$95)-MAX(K$7,DATE(2026,10,1),$C$7+1)+1)/DAY(Assumptions!N$95)</f>
        <v>0.225806451612903</v>
      </c>
      <c r="L12" s="97" t="n">
        <f aca="false">MAX(0,MIN(L$6,Assumptions!N$95)-MAX(L$7,DATE(2026,10,1),$C$7+1)+1)/DAY(Assumptions!N$95)</f>
        <v>0.225806451612903</v>
      </c>
      <c r="M12" s="97" t="n">
        <f aca="false">MAX(0,MIN(M$6,Assumptions!N$95)-MAX(M$7,DATE(2026,10,1),$C$7+1)+1)/DAY(Assumptions!N$95)</f>
        <v>0.225806451612903</v>
      </c>
      <c r="N12" s="97" t="n">
        <f aca="false">MAX(0,MIN(N$6,Assumptions!N$95)-MAX(N$7,DATE(2026,10,1),$C$7+1)+1)/DAY(Assumptions!N$95)</f>
        <v>0.225806451612903</v>
      </c>
      <c r="O12" s="97" t="n">
        <f aca="false">MAX(0,MIN(O$6,Assumptions!N$95)-MAX(O$7,DATE(2026,10,1),$C$7+1)+1)/DAY(Assumptions!N$95)</f>
        <v>0.032258064516129</v>
      </c>
      <c r="P12" s="97" t="n">
        <f aca="false">MAX(0,MIN(P$6,Assumptions!N$95)-MAX(P$7,DATE(2026,10,1),$C$7+1)+1)/DAY(Assumptions!N$95)</f>
        <v>0</v>
      </c>
      <c r="Q12" s="97" t="n">
        <f aca="false">MAX(0,MIN(Q$6,Assumptions!N$95)-MAX(Q$7,DATE(2026,10,1),$C$7+1)+1)/DAY(Assumptions!N$95)</f>
        <v>0</v>
      </c>
      <c r="R12" s="97" t="n">
        <f aca="false">MAX(0,MIN(R$6,Assumptions!N$95)-MAX(R$7,DATE(2026,10,1),$C$7+1)+1)/DAY(Assumptions!N$95)</f>
        <v>0</v>
      </c>
      <c r="S12" s="97" t="n">
        <f aca="false">MAX(0,MIN(S$6,Assumptions!N$95)-MAX(S$7,DATE(2026,10,1),$C$7+1)+1)/DAY(Assumptions!N$95)</f>
        <v>0</v>
      </c>
      <c r="T12" s="97" t="n">
        <f aca="false">MAX(0,MIN(T$6,Assumptions!N$95)-MAX(T$7,DATE(2026,10,1),$C$7+1)+1)/DAY(Assumptions!N$95)</f>
        <v>0</v>
      </c>
      <c r="U12" s="97" t="n">
        <f aca="false">SUM(H12:T12)</f>
        <v>1</v>
      </c>
    </row>
    <row r="13" customFormat="false" ht="15" hidden="false" customHeight="false" outlineLevel="1" collapsed="false">
      <c r="A13" s="13" t="s">
        <v>596</v>
      </c>
      <c r="H13" s="97" t="n">
        <f aca="false">MAX(0,MIN(H$6,Assumptions!O$95)-MAX(H$7,DATE(2026,11,1),$C$7+1)+1)/DAY(Assumptions!O$95)</f>
        <v>0</v>
      </c>
      <c r="I13" s="97" t="n">
        <f aca="false">MAX(0,MIN(I$6,Assumptions!O$95)-MAX(I$7,DATE(2026,11,1),$C$7+1)+1)/DAY(Assumptions!O$95)</f>
        <v>0</v>
      </c>
      <c r="J13" s="97" t="n">
        <f aca="false">MAX(0,MIN(J$6,Assumptions!O$95)-MAX(J$7,DATE(2026,11,1),$C$7+1)+1)/DAY(Assumptions!O$95)</f>
        <v>0</v>
      </c>
      <c r="K13" s="97" t="n">
        <f aca="false">MAX(0,MIN(K$6,Assumptions!O$95)-MAX(K$7,DATE(2026,11,1),$C$7+1)+1)/DAY(Assumptions!O$95)</f>
        <v>0</v>
      </c>
      <c r="L13" s="97" t="n">
        <f aca="false">MAX(0,MIN(L$6,Assumptions!O$95)-MAX(L$7,DATE(2026,11,1),$C$7+1)+1)/DAY(Assumptions!O$95)</f>
        <v>0</v>
      </c>
      <c r="M13" s="97" t="n">
        <f aca="false">MAX(0,MIN(M$6,Assumptions!O$95)-MAX(M$7,DATE(2026,11,1),$C$7+1)+1)/DAY(Assumptions!O$95)</f>
        <v>0</v>
      </c>
      <c r="N13" s="97" t="n">
        <f aca="false">MAX(0,MIN(N$6,Assumptions!O$95)-MAX(N$7,DATE(2026,11,1),$C$7+1)+1)/DAY(Assumptions!O$95)</f>
        <v>0</v>
      </c>
      <c r="O13" s="97" t="n">
        <f aca="false">MAX(0,MIN(O$6,Assumptions!O$95)-MAX(O$7,DATE(2026,11,1),$C$7+1)+1)/DAY(Assumptions!O$95)</f>
        <v>0.2</v>
      </c>
      <c r="P13" s="97" t="n">
        <f aca="false">MAX(0,MIN(P$6,Assumptions!O$95)-MAX(P$7,DATE(2026,11,1),$C$7+1)+1)/DAY(Assumptions!O$95)</f>
        <v>0.233333333333333</v>
      </c>
      <c r="Q13" s="97" t="n">
        <f aca="false">MAX(0,MIN(Q$6,Assumptions!O$95)-MAX(Q$7,DATE(2026,11,1),$C$7+1)+1)/DAY(Assumptions!O$95)</f>
        <v>0.233333333333333</v>
      </c>
      <c r="R13" s="97" t="n">
        <f aca="false">MAX(0,MIN(R$6,Assumptions!O$95)-MAX(R$7,DATE(2026,11,1),$C$7+1)+1)/DAY(Assumptions!O$95)</f>
        <v>0.233333333333333</v>
      </c>
      <c r="S13" s="97" t="n">
        <f aca="false">MAX(0,MIN(S$6,Assumptions!O$95)-MAX(S$7,DATE(2026,11,1),$C$7+1)+1)/DAY(Assumptions!O$95)</f>
        <v>0.1</v>
      </c>
      <c r="T13" s="97" t="n">
        <f aca="false">MAX(0,MIN(T$6,Assumptions!O$95)-MAX(T$7,DATE(2026,11,1),$C$7+1)+1)/DAY(Assumptions!O$95)</f>
        <v>0</v>
      </c>
      <c r="U13" s="97" t="n">
        <f aca="false">SUM(H13:T13)</f>
        <v>1</v>
      </c>
    </row>
    <row r="14" customFormat="false" ht="15" hidden="false" customHeight="false" outlineLevel="1" collapsed="false">
      <c r="A14" s="13" t="s">
        <v>597</v>
      </c>
      <c r="H14" s="97" t="n">
        <f aca="false">MAX(0,MIN(H$6,Assumptions!P$95)-MAX(H$7,DATE(2026,12,1),$C$7+1)+1)/DAY(Assumptions!P$95)</f>
        <v>0</v>
      </c>
      <c r="I14" s="97" t="n">
        <f aca="false">MAX(0,MIN(I$6,Assumptions!P$95)-MAX(I$7,DATE(2026,12,1),$C$7+1)+1)/DAY(Assumptions!P$95)</f>
        <v>0</v>
      </c>
      <c r="J14" s="97" t="n">
        <f aca="false">MAX(0,MIN(J$6,Assumptions!P$95)-MAX(J$7,DATE(2026,12,1),$C$7+1)+1)/DAY(Assumptions!P$95)</f>
        <v>0</v>
      </c>
      <c r="K14" s="97" t="n">
        <f aca="false">MAX(0,MIN(K$6,Assumptions!P$95)-MAX(K$7,DATE(2026,12,1),$C$7+1)+1)/DAY(Assumptions!P$95)</f>
        <v>0</v>
      </c>
      <c r="L14" s="97" t="n">
        <f aca="false">MAX(0,MIN(L$6,Assumptions!P$95)-MAX(L$7,DATE(2026,12,1),$C$7+1)+1)/DAY(Assumptions!P$95)</f>
        <v>0</v>
      </c>
      <c r="M14" s="97" t="n">
        <f aca="false">MAX(0,MIN(M$6,Assumptions!P$95)-MAX(M$7,DATE(2026,12,1),$C$7+1)+1)/DAY(Assumptions!P$95)</f>
        <v>0</v>
      </c>
      <c r="N14" s="97" t="n">
        <f aca="false">MAX(0,MIN(N$6,Assumptions!P$95)-MAX(N$7,DATE(2026,12,1),$C$7+1)+1)/DAY(Assumptions!P$95)</f>
        <v>0</v>
      </c>
      <c r="O14" s="97" t="n">
        <f aca="false">MAX(0,MIN(O$6,Assumptions!P$95)-MAX(O$7,DATE(2026,12,1),$C$7+1)+1)/DAY(Assumptions!P$95)</f>
        <v>0</v>
      </c>
      <c r="P14" s="97" t="n">
        <f aca="false">MAX(0,MIN(P$6,Assumptions!P$95)-MAX(P$7,DATE(2026,12,1),$C$7+1)+1)/DAY(Assumptions!P$95)</f>
        <v>0</v>
      </c>
      <c r="Q14" s="97" t="n">
        <f aca="false">MAX(0,MIN(Q$6,Assumptions!P$95)-MAX(Q$7,DATE(2026,12,1),$C$7+1)+1)/DAY(Assumptions!P$95)</f>
        <v>0</v>
      </c>
      <c r="R14" s="97" t="n">
        <f aca="false">MAX(0,MIN(R$6,Assumptions!P$95)-MAX(R$7,DATE(2026,12,1),$C$7+1)+1)/DAY(Assumptions!P$95)</f>
        <v>0</v>
      </c>
      <c r="S14" s="97" t="n">
        <f aca="false">MAX(0,MIN(S$6,Assumptions!P$95)-MAX(S$7,DATE(2026,12,1),$C$7+1)+1)/DAY(Assumptions!P$95)</f>
        <v>0.129032258064516</v>
      </c>
      <c r="T14" s="97" t="n">
        <f aca="false">MAX(0,MIN(T$6,Assumptions!P$95)-MAX(T$7,DATE(2026,12,1),$C$7+1)+1)/DAY(Assumptions!P$95)</f>
        <v>0.225806451612903</v>
      </c>
      <c r="U14" s="97" t="n">
        <f aca="false">SUM(H14:T14)</f>
        <v>0.354838709677419</v>
      </c>
    </row>
    <row r="15" customFormat="false" ht="15" hidden="false" customHeight="false" outlineLevel="1" collapsed="false">
      <c r="A15" s="13" t="s">
        <v>598</v>
      </c>
      <c r="H15" s="97" t="n">
        <f aca="false">IF(AND(DATE(2026,9,1)&gt;=H$7,DATE(2026,9,1)&lt;=H$6,DATE(2026,9,1)&gt;$C$7),1,0)</f>
        <v>0</v>
      </c>
      <c r="I15" s="97" t="n">
        <f aca="false">IF(AND(DATE(2026,9,1)&gt;=I$7,DATE(2026,9,1)&lt;=I$6,DATE(2026,9,1)&gt;$C$7),1,0)</f>
        <v>0</v>
      </c>
      <c r="J15" s="97" t="n">
        <f aca="false">IF(AND(DATE(2026,9,1)&gt;=J$7,DATE(2026,9,1)&lt;=J$6,DATE(2026,9,1)&gt;$C$7),1,0)</f>
        <v>0</v>
      </c>
      <c r="K15" s="97" t="n">
        <f aca="false">IF(AND(DATE(2026,9,1)&gt;=K$7,DATE(2026,9,1)&lt;=K$6,DATE(2026,9,1)&gt;$C$7),1,0)</f>
        <v>0</v>
      </c>
      <c r="L15" s="97" t="n">
        <f aca="false">IF(AND(DATE(2026,9,1)&gt;=L$7,DATE(2026,9,1)&lt;=L$6,DATE(2026,9,1)&gt;$C$7),1,0)</f>
        <v>0</v>
      </c>
      <c r="M15" s="97" t="n">
        <f aca="false">IF(AND(DATE(2026,9,1)&gt;=M$7,DATE(2026,9,1)&lt;=M$6,DATE(2026,9,1)&gt;$C$7),1,0)</f>
        <v>0</v>
      </c>
      <c r="N15" s="97" t="n">
        <f aca="false">IF(AND(DATE(2026,9,1)&gt;=N$7,DATE(2026,9,1)&lt;=N$6,DATE(2026,9,1)&gt;$C$7),1,0)</f>
        <v>0</v>
      </c>
      <c r="O15" s="97" t="n">
        <f aca="false">IF(AND(DATE(2026,9,1)&gt;=O$7,DATE(2026,9,1)&lt;=O$6,DATE(2026,9,1)&gt;$C$7),1,0)</f>
        <v>0</v>
      </c>
      <c r="P15" s="97" t="n">
        <f aca="false">IF(AND(DATE(2026,9,1)&gt;=P$7,DATE(2026,9,1)&lt;=P$6,DATE(2026,9,1)&gt;$C$7),1,0)</f>
        <v>0</v>
      </c>
      <c r="Q15" s="97" t="n">
        <f aca="false">IF(AND(DATE(2026,9,1)&gt;=Q$7,DATE(2026,9,1)&lt;=Q$6,DATE(2026,9,1)&gt;$C$7),1,0)</f>
        <v>0</v>
      </c>
      <c r="R15" s="97" t="n">
        <f aca="false">IF(AND(DATE(2026,9,1)&gt;=R$7,DATE(2026,9,1)&lt;=R$6,DATE(2026,9,1)&gt;$C$7),1,0)</f>
        <v>0</v>
      </c>
      <c r="S15" s="97" t="n">
        <f aca="false">IF(AND(DATE(2026,9,1)&gt;=S$7,DATE(2026,9,1)&lt;=S$6,DATE(2026,9,1)&gt;$C$7),1,0)</f>
        <v>0</v>
      </c>
      <c r="T15" s="97" t="n">
        <f aca="false">IF(AND(DATE(2026,9,1)&gt;=T$7,DATE(2026,9,1)&lt;=T$6,DATE(2026,9,1)&gt;$C$7),1,0)</f>
        <v>0</v>
      </c>
      <c r="U15" s="97" t="n">
        <f aca="false">SUM(H15:T15)</f>
        <v>0</v>
      </c>
    </row>
    <row r="16" customFormat="false" ht="15" hidden="false" customHeight="false" outlineLevel="1" collapsed="false">
      <c r="A16" s="13" t="s">
        <v>599</v>
      </c>
      <c r="H16" s="97" t="n">
        <f aca="false">IF(AND(DATE(2026,10,1)&gt;=H$7,DATE(2026,10,1)&lt;=H$6,DATE(2026,10,1)&gt;$C$7),1,0)</f>
        <v>0</v>
      </c>
      <c r="I16" s="97" t="n">
        <f aca="false">IF(AND(DATE(2026,10,1)&gt;=I$7,DATE(2026,10,1)&lt;=I$6,DATE(2026,10,1)&gt;$C$7),1,0)</f>
        <v>0</v>
      </c>
      <c r="J16" s="97" t="n">
        <f aca="false">IF(AND(DATE(2026,10,1)&gt;=J$7,DATE(2026,10,1)&lt;=J$6,DATE(2026,10,1)&gt;$C$7),1,0)</f>
        <v>1</v>
      </c>
      <c r="K16" s="97" t="n">
        <f aca="false">IF(AND(DATE(2026,10,1)&gt;=K$7,DATE(2026,10,1)&lt;=K$6,DATE(2026,10,1)&gt;$C$7),1,0)</f>
        <v>0</v>
      </c>
      <c r="L16" s="97" t="n">
        <f aca="false">IF(AND(DATE(2026,10,1)&gt;=L$7,DATE(2026,10,1)&lt;=L$6,DATE(2026,10,1)&gt;$C$7),1,0)</f>
        <v>0</v>
      </c>
      <c r="M16" s="97" t="n">
        <f aca="false">IF(AND(DATE(2026,10,1)&gt;=M$7,DATE(2026,10,1)&lt;=M$6,DATE(2026,10,1)&gt;$C$7),1,0)</f>
        <v>0</v>
      </c>
      <c r="N16" s="97" t="n">
        <f aca="false">IF(AND(DATE(2026,10,1)&gt;=N$7,DATE(2026,10,1)&lt;=N$6,DATE(2026,10,1)&gt;$C$7),1,0)</f>
        <v>0</v>
      </c>
      <c r="O16" s="97" t="n">
        <f aca="false">IF(AND(DATE(2026,10,1)&gt;=O$7,DATE(2026,10,1)&lt;=O$6,DATE(2026,10,1)&gt;$C$7),1,0)</f>
        <v>0</v>
      </c>
      <c r="P16" s="97" t="n">
        <f aca="false">IF(AND(DATE(2026,10,1)&gt;=P$7,DATE(2026,10,1)&lt;=P$6,DATE(2026,10,1)&gt;$C$7),1,0)</f>
        <v>0</v>
      </c>
      <c r="Q16" s="97" t="n">
        <f aca="false">IF(AND(DATE(2026,10,1)&gt;=Q$7,DATE(2026,10,1)&lt;=Q$6,DATE(2026,10,1)&gt;$C$7),1,0)</f>
        <v>0</v>
      </c>
      <c r="R16" s="97" t="n">
        <f aca="false">IF(AND(DATE(2026,10,1)&gt;=R$7,DATE(2026,10,1)&lt;=R$6,DATE(2026,10,1)&gt;$C$7),1,0)</f>
        <v>0</v>
      </c>
      <c r="S16" s="97" t="n">
        <f aca="false">IF(AND(DATE(2026,10,1)&gt;=S$7,DATE(2026,10,1)&lt;=S$6,DATE(2026,10,1)&gt;$C$7),1,0)</f>
        <v>0</v>
      </c>
      <c r="T16" s="97" t="n">
        <f aca="false">IF(AND(DATE(2026,10,1)&gt;=T$7,DATE(2026,10,1)&lt;=T$6,DATE(2026,10,1)&gt;$C$7),1,0)</f>
        <v>0</v>
      </c>
      <c r="U16" s="97" t="n">
        <f aca="false">SUM(H16:T16)</f>
        <v>1</v>
      </c>
    </row>
    <row r="17" customFormat="false" ht="15" hidden="false" customHeight="false" outlineLevel="1" collapsed="false">
      <c r="A17" s="13" t="s">
        <v>600</v>
      </c>
      <c r="H17" s="97" t="n">
        <f aca="false">IF(AND(DATE(2026,11,1)&gt;=H$7,DATE(2026,11,1)&lt;=H$6,DATE(2026,11,1)&gt;$C$7),1,0)</f>
        <v>0</v>
      </c>
      <c r="I17" s="97" t="n">
        <f aca="false">IF(AND(DATE(2026,11,1)&gt;=I$7,DATE(2026,11,1)&lt;=I$6,DATE(2026,11,1)&gt;$C$7),1,0)</f>
        <v>0</v>
      </c>
      <c r="J17" s="97" t="n">
        <f aca="false">IF(AND(DATE(2026,11,1)&gt;=J$7,DATE(2026,11,1)&lt;=J$6,DATE(2026,11,1)&gt;$C$7),1,0)</f>
        <v>0</v>
      </c>
      <c r="K17" s="97" t="n">
        <f aca="false">IF(AND(DATE(2026,11,1)&gt;=K$7,DATE(2026,11,1)&lt;=K$6,DATE(2026,11,1)&gt;$C$7),1,0)</f>
        <v>0</v>
      </c>
      <c r="L17" s="97" t="n">
        <f aca="false">IF(AND(DATE(2026,11,1)&gt;=L$7,DATE(2026,11,1)&lt;=L$6,DATE(2026,11,1)&gt;$C$7),1,0)</f>
        <v>0</v>
      </c>
      <c r="M17" s="97" t="n">
        <f aca="false">IF(AND(DATE(2026,11,1)&gt;=M$7,DATE(2026,11,1)&lt;=M$6,DATE(2026,11,1)&gt;$C$7),1,0)</f>
        <v>0</v>
      </c>
      <c r="N17" s="97" t="n">
        <f aca="false">IF(AND(DATE(2026,11,1)&gt;=N$7,DATE(2026,11,1)&lt;=N$6,DATE(2026,11,1)&gt;$C$7),1,0)</f>
        <v>0</v>
      </c>
      <c r="O17" s="97" t="n">
        <f aca="false">IF(AND(DATE(2026,11,1)&gt;=O$7,DATE(2026,11,1)&lt;=O$6,DATE(2026,11,1)&gt;$C$7),1,0)</f>
        <v>1</v>
      </c>
      <c r="P17" s="97" t="n">
        <f aca="false">IF(AND(DATE(2026,11,1)&gt;=P$7,DATE(2026,11,1)&lt;=P$6,DATE(2026,11,1)&gt;$C$7),1,0)</f>
        <v>0</v>
      </c>
      <c r="Q17" s="97" t="n">
        <f aca="false">IF(AND(DATE(2026,11,1)&gt;=Q$7,DATE(2026,11,1)&lt;=Q$6,DATE(2026,11,1)&gt;$C$7),1,0)</f>
        <v>0</v>
      </c>
      <c r="R17" s="97" t="n">
        <f aca="false">IF(AND(DATE(2026,11,1)&gt;=R$7,DATE(2026,11,1)&lt;=R$6,DATE(2026,11,1)&gt;$C$7),1,0)</f>
        <v>0</v>
      </c>
      <c r="S17" s="97" t="n">
        <f aca="false">IF(AND(DATE(2026,11,1)&gt;=S$7,DATE(2026,11,1)&lt;=S$6,DATE(2026,11,1)&gt;$C$7),1,0)</f>
        <v>0</v>
      </c>
      <c r="T17" s="97" t="n">
        <f aca="false">IF(AND(DATE(2026,11,1)&gt;=T$7,DATE(2026,11,1)&lt;=T$6,DATE(2026,11,1)&gt;$C$7),1,0)</f>
        <v>0</v>
      </c>
      <c r="U17" s="97" t="n">
        <f aca="false">SUM(H17:T17)</f>
        <v>1</v>
      </c>
    </row>
    <row r="18" customFormat="false" ht="15" hidden="false" customHeight="false" outlineLevel="1" collapsed="false">
      <c r="A18" s="13" t="s">
        <v>601</v>
      </c>
      <c r="H18" s="97" t="n">
        <f aca="false">IF(AND(DATE(2026,12,1)&gt;=H$7,DATE(2026,12,1)&lt;=H$6,DATE(2026,12,1)&gt;$C$7),1,0)</f>
        <v>0</v>
      </c>
      <c r="I18" s="97" t="n">
        <f aca="false">IF(AND(DATE(2026,12,1)&gt;=I$7,DATE(2026,12,1)&lt;=I$6,DATE(2026,12,1)&gt;$C$7),1,0)</f>
        <v>0</v>
      </c>
      <c r="J18" s="97" t="n">
        <f aca="false">IF(AND(DATE(2026,12,1)&gt;=J$7,DATE(2026,12,1)&lt;=J$6,DATE(2026,12,1)&gt;$C$7),1,0)</f>
        <v>0</v>
      </c>
      <c r="K18" s="97" t="n">
        <f aca="false">IF(AND(DATE(2026,12,1)&gt;=K$7,DATE(2026,12,1)&lt;=K$6,DATE(2026,12,1)&gt;$C$7),1,0)</f>
        <v>0</v>
      </c>
      <c r="L18" s="97" t="n">
        <f aca="false">IF(AND(DATE(2026,12,1)&gt;=L$7,DATE(2026,12,1)&lt;=L$6,DATE(2026,12,1)&gt;$C$7),1,0)</f>
        <v>0</v>
      </c>
      <c r="M18" s="97" t="n">
        <f aca="false">IF(AND(DATE(2026,12,1)&gt;=M$7,DATE(2026,12,1)&lt;=M$6,DATE(2026,12,1)&gt;$C$7),1,0)</f>
        <v>0</v>
      </c>
      <c r="N18" s="97" t="n">
        <f aca="false">IF(AND(DATE(2026,12,1)&gt;=N$7,DATE(2026,12,1)&lt;=N$6,DATE(2026,12,1)&gt;$C$7),1,0)</f>
        <v>0</v>
      </c>
      <c r="O18" s="97" t="n">
        <f aca="false">IF(AND(DATE(2026,12,1)&gt;=O$7,DATE(2026,12,1)&lt;=O$6,DATE(2026,12,1)&gt;$C$7),1,0)</f>
        <v>0</v>
      </c>
      <c r="P18" s="97" t="n">
        <f aca="false">IF(AND(DATE(2026,12,1)&gt;=P$7,DATE(2026,12,1)&lt;=P$6,DATE(2026,12,1)&gt;$C$7),1,0)</f>
        <v>0</v>
      </c>
      <c r="Q18" s="97" t="n">
        <f aca="false">IF(AND(DATE(2026,12,1)&gt;=Q$7,DATE(2026,12,1)&lt;=Q$6,DATE(2026,12,1)&gt;$C$7),1,0)</f>
        <v>0</v>
      </c>
      <c r="R18" s="97" t="n">
        <f aca="false">IF(AND(DATE(2026,12,1)&gt;=R$7,DATE(2026,12,1)&lt;=R$6,DATE(2026,12,1)&gt;$C$7),1,0)</f>
        <v>0</v>
      </c>
      <c r="S18" s="97" t="n">
        <f aca="false">IF(AND(DATE(2026,12,1)&gt;=S$7,DATE(2026,12,1)&lt;=S$6,DATE(2026,12,1)&gt;$C$7),1,0)</f>
        <v>1</v>
      </c>
      <c r="T18" s="97" t="n">
        <f aca="false">IF(AND(DATE(2026,12,1)&gt;=T$7,DATE(2026,12,1)&lt;=T$6,DATE(2026,12,1)&gt;$C$7),1,0)</f>
        <v>0</v>
      </c>
      <c r="U18" s="97" t="n">
        <f aca="false">SUM(H18:T18)</f>
        <v>1</v>
      </c>
    </row>
    <row r="19" customFormat="false" ht="15" hidden="false" customHeight="false" outlineLevel="1" collapsed="false">
      <c r="A19" s="13" t="s">
        <v>602</v>
      </c>
      <c r="H19" s="97" t="n">
        <f aca="false">IF(AND(DATE(2026,9,15)&gt;=H$7,DATE(2026,9,15)&lt;=H$6,DATE(2026,9,15)&gt;$C$7),1,0)</f>
        <v>1</v>
      </c>
      <c r="I19" s="97" t="n">
        <f aca="false">IF(AND(DATE(2026,9,15)&gt;=I$7,DATE(2026,9,15)&lt;=I$6,DATE(2026,9,15)&gt;$C$7),1,0)</f>
        <v>0</v>
      </c>
      <c r="J19" s="97" t="n">
        <f aca="false">IF(AND(DATE(2026,9,15)&gt;=J$7,DATE(2026,9,15)&lt;=J$6,DATE(2026,9,15)&gt;$C$7),1,0)</f>
        <v>0</v>
      </c>
      <c r="K19" s="97" t="n">
        <f aca="false">IF(AND(DATE(2026,9,15)&gt;=K$7,DATE(2026,9,15)&lt;=K$6,DATE(2026,9,15)&gt;$C$7),1,0)</f>
        <v>0</v>
      </c>
      <c r="L19" s="97" t="n">
        <f aca="false">IF(AND(DATE(2026,9,15)&gt;=L$7,DATE(2026,9,15)&lt;=L$6,DATE(2026,9,15)&gt;$C$7),1,0)</f>
        <v>0</v>
      </c>
      <c r="M19" s="97" t="n">
        <f aca="false">IF(AND(DATE(2026,9,15)&gt;=M$7,DATE(2026,9,15)&lt;=M$6,DATE(2026,9,15)&gt;$C$7),1,0)</f>
        <v>0</v>
      </c>
      <c r="N19" s="97" t="n">
        <f aca="false">IF(AND(DATE(2026,9,15)&gt;=N$7,DATE(2026,9,15)&lt;=N$6,DATE(2026,9,15)&gt;$C$7),1,0)</f>
        <v>0</v>
      </c>
      <c r="O19" s="97" t="n">
        <f aca="false">IF(AND(DATE(2026,9,15)&gt;=O$7,DATE(2026,9,15)&lt;=O$6,DATE(2026,9,15)&gt;$C$7),1,0)</f>
        <v>0</v>
      </c>
      <c r="P19" s="97" t="n">
        <f aca="false">IF(AND(DATE(2026,9,15)&gt;=P$7,DATE(2026,9,15)&lt;=P$6,DATE(2026,9,15)&gt;$C$7),1,0)</f>
        <v>0</v>
      </c>
      <c r="Q19" s="97" t="n">
        <f aca="false">IF(AND(DATE(2026,9,15)&gt;=Q$7,DATE(2026,9,15)&lt;=Q$6,DATE(2026,9,15)&gt;$C$7),1,0)</f>
        <v>0</v>
      </c>
      <c r="R19" s="97" t="n">
        <f aca="false">IF(AND(DATE(2026,9,15)&gt;=R$7,DATE(2026,9,15)&lt;=R$6,DATE(2026,9,15)&gt;$C$7),1,0)</f>
        <v>0</v>
      </c>
      <c r="S19" s="97" t="n">
        <f aca="false">IF(AND(DATE(2026,9,15)&gt;=S$7,DATE(2026,9,15)&lt;=S$6,DATE(2026,9,15)&gt;$C$7),1,0)</f>
        <v>0</v>
      </c>
      <c r="T19" s="97" t="n">
        <f aca="false">IF(AND(DATE(2026,9,15)&gt;=T$7,DATE(2026,9,15)&lt;=T$6,DATE(2026,9,15)&gt;$C$7),1,0)</f>
        <v>0</v>
      </c>
      <c r="U19" s="97" t="n">
        <f aca="false">SUM(H19:T19)</f>
        <v>1</v>
      </c>
    </row>
    <row r="20" customFormat="false" ht="15" hidden="false" customHeight="false" outlineLevel="1" collapsed="false">
      <c r="A20" s="13" t="s">
        <v>603</v>
      </c>
      <c r="H20" s="97" t="n">
        <f aca="false">IF(AND(DATE(2026,10,15)&gt;=H$7,DATE(2026,10,15)&lt;=H$6,DATE(2026,10,15)&gt;$C$7),1,0)</f>
        <v>0</v>
      </c>
      <c r="I20" s="97" t="n">
        <f aca="false">IF(AND(DATE(2026,10,15)&gt;=I$7,DATE(2026,10,15)&lt;=I$6,DATE(2026,10,15)&gt;$C$7),1,0)</f>
        <v>0</v>
      </c>
      <c r="J20" s="97" t="n">
        <f aca="false">IF(AND(DATE(2026,10,15)&gt;=J$7,DATE(2026,10,15)&lt;=J$6,DATE(2026,10,15)&gt;$C$7),1,0)</f>
        <v>0</v>
      </c>
      <c r="K20" s="97" t="n">
        <f aca="false">IF(AND(DATE(2026,10,15)&gt;=K$7,DATE(2026,10,15)&lt;=K$6,DATE(2026,10,15)&gt;$C$7),1,0)</f>
        <v>0</v>
      </c>
      <c r="L20" s="97" t="n">
        <f aca="false">IF(AND(DATE(2026,10,15)&gt;=L$7,DATE(2026,10,15)&lt;=L$6,DATE(2026,10,15)&gt;$C$7),1,0)</f>
        <v>1</v>
      </c>
      <c r="M20" s="97" t="n">
        <f aca="false">IF(AND(DATE(2026,10,15)&gt;=M$7,DATE(2026,10,15)&lt;=M$6,DATE(2026,10,15)&gt;$C$7),1,0)</f>
        <v>0</v>
      </c>
      <c r="N20" s="97" t="n">
        <f aca="false">IF(AND(DATE(2026,10,15)&gt;=N$7,DATE(2026,10,15)&lt;=N$6,DATE(2026,10,15)&gt;$C$7),1,0)</f>
        <v>0</v>
      </c>
      <c r="O20" s="97" t="n">
        <f aca="false">IF(AND(DATE(2026,10,15)&gt;=O$7,DATE(2026,10,15)&lt;=O$6,DATE(2026,10,15)&gt;$C$7),1,0)</f>
        <v>0</v>
      </c>
      <c r="P20" s="97" t="n">
        <f aca="false">IF(AND(DATE(2026,10,15)&gt;=P$7,DATE(2026,10,15)&lt;=P$6,DATE(2026,10,15)&gt;$C$7),1,0)</f>
        <v>0</v>
      </c>
      <c r="Q20" s="97" t="n">
        <f aca="false">IF(AND(DATE(2026,10,15)&gt;=Q$7,DATE(2026,10,15)&lt;=Q$6,DATE(2026,10,15)&gt;$C$7),1,0)</f>
        <v>0</v>
      </c>
      <c r="R20" s="97" t="n">
        <f aca="false">IF(AND(DATE(2026,10,15)&gt;=R$7,DATE(2026,10,15)&lt;=R$6,DATE(2026,10,15)&gt;$C$7),1,0)</f>
        <v>0</v>
      </c>
      <c r="S20" s="97" t="n">
        <f aca="false">IF(AND(DATE(2026,10,15)&gt;=S$7,DATE(2026,10,15)&lt;=S$6,DATE(2026,10,15)&gt;$C$7),1,0)</f>
        <v>0</v>
      </c>
      <c r="T20" s="97" t="n">
        <f aca="false">IF(AND(DATE(2026,10,15)&gt;=T$7,DATE(2026,10,15)&lt;=T$6,DATE(2026,10,15)&gt;$C$7),1,0)</f>
        <v>0</v>
      </c>
      <c r="U20" s="97" t="n">
        <f aca="false">SUM(H20:T20)</f>
        <v>1</v>
      </c>
    </row>
    <row r="21" customFormat="false" ht="15" hidden="false" customHeight="false" outlineLevel="1" collapsed="false">
      <c r="A21" s="13" t="s">
        <v>604</v>
      </c>
      <c r="H21" s="97" t="n">
        <f aca="false">IF(AND(DATE(2026,11,15)&gt;=H$7,DATE(2026,11,15)&lt;=H$6,DATE(2026,11,15)&gt;$C$7),1,0)</f>
        <v>0</v>
      </c>
      <c r="I21" s="97" t="n">
        <f aca="false">IF(AND(DATE(2026,11,15)&gt;=I$7,DATE(2026,11,15)&lt;=I$6,DATE(2026,11,15)&gt;$C$7),1,0)</f>
        <v>0</v>
      </c>
      <c r="J21" s="97" t="n">
        <f aca="false">IF(AND(DATE(2026,11,15)&gt;=J$7,DATE(2026,11,15)&lt;=J$6,DATE(2026,11,15)&gt;$C$7),1,0)</f>
        <v>0</v>
      </c>
      <c r="K21" s="97" t="n">
        <f aca="false">IF(AND(DATE(2026,11,15)&gt;=K$7,DATE(2026,11,15)&lt;=K$6,DATE(2026,11,15)&gt;$C$7),1,0)</f>
        <v>0</v>
      </c>
      <c r="L21" s="97" t="n">
        <f aca="false">IF(AND(DATE(2026,11,15)&gt;=L$7,DATE(2026,11,15)&lt;=L$6,DATE(2026,11,15)&gt;$C$7),1,0)</f>
        <v>0</v>
      </c>
      <c r="M21" s="97" t="n">
        <f aca="false">IF(AND(DATE(2026,11,15)&gt;=M$7,DATE(2026,11,15)&lt;=M$6,DATE(2026,11,15)&gt;$C$7),1,0)</f>
        <v>0</v>
      </c>
      <c r="N21" s="97" t="n">
        <f aca="false">IF(AND(DATE(2026,11,15)&gt;=N$7,DATE(2026,11,15)&lt;=N$6,DATE(2026,11,15)&gt;$C$7),1,0)</f>
        <v>0</v>
      </c>
      <c r="O21" s="97" t="n">
        <f aca="false">IF(AND(DATE(2026,11,15)&gt;=O$7,DATE(2026,11,15)&lt;=O$6,DATE(2026,11,15)&gt;$C$7),1,0)</f>
        <v>0</v>
      </c>
      <c r="P21" s="97" t="n">
        <f aca="false">IF(AND(DATE(2026,11,15)&gt;=P$7,DATE(2026,11,15)&lt;=P$6,DATE(2026,11,15)&gt;$C$7),1,0)</f>
        <v>0</v>
      </c>
      <c r="Q21" s="97" t="n">
        <f aca="false">IF(AND(DATE(2026,11,15)&gt;=Q$7,DATE(2026,11,15)&lt;=Q$6,DATE(2026,11,15)&gt;$C$7),1,0)</f>
        <v>1</v>
      </c>
      <c r="R21" s="97" t="n">
        <f aca="false">IF(AND(DATE(2026,11,15)&gt;=R$7,DATE(2026,11,15)&lt;=R$6,DATE(2026,11,15)&gt;$C$7),1,0)</f>
        <v>0</v>
      </c>
      <c r="S21" s="97" t="n">
        <f aca="false">IF(AND(DATE(2026,11,15)&gt;=S$7,DATE(2026,11,15)&lt;=S$6,DATE(2026,11,15)&gt;$C$7),1,0)</f>
        <v>0</v>
      </c>
      <c r="T21" s="97" t="n">
        <f aca="false">IF(AND(DATE(2026,11,15)&gt;=T$7,DATE(2026,11,15)&lt;=T$6,DATE(2026,11,15)&gt;$C$7),1,0)</f>
        <v>0</v>
      </c>
      <c r="U21" s="97" t="n">
        <f aca="false">SUM(H21:T21)</f>
        <v>1</v>
      </c>
    </row>
    <row r="22" customFormat="false" ht="15" hidden="false" customHeight="false" outlineLevel="1" collapsed="false">
      <c r="A22" s="13" t="s">
        <v>605</v>
      </c>
      <c r="H22" s="97" t="n">
        <f aca="false">IF(AND(DATE(2026,12,15)&gt;=H$7,DATE(2026,12,15)&lt;=H$6,DATE(2026,12,15)&gt;$C$7),1,0)</f>
        <v>0</v>
      </c>
      <c r="I22" s="97" t="n">
        <f aca="false">IF(AND(DATE(2026,12,15)&gt;=I$7,DATE(2026,12,15)&lt;=I$6,DATE(2026,12,15)&gt;$C$7),1,0)</f>
        <v>0</v>
      </c>
      <c r="J22" s="97" t="n">
        <f aca="false">IF(AND(DATE(2026,12,15)&gt;=J$7,DATE(2026,12,15)&lt;=J$6,DATE(2026,12,15)&gt;$C$7),1,0)</f>
        <v>0</v>
      </c>
      <c r="K22" s="97" t="n">
        <f aca="false">IF(AND(DATE(2026,12,15)&gt;=K$7,DATE(2026,12,15)&lt;=K$6,DATE(2026,12,15)&gt;$C$7),1,0)</f>
        <v>0</v>
      </c>
      <c r="L22" s="97" t="n">
        <f aca="false">IF(AND(DATE(2026,12,15)&gt;=L$7,DATE(2026,12,15)&lt;=L$6,DATE(2026,12,15)&gt;$C$7),1,0)</f>
        <v>0</v>
      </c>
      <c r="M22" s="97" t="n">
        <f aca="false">IF(AND(DATE(2026,12,15)&gt;=M$7,DATE(2026,12,15)&lt;=M$6,DATE(2026,12,15)&gt;$C$7),1,0)</f>
        <v>0</v>
      </c>
      <c r="N22" s="97" t="n">
        <f aca="false">IF(AND(DATE(2026,12,15)&gt;=N$7,DATE(2026,12,15)&lt;=N$6,DATE(2026,12,15)&gt;$C$7),1,0)</f>
        <v>0</v>
      </c>
      <c r="O22" s="97" t="n">
        <f aca="false">IF(AND(DATE(2026,12,15)&gt;=O$7,DATE(2026,12,15)&lt;=O$6,DATE(2026,12,15)&gt;$C$7),1,0)</f>
        <v>0</v>
      </c>
      <c r="P22" s="97" t="n">
        <f aca="false">IF(AND(DATE(2026,12,15)&gt;=P$7,DATE(2026,12,15)&lt;=P$6,DATE(2026,12,15)&gt;$C$7),1,0)</f>
        <v>0</v>
      </c>
      <c r="Q22" s="97" t="n">
        <f aca="false">IF(AND(DATE(2026,12,15)&gt;=Q$7,DATE(2026,12,15)&lt;=Q$6,DATE(2026,12,15)&gt;$C$7),1,0)</f>
        <v>0</v>
      </c>
      <c r="R22" s="97" t="n">
        <f aca="false">IF(AND(DATE(2026,12,15)&gt;=R$7,DATE(2026,12,15)&lt;=R$6,DATE(2026,12,15)&gt;$C$7),1,0)</f>
        <v>0</v>
      </c>
      <c r="S22" s="97" t="n">
        <f aca="false">IF(AND(DATE(2026,12,15)&gt;=S$7,DATE(2026,12,15)&lt;=S$6,DATE(2026,12,15)&gt;$C$7),1,0)</f>
        <v>0</v>
      </c>
      <c r="T22" s="97" t="n">
        <f aca="false">IF(AND(DATE(2026,12,15)&gt;=T$7,DATE(2026,12,15)&lt;=T$6,DATE(2026,12,15)&gt;$C$7),1,0)</f>
        <v>0</v>
      </c>
      <c r="U22" s="97" t="n">
        <f aca="false">SUM(H22:T22)</f>
        <v>0</v>
      </c>
    </row>
    <row r="23" customFormat="false" ht="15" hidden="false" customHeight="false" outlineLevel="1" collapsed="false">
      <c r="A23" s="13" t="s">
        <v>606</v>
      </c>
      <c r="H23" s="97" t="n">
        <f aca="false">IF(AND(DATE(2026,9,23)&gt;=H$7,DATE(2026,9,23)&lt;=H$6,DATE(2026,9,23)&gt;$C$7),1,0)</f>
        <v>0</v>
      </c>
      <c r="I23" s="97" t="n">
        <f aca="false">IF(AND(DATE(2026,9,23)&gt;=I$7,DATE(2026,9,23)&lt;=I$6,DATE(2026,9,23)&gt;$C$7),1,0)</f>
        <v>1</v>
      </c>
      <c r="J23" s="97" t="n">
        <f aca="false">IF(AND(DATE(2026,9,23)&gt;=J$7,DATE(2026,9,23)&lt;=J$6,DATE(2026,9,23)&gt;$C$7),1,0)</f>
        <v>0</v>
      </c>
      <c r="K23" s="97" t="n">
        <f aca="false">IF(AND(DATE(2026,9,23)&gt;=K$7,DATE(2026,9,23)&lt;=K$6,DATE(2026,9,23)&gt;$C$7),1,0)</f>
        <v>0</v>
      </c>
      <c r="L23" s="97" t="n">
        <f aca="false">IF(AND(DATE(2026,9,23)&gt;=L$7,DATE(2026,9,23)&lt;=L$6,DATE(2026,9,23)&gt;$C$7),1,0)</f>
        <v>0</v>
      </c>
      <c r="M23" s="97" t="n">
        <f aca="false">IF(AND(DATE(2026,9,23)&gt;=M$7,DATE(2026,9,23)&lt;=M$6,DATE(2026,9,23)&gt;$C$7),1,0)</f>
        <v>0</v>
      </c>
      <c r="N23" s="97" t="n">
        <f aca="false">IF(AND(DATE(2026,9,23)&gt;=N$7,DATE(2026,9,23)&lt;=N$6,DATE(2026,9,23)&gt;$C$7),1,0)</f>
        <v>0</v>
      </c>
      <c r="O23" s="97" t="n">
        <f aca="false">IF(AND(DATE(2026,9,23)&gt;=O$7,DATE(2026,9,23)&lt;=O$6,DATE(2026,9,23)&gt;$C$7),1,0)</f>
        <v>0</v>
      </c>
      <c r="P23" s="97" t="n">
        <f aca="false">IF(AND(DATE(2026,9,23)&gt;=P$7,DATE(2026,9,23)&lt;=P$6,DATE(2026,9,23)&gt;$C$7),1,0)</f>
        <v>0</v>
      </c>
      <c r="Q23" s="97" t="n">
        <f aca="false">IF(AND(DATE(2026,9,23)&gt;=Q$7,DATE(2026,9,23)&lt;=Q$6,DATE(2026,9,23)&gt;$C$7),1,0)</f>
        <v>0</v>
      </c>
      <c r="R23" s="97" t="n">
        <f aca="false">IF(AND(DATE(2026,9,23)&gt;=R$7,DATE(2026,9,23)&lt;=R$6,DATE(2026,9,23)&gt;$C$7),1,0)</f>
        <v>0</v>
      </c>
      <c r="S23" s="97" t="n">
        <f aca="false">IF(AND(DATE(2026,9,23)&gt;=S$7,DATE(2026,9,23)&lt;=S$6,DATE(2026,9,23)&gt;$C$7),1,0)</f>
        <v>0</v>
      </c>
      <c r="T23" s="97" t="n">
        <f aca="false">IF(AND(DATE(2026,9,23)&gt;=T$7,DATE(2026,9,23)&lt;=T$6,DATE(2026,9,23)&gt;$C$7),1,0)</f>
        <v>0</v>
      </c>
      <c r="U23" s="97" t="n">
        <f aca="false">SUM(H23:T23)</f>
        <v>1</v>
      </c>
    </row>
    <row r="24" customFormat="false" ht="15" hidden="false" customHeight="false" outlineLevel="1" collapsed="false">
      <c r="A24" s="13" t="s">
        <v>607</v>
      </c>
      <c r="H24" s="97" t="n">
        <f aca="false">IF(AND(DATE(2026,10,23)&gt;=H$7,DATE(2026,10,23)&lt;=H$6,DATE(2026,10,23)&gt;$C$7),1,0)</f>
        <v>0</v>
      </c>
      <c r="I24" s="97" t="n">
        <f aca="false">IF(AND(DATE(2026,10,23)&gt;=I$7,DATE(2026,10,23)&lt;=I$6,DATE(2026,10,23)&gt;$C$7),1,0)</f>
        <v>0</v>
      </c>
      <c r="J24" s="97" t="n">
        <f aca="false">IF(AND(DATE(2026,10,23)&gt;=J$7,DATE(2026,10,23)&lt;=J$6,DATE(2026,10,23)&gt;$C$7),1,0)</f>
        <v>0</v>
      </c>
      <c r="K24" s="97" t="n">
        <f aca="false">IF(AND(DATE(2026,10,23)&gt;=K$7,DATE(2026,10,23)&lt;=K$6,DATE(2026,10,23)&gt;$C$7),1,0)</f>
        <v>0</v>
      </c>
      <c r="L24" s="97" t="n">
        <f aca="false">IF(AND(DATE(2026,10,23)&gt;=L$7,DATE(2026,10,23)&lt;=L$6,DATE(2026,10,23)&gt;$C$7),1,0)</f>
        <v>0</v>
      </c>
      <c r="M24" s="97" t="n">
        <f aca="false">IF(AND(DATE(2026,10,23)&gt;=M$7,DATE(2026,10,23)&lt;=M$6,DATE(2026,10,23)&gt;$C$7),1,0)</f>
        <v>1</v>
      </c>
      <c r="N24" s="97" t="n">
        <f aca="false">IF(AND(DATE(2026,10,23)&gt;=N$7,DATE(2026,10,23)&lt;=N$6,DATE(2026,10,23)&gt;$C$7),1,0)</f>
        <v>0</v>
      </c>
      <c r="O24" s="97" t="n">
        <f aca="false">IF(AND(DATE(2026,10,23)&gt;=O$7,DATE(2026,10,23)&lt;=O$6,DATE(2026,10,23)&gt;$C$7),1,0)</f>
        <v>0</v>
      </c>
      <c r="P24" s="97" t="n">
        <f aca="false">IF(AND(DATE(2026,10,23)&gt;=P$7,DATE(2026,10,23)&lt;=P$6,DATE(2026,10,23)&gt;$C$7),1,0)</f>
        <v>0</v>
      </c>
      <c r="Q24" s="97" t="n">
        <f aca="false">IF(AND(DATE(2026,10,23)&gt;=Q$7,DATE(2026,10,23)&lt;=Q$6,DATE(2026,10,23)&gt;$C$7),1,0)</f>
        <v>0</v>
      </c>
      <c r="R24" s="97" t="n">
        <f aca="false">IF(AND(DATE(2026,10,23)&gt;=R$7,DATE(2026,10,23)&lt;=R$6,DATE(2026,10,23)&gt;$C$7),1,0)</f>
        <v>0</v>
      </c>
      <c r="S24" s="97" t="n">
        <f aca="false">IF(AND(DATE(2026,10,23)&gt;=S$7,DATE(2026,10,23)&lt;=S$6,DATE(2026,10,23)&gt;$C$7),1,0)</f>
        <v>0</v>
      </c>
      <c r="T24" s="97" t="n">
        <f aca="false">IF(AND(DATE(2026,10,23)&gt;=T$7,DATE(2026,10,23)&lt;=T$6,DATE(2026,10,23)&gt;$C$7),1,0)</f>
        <v>0</v>
      </c>
      <c r="U24" s="97" t="n">
        <f aca="false">SUM(H24:T24)</f>
        <v>1</v>
      </c>
    </row>
    <row r="25" customFormat="false" ht="15" hidden="false" customHeight="false" outlineLevel="1" collapsed="false">
      <c r="A25" s="13" t="s">
        <v>608</v>
      </c>
      <c r="H25" s="97" t="n">
        <f aca="false">IF(AND(DATE(2026,11,23)&gt;=H$7,DATE(2026,11,23)&lt;=H$6,DATE(2026,11,23)&gt;$C$7),1,0)</f>
        <v>0</v>
      </c>
      <c r="I25" s="97" t="n">
        <f aca="false">IF(AND(DATE(2026,11,23)&gt;=I$7,DATE(2026,11,23)&lt;=I$6,DATE(2026,11,23)&gt;$C$7),1,0)</f>
        <v>0</v>
      </c>
      <c r="J25" s="97" t="n">
        <f aca="false">IF(AND(DATE(2026,11,23)&gt;=J$7,DATE(2026,11,23)&lt;=J$6,DATE(2026,11,23)&gt;$C$7),1,0)</f>
        <v>0</v>
      </c>
      <c r="K25" s="97" t="n">
        <f aca="false">IF(AND(DATE(2026,11,23)&gt;=K$7,DATE(2026,11,23)&lt;=K$6,DATE(2026,11,23)&gt;$C$7),1,0)</f>
        <v>0</v>
      </c>
      <c r="L25" s="97" t="n">
        <f aca="false">IF(AND(DATE(2026,11,23)&gt;=L$7,DATE(2026,11,23)&lt;=L$6,DATE(2026,11,23)&gt;$C$7),1,0)</f>
        <v>0</v>
      </c>
      <c r="M25" s="97" t="n">
        <f aca="false">IF(AND(DATE(2026,11,23)&gt;=M$7,DATE(2026,11,23)&lt;=M$6,DATE(2026,11,23)&gt;$C$7),1,0)</f>
        <v>0</v>
      </c>
      <c r="N25" s="97" t="n">
        <f aca="false">IF(AND(DATE(2026,11,23)&gt;=N$7,DATE(2026,11,23)&lt;=N$6,DATE(2026,11,23)&gt;$C$7),1,0)</f>
        <v>0</v>
      </c>
      <c r="O25" s="97" t="n">
        <f aca="false">IF(AND(DATE(2026,11,23)&gt;=O$7,DATE(2026,11,23)&lt;=O$6,DATE(2026,11,23)&gt;$C$7),1,0)</f>
        <v>0</v>
      </c>
      <c r="P25" s="97" t="n">
        <f aca="false">IF(AND(DATE(2026,11,23)&gt;=P$7,DATE(2026,11,23)&lt;=P$6,DATE(2026,11,23)&gt;$C$7),1,0)</f>
        <v>0</v>
      </c>
      <c r="Q25" s="97" t="n">
        <f aca="false">IF(AND(DATE(2026,11,23)&gt;=Q$7,DATE(2026,11,23)&lt;=Q$6,DATE(2026,11,23)&gt;$C$7),1,0)</f>
        <v>0</v>
      </c>
      <c r="R25" s="97" t="n">
        <f aca="false">IF(AND(DATE(2026,11,23)&gt;=R$7,DATE(2026,11,23)&lt;=R$6,DATE(2026,11,23)&gt;$C$7),1,0)</f>
        <v>1</v>
      </c>
      <c r="S25" s="97" t="n">
        <f aca="false">IF(AND(DATE(2026,11,23)&gt;=S$7,DATE(2026,11,23)&lt;=S$6,DATE(2026,11,23)&gt;$C$7),1,0)</f>
        <v>0</v>
      </c>
      <c r="T25" s="97" t="n">
        <f aca="false">IF(AND(DATE(2026,11,23)&gt;=T$7,DATE(2026,11,23)&lt;=T$6,DATE(2026,11,23)&gt;$C$7),1,0)</f>
        <v>0</v>
      </c>
      <c r="U25" s="97" t="n">
        <f aca="false">SUM(H25:T25)</f>
        <v>1</v>
      </c>
    </row>
    <row r="26" customFormat="false" ht="15" hidden="false" customHeight="false" outlineLevel="1" collapsed="false">
      <c r="A26" s="13" t="s">
        <v>609</v>
      </c>
      <c r="H26" s="97" t="n">
        <f aca="false">IF(AND(DATE(2026,12,23)&gt;=H$7,DATE(2026,12,23)&lt;=H$6,DATE(2026,12,23)&gt;$C$7),1,0)</f>
        <v>0</v>
      </c>
      <c r="I26" s="97" t="n">
        <f aca="false">IF(AND(DATE(2026,12,23)&gt;=I$7,DATE(2026,12,23)&lt;=I$6,DATE(2026,12,23)&gt;$C$7),1,0)</f>
        <v>0</v>
      </c>
      <c r="J26" s="97" t="n">
        <f aca="false">IF(AND(DATE(2026,12,23)&gt;=J$7,DATE(2026,12,23)&lt;=J$6,DATE(2026,12,23)&gt;$C$7),1,0)</f>
        <v>0</v>
      </c>
      <c r="K26" s="97" t="n">
        <f aca="false">IF(AND(DATE(2026,12,23)&gt;=K$7,DATE(2026,12,23)&lt;=K$6,DATE(2026,12,23)&gt;$C$7),1,0)</f>
        <v>0</v>
      </c>
      <c r="L26" s="97" t="n">
        <f aca="false">IF(AND(DATE(2026,12,23)&gt;=L$7,DATE(2026,12,23)&lt;=L$6,DATE(2026,12,23)&gt;$C$7),1,0)</f>
        <v>0</v>
      </c>
      <c r="M26" s="97" t="n">
        <f aca="false">IF(AND(DATE(2026,12,23)&gt;=M$7,DATE(2026,12,23)&lt;=M$6,DATE(2026,12,23)&gt;$C$7),1,0)</f>
        <v>0</v>
      </c>
      <c r="N26" s="97" t="n">
        <f aca="false">IF(AND(DATE(2026,12,23)&gt;=N$7,DATE(2026,12,23)&lt;=N$6,DATE(2026,12,23)&gt;$C$7),1,0)</f>
        <v>0</v>
      </c>
      <c r="O26" s="97" t="n">
        <f aca="false">IF(AND(DATE(2026,12,23)&gt;=O$7,DATE(2026,12,23)&lt;=O$6,DATE(2026,12,23)&gt;$C$7),1,0)</f>
        <v>0</v>
      </c>
      <c r="P26" s="97" t="n">
        <f aca="false">IF(AND(DATE(2026,12,23)&gt;=P$7,DATE(2026,12,23)&lt;=P$6,DATE(2026,12,23)&gt;$C$7),1,0)</f>
        <v>0</v>
      </c>
      <c r="Q26" s="97" t="n">
        <f aca="false">IF(AND(DATE(2026,12,23)&gt;=Q$7,DATE(2026,12,23)&lt;=Q$6,DATE(2026,12,23)&gt;$C$7),1,0)</f>
        <v>0</v>
      </c>
      <c r="R26" s="97" t="n">
        <f aca="false">IF(AND(DATE(2026,12,23)&gt;=R$7,DATE(2026,12,23)&lt;=R$6,DATE(2026,12,23)&gt;$C$7),1,0)</f>
        <v>0</v>
      </c>
      <c r="S26" s="97" t="n">
        <f aca="false">IF(AND(DATE(2026,12,23)&gt;=S$7,DATE(2026,12,23)&lt;=S$6,DATE(2026,12,23)&gt;$C$7),1,0)</f>
        <v>0</v>
      </c>
      <c r="T26" s="97" t="n">
        <f aca="false">IF(AND(DATE(2026,12,23)&gt;=T$7,DATE(2026,12,23)&lt;=T$6,DATE(2026,12,23)&gt;$C$7),1,0)</f>
        <v>0</v>
      </c>
      <c r="U26" s="97" t="n">
        <f aca="false">SUM(H26:T26)</f>
        <v>0</v>
      </c>
    </row>
    <row r="27" customFormat="false" ht="15" hidden="false" customHeight="false" outlineLevel="1" collapsed="false">
      <c r="A27" s="13" t="s">
        <v>610</v>
      </c>
      <c r="H27" s="97" t="n">
        <f aca="false">IF(AND(DATE(2026,9,25)&gt;=H$7,DATE(2026,9,25)&lt;=H$6,DATE(2026,9,25)&gt;$C$7),1,0)</f>
        <v>0</v>
      </c>
      <c r="I27" s="97" t="n">
        <f aca="false">IF(AND(DATE(2026,9,25)&gt;=I$7,DATE(2026,9,25)&lt;=I$6,DATE(2026,9,25)&gt;$C$7),1,0)</f>
        <v>1</v>
      </c>
      <c r="J27" s="97" t="n">
        <f aca="false">IF(AND(DATE(2026,9,25)&gt;=J$7,DATE(2026,9,25)&lt;=J$6,DATE(2026,9,25)&gt;$C$7),1,0)</f>
        <v>0</v>
      </c>
      <c r="K27" s="97" t="n">
        <f aca="false">IF(AND(DATE(2026,9,25)&gt;=K$7,DATE(2026,9,25)&lt;=K$6,DATE(2026,9,25)&gt;$C$7),1,0)</f>
        <v>0</v>
      </c>
      <c r="L27" s="97" t="n">
        <f aca="false">IF(AND(DATE(2026,9,25)&gt;=L$7,DATE(2026,9,25)&lt;=L$6,DATE(2026,9,25)&gt;$C$7),1,0)</f>
        <v>0</v>
      </c>
      <c r="M27" s="97" t="n">
        <f aca="false">IF(AND(DATE(2026,9,25)&gt;=M$7,DATE(2026,9,25)&lt;=M$6,DATE(2026,9,25)&gt;$C$7),1,0)</f>
        <v>0</v>
      </c>
      <c r="N27" s="97" t="n">
        <f aca="false">IF(AND(DATE(2026,9,25)&gt;=N$7,DATE(2026,9,25)&lt;=N$6,DATE(2026,9,25)&gt;$C$7),1,0)</f>
        <v>0</v>
      </c>
      <c r="O27" s="97" t="n">
        <f aca="false">IF(AND(DATE(2026,9,25)&gt;=O$7,DATE(2026,9,25)&lt;=O$6,DATE(2026,9,25)&gt;$C$7),1,0)</f>
        <v>0</v>
      </c>
      <c r="P27" s="97" t="n">
        <f aca="false">IF(AND(DATE(2026,9,25)&gt;=P$7,DATE(2026,9,25)&lt;=P$6,DATE(2026,9,25)&gt;$C$7),1,0)</f>
        <v>0</v>
      </c>
      <c r="Q27" s="97" t="n">
        <f aca="false">IF(AND(DATE(2026,9,25)&gt;=Q$7,DATE(2026,9,25)&lt;=Q$6,DATE(2026,9,25)&gt;$C$7),1,0)</f>
        <v>0</v>
      </c>
      <c r="R27" s="97" t="n">
        <f aca="false">IF(AND(DATE(2026,9,25)&gt;=R$7,DATE(2026,9,25)&lt;=R$6,DATE(2026,9,25)&gt;$C$7),1,0)</f>
        <v>0</v>
      </c>
      <c r="S27" s="97" t="n">
        <f aca="false">IF(AND(DATE(2026,9,25)&gt;=S$7,DATE(2026,9,25)&lt;=S$6,DATE(2026,9,25)&gt;$C$7),1,0)</f>
        <v>0</v>
      </c>
      <c r="T27" s="97" t="n">
        <f aca="false">IF(AND(DATE(2026,9,25)&gt;=T$7,DATE(2026,9,25)&lt;=T$6,DATE(2026,9,25)&gt;$C$7),1,0)</f>
        <v>0</v>
      </c>
      <c r="U27" s="97" t="n">
        <f aca="false">SUM(H27:T27)</f>
        <v>1</v>
      </c>
    </row>
    <row r="28" customFormat="false" ht="15" hidden="false" customHeight="false" outlineLevel="1" collapsed="false">
      <c r="A28" s="13" t="s">
        <v>611</v>
      </c>
      <c r="H28" s="97" t="n">
        <f aca="false">IF(AND(DATE(2026,10,25)&gt;=H$7,DATE(2026,10,25)&lt;=H$6,DATE(2026,10,25)&gt;$C$7),1,0)</f>
        <v>0</v>
      </c>
      <c r="I28" s="97" t="n">
        <f aca="false">IF(AND(DATE(2026,10,25)&gt;=I$7,DATE(2026,10,25)&lt;=I$6,DATE(2026,10,25)&gt;$C$7),1,0)</f>
        <v>0</v>
      </c>
      <c r="J28" s="97" t="n">
        <f aca="false">IF(AND(DATE(2026,10,25)&gt;=J$7,DATE(2026,10,25)&lt;=J$6,DATE(2026,10,25)&gt;$C$7),1,0)</f>
        <v>0</v>
      </c>
      <c r="K28" s="97" t="n">
        <f aca="false">IF(AND(DATE(2026,10,25)&gt;=K$7,DATE(2026,10,25)&lt;=K$6,DATE(2026,10,25)&gt;$C$7),1,0)</f>
        <v>0</v>
      </c>
      <c r="L28" s="97" t="n">
        <f aca="false">IF(AND(DATE(2026,10,25)&gt;=L$7,DATE(2026,10,25)&lt;=L$6,DATE(2026,10,25)&gt;$C$7),1,0)</f>
        <v>0</v>
      </c>
      <c r="M28" s="97" t="n">
        <f aca="false">IF(AND(DATE(2026,10,25)&gt;=M$7,DATE(2026,10,25)&lt;=M$6,DATE(2026,10,25)&gt;$C$7),1,0)</f>
        <v>0</v>
      </c>
      <c r="N28" s="97" t="n">
        <f aca="false">IF(AND(DATE(2026,10,25)&gt;=N$7,DATE(2026,10,25)&lt;=N$6,DATE(2026,10,25)&gt;$C$7),1,0)</f>
        <v>1</v>
      </c>
      <c r="O28" s="97" t="n">
        <f aca="false">IF(AND(DATE(2026,10,25)&gt;=O$7,DATE(2026,10,25)&lt;=O$6,DATE(2026,10,25)&gt;$C$7),1,0)</f>
        <v>0</v>
      </c>
      <c r="P28" s="97" t="n">
        <f aca="false">IF(AND(DATE(2026,10,25)&gt;=P$7,DATE(2026,10,25)&lt;=P$6,DATE(2026,10,25)&gt;$C$7),1,0)</f>
        <v>0</v>
      </c>
      <c r="Q28" s="97" t="n">
        <f aca="false">IF(AND(DATE(2026,10,25)&gt;=Q$7,DATE(2026,10,25)&lt;=Q$6,DATE(2026,10,25)&gt;$C$7),1,0)</f>
        <v>0</v>
      </c>
      <c r="R28" s="97" t="n">
        <f aca="false">IF(AND(DATE(2026,10,25)&gt;=R$7,DATE(2026,10,25)&lt;=R$6,DATE(2026,10,25)&gt;$C$7),1,0)</f>
        <v>0</v>
      </c>
      <c r="S28" s="97" t="n">
        <f aca="false">IF(AND(DATE(2026,10,25)&gt;=S$7,DATE(2026,10,25)&lt;=S$6,DATE(2026,10,25)&gt;$C$7),1,0)</f>
        <v>0</v>
      </c>
      <c r="T28" s="97" t="n">
        <f aca="false">IF(AND(DATE(2026,10,25)&gt;=T$7,DATE(2026,10,25)&lt;=T$6,DATE(2026,10,25)&gt;$C$7),1,0)</f>
        <v>0</v>
      </c>
      <c r="U28" s="97" t="n">
        <f aca="false">SUM(H28:T28)</f>
        <v>1</v>
      </c>
    </row>
    <row r="29" customFormat="false" ht="15" hidden="false" customHeight="false" outlineLevel="1" collapsed="false">
      <c r="A29" s="13" t="s">
        <v>612</v>
      </c>
      <c r="H29" s="97" t="n">
        <f aca="false">IF(AND(DATE(2026,11,25)&gt;=H$7,DATE(2026,11,25)&lt;=H$6,DATE(2026,11,25)&gt;$C$7),1,0)</f>
        <v>0</v>
      </c>
      <c r="I29" s="97" t="n">
        <f aca="false">IF(AND(DATE(2026,11,25)&gt;=I$7,DATE(2026,11,25)&lt;=I$6,DATE(2026,11,25)&gt;$C$7),1,0)</f>
        <v>0</v>
      </c>
      <c r="J29" s="97" t="n">
        <f aca="false">IF(AND(DATE(2026,11,25)&gt;=J$7,DATE(2026,11,25)&lt;=J$6,DATE(2026,11,25)&gt;$C$7),1,0)</f>
        <v>0</v>
      </c>
      <c r="K29" s="97" t="n">
        <f aca="false">IF(AND(DATE(2026,11,25)&gt;=K$7,DATE(2026,11,25)&lt;=K$6,DATE(2026,11,25)&gt;$C$7),1,0)</f>
        <v>0</v>
      </c>
      <c r="L29" s="97" t="n">
        <f aca="false">IF(AND(DATE(2026,11,25)&gt;=L$7,DATE(2026,11,25)&lt;=L$6,DATE(2026,11,25)&gt;$C$7),1,0)</f>
        <v>0</v>
      </c>
      <c r="M29" s="97" t="n">
        <f aca="false">IF(AND(DATE(2026,11,25)&gt;=M$7,DATE(2026,11,25)&lt;=M$6,DATE(2026,11,25)&gt;$C$7),1,0)</f>
        <v>0</v>
      </c>
      <c r="N29" s="97" t="n">
        <f aca="false">IF(AND(DATE(2026,11,25)&gt;=N$7,DATE(2026,11,25)&lt;=N$6,DATE(2026,11,25)&gt;$C$7),1,0)</f>
        <v>0</v>
      </c>
      <c r="O29" s="97" t="n">
        <f aca="false">IF(AND(DATE(2026,11,25)&gt;=O$7,DATE(2026,11,25)&lt;=O$6,DATE(2026,11,25)&gt;$C$7),1,0)</f>
        <v>0</v>
      </c>
      <c r="P29" s="97" t="n">
        <f aca="false">IF(AND(DATE(2026,11,25)&gt;=P$7,DATE(2026,11,25)&lt;=P$6,DATE(2026,11,25)&gt;$C$7),1,0)</f>
        <v>0</v>
      </c>
      <c r="Q29" s="97" t="n">
        <f aca="false">IF(AND(DATE(2026,11,25)&gt;=Q$7,DATE(2026,11,25)&lt;=Q$6,DATE(2026,11,25)&gt;$C$7),1,0)</f>
        <v>0</v>
      </c>
      <c r="R29" s="97" t="n">
        <f aca="false">IF(AND(DATE(2026,11,25)&gt;=R$7,DATE(2026,11,25)&lt;=R$6,DATE(2026,11,25)&gt;$C$7),1,0)</f>
        <v>1</v>
      </c>
      <c r="S29" s="97" t="n">
        <f aca="false">IF(AND(DATE(2026,11,25)&gt;=S$7,DATE(2026,11,25)&lt;=S$6,DATE(2026,11,25)&gt;$C$7),1,0)</f>
        <v>0</v>
      </c>
      <c r="T29" s="97" t="n">
        <f aca="false">IF(AND(DATE(2026,11,25)&gt;=T$7,DATE(2026,11,25)&lt;=T$6,DATE(2026,11,25)&gt;$C$7),1,0)</f>
        <v>0</v>
      </c>
      <c r="U29" s="97" t="n">
        <f aca="false">SUM(H29:T29)</f>
        <v>1</v>
      </c>
    </row>
    <row r="30" customFormat="false" ht="15" hidden="false" customHeight="false" outlineLevel="1" collapsed="false">
      <c r="A30" s="13" t="s">
        <v>613</v>
      </c>
      <c r="H30" s="97" t="n">
        <f aca="false">IF(AND(DATE(2026,12,25)&gt;=H$7,DATE(2026,12,25)&lt;=H$6,DATE(2026,12,25)&gt;$C$7),1,0)</f>
        <v>0</v>
      </c>
      <c r="I30" s="97" t="n">
        <f aca="false">IF(AND(DATE(2026,12,25)&gt;=I$7,DATE(2026,12,25)&lt;=I$6,DATE(2026,12,25)&gt;$C$7),1,0)</f>
        <v>0</v>
      </c>
      <c r="J30" s="97" t="n">
        <f aca="false">IF(AND(DATE(2026,12,25)&gt;=J$7,DATE(2026,12,25)&lt;=J$6,DATE(2026,12,25)&gt;$C$7),1,0)</f>
        <v>0</v>
      </c>
      <c r="K30" s="97" t="n">
        <f aca="false">IF(AND(DATE(2026,12,25)&gt;=K$7,DATE(2026,12,25)&lt;=K$6,DATE(2026,12,25)&gt;$C$7),1,0)</f>
        <v>0</v>
      </c>
      <c r="L30" s="97" t="n">
        <f aca="false">IF(AND(DATE(2026,12,25)&gt;=L$7,DATE(2026,12,25)&lt;=L$6,DATE(2026,12,25)&gt;$C$7),1,0)</f>
        <v>0</v>
      </c>
      <c r="M30" s="97" t="n">
        <f aca="false">IF(AND(DATE(2026,12,25)&gt;=M$7,DATE(2026,12,25)&lt;=M$6,DATE(2026,12,25)&gt;$C$7),1,0)</f>
        <v>0</v>
      </c>
      <c r="N30" s="97" t="n">
        <f aca="false">IF(AND(DATE(2026,12,25)&gt;=N$7,DATE(2026,12,25)&lt;=N$6,DATE(2026,12,25)&gt;$C$7),1,0)</f>
        <v>0</v>
      </c>
      <c r="O30" s="97" t="n">
        <f aca="false">IF(AND(DATE(2026,12,25)&gt;=O$7,DATE(2026,12,25)&lt;=O$6,DATE(2026,12,25)&gt;$C$7),1,0)</f>
        <v>0</v>
      </c>
      <c r="P30" s="97" t="n">
        <f aca="false">IF(AND(DATE(2026,12,25)&gt;=P$7,DATE(2026,12,25)&lt;=P$6,DATE(2026,12,25)&gt;$C$7),1,0)</f>
        <v>0</v>
      </c>
      <c r="Q30" s="97" t="n">
        <f aca="false">IF(AND(DATE(2026,12,25)&gt;=Q$7,DATE(2026,12,25)&lt;=Q$6,DATE(2026,12,25)&gt;$C$7),1,0)</f>
        <v>0</v>
      </c>
      <c r="R30" s="97" t="n">
        <f aca="false">IF(AND(DATE(2026,12,25)&gt;=R$7,DATE(2026,12,25)&lt;=R$6,DATE(2026,12,25)&gt;$C$7),1,0)</f>
        <v>0</v>
      </c>
      <c r="S30" s="97" t="n">
        <f aca="false">IF(AND(DATE(2026,12,25)&gt;=S$7,DATE(2026,12,25)&lt;=S$6,DATE(2026,12,25)&gt;$C$7),1,0)</f>
        <v>0</v>
      </c>
      <c r="T30" s="97" t="n">
        <f aca="false">IF(AND(DATE(2026,12,25)&gt;=T$7,DATE(2026,12,25)&lt;=T$6,DATE(2026,12,25)&gt;$C$7),1,0)</f>
        <v>0</v>
      </c>
      <c r="U30" s="97" t="n">
        <f aca="false">SUM(H30:T30)</f>
        <v>0</v>
      </c>
    </row>
    <row r="31" customFormat="false" ht="15" hidden="false" customHeight="false" outlineLevel="1" collapsed="false">
      <c r="A31" s="13" t="s">
        <v>614</v>
      </c>
      <c r="H31" s="97" t="n">
        <f aca="false">IF(AND(Assumptions!M$95&gt;=H$7,Assumptions!M$95&lt;=H$6,Assumptions!M$95&gt;$C$7),1,0)</f>
        <v>0</v>
      </c>
      <c r="I31" s="97" t="n">
        <f aca="false">IF(AND(Assumptions!M$95&gt;=I$7,Assumptions!M$95&lt;=I$6,Assumptions!M$95&gt;$C$7),1,0)</f>
        <v>0</v>
      </c>
      <c r="J31" s="97" t="n">
        <f aca="false">IF(AND(Assumptions!M$95&gt;=J$7,Assumptions!M$95&lt;=J$6,Assumptions!M$95&gt;$C$7),1,0)</f>
        <v>1</v>
      </c>
      <c r="K31" s="97" t="n">
        <f aca="false">IF(AND(Assumptions!M$95&gt;=K$7,Assumptions!M$95&lt;=K$6,Assumptions!M$95&gt;$C$7),1,0)</f>
        <v>0</v>
      </c>
      <c r="L31" s="97" t="n">
        <f aca="false">IF(AND(Assumptions!M$95&gt;=L$7,Assumptions!M$95&lt;=L$6,Assumptions!M$95&gt;$C$7),1,0)</f>
        <v>0</v>
      </c>
      <c r="M31" s="97" t="n">
        <f aca="false">IF(AND(Assumptions!M$95&gt;=M$7,Assumptions!M$95&lt;=M$6,Assumptions!M$95&gt;$C$7),1,0)</f>
        <v>0</v>
      </c>
      <c r="N31" s="97" t="n">
        <f aca="false">IF(AND(Assumptions!M$95&gt;=N$7,Assumptions!M$95&lt;=N$6,Assumptions!M$95&gt;$C$7),1,0)</f>
        <v>0</v>
      </c>
      <c r="O31" s="97" t="n">
        <f aca="false">IF(AND(Assumptions!M$95&gt;=O$7,Assumptions!M$95&lt;=O$6,Assumptions!M$95&gt;$C$7),1,0)</f>
        <v>0</v>
      </c>
      <c r="P31" s="97" t="n">
        <f aca="false">IF(AND(Assumptions!M$95&gt;=P$7,Assumptions!M$95&lt;=P$6,Assumptions!M$95&gt;$C$7),1,0)</f>
        <v>0</v>
      </c>
      <c r="Q31" s="97" t="n">
        <f aca="false">IF(AND(Assumptions!M$95&gt;=Q$7,Assumptions!M$95&lt;=Q$6,Assumptions!M$95&gt;$C$7),1,0)</f>
        <v>0</v>
      </c>
      <c r="R31" s="97" t="n">
        <f aca="false">IF(AND(Assumptions!M$95&gt;=R$7,Assumptions!M$95&lt;=R$6,Assumptions!M$95&gt;$C$7),1,0)</f>
        <v>0</v>
      </c>
      <c r="S31" s="97" t="n">
        <f aca="false">IF(AND(Assumptions!M$95&gt;=S$7,Assumptions!M$95&lt;=S$6,Assumptions!M$95&gt;$C$7),1,0)</f>
        <v>0</v>
      </c>
      <c r="T31" s="97" t="n">
        <f aca="false">IF(AND(Assumptions!M$95&gt;=T$7,Assumptions!M$95&lt;=T$6,Assumptions!M$95&gt;$C$7),1,0)</f>
        <v>0</v>
      </c>
      <c r="U31" s="97" t="n">
        <f aca="false">SUM(H31:T31)</f>
        <v>1</v>
      </c>
    </row>
    <row r="32" customFormat="false" ht="15" hidden="false" customHeight="false" outlineLevel="1" collapsed="false">
      <c r="A32" s="13" t="s">
        <v>615</v>
      </c>
      <c r="H32" s="97" t="n">
        <f aca="false">IF(AND(Assumptions!N$95&gt;=H$7,Assumptions!N$95&lt;=H$6,Assumptions!N$95&gt;$C$7),1,0)</f>
        <v>0</v>
      </c>
      <c r="I32" s="97" t="n">
        <f aca="false">IF(AND(Assumptions!N$95&gt;=I$7,Assumptions!N$95&lt;=I$6,Assumptions!N$95&gt;$C$7),1,0)</f>
        <v>0</v>
      </c>
      <c r="J32" s="97" t="n">
        <f aca="false">IF(AND(Assumptions!N$95&gt;=J$7,Assumptions!N$95&lt;=J$6,Assumptions!N$95&gt;$C$7),1,0)</f>
        <v>0</v>
      </c>
      <c r="K32" s="97" t="n">
        <f aca="false">IF(AND(Assumptions!N$95&gt;=K$7,Assumptions!N$95&lt;=K$6,Assumptions!N$95&gt;$C$7),1,0)</f>
        <v>0</v>
      </c>
      <c r="L32" s="97" t="n">
        <f aca="false">IF(AND(Assumptions!N$95&gt;=L$7,Assumptions!N$95&lt;=L$6,Assumptions!N$95&gt;$C$7),1,0)</f>
        <v>0</v>
      </c>
      <c r="M32" s="97" t="n">
        <f aca="false">IF(AND(Assumptions!N$95&gt;=M$7,Assumptions!N$95&lt;=M$6,Assumptions!N$95&gt;$C$7),1,0)</f>
        <v>0</v>
      </c>
      <c r="N32" s="97" t="n">
        <f aca="false">IF(AND(Assumptions!N$95&gt;=N$7,Assumptions!N$95&lt;=N$6,Assumptions!N$95&gt;$C$7),1,0)</f>
        <v>0</v>
      </c>
      <c r="O32" s="97" t="n">
        <f aca="false">IF(AND(Assumptions!N$95&gt;=O$7,Assumptions!N$95&lt;=O$6,Assumptions!N$95&gt;$C$7),1,0)</f>
        <v>1</v>
      </c>
      <c r="P32" s="97" t="n">
        <f aca="false">IF(AND(Assumptions!N$95&gt;=P$7,Assumptions!N$95&lt;=P$6,Assumptions!N$95&gt;$C$7),1,0)</f>
        <v>0</v>
      </c>
      <c r="Q32" s="97" t="n">
        <f aca="false">IF(AND(Assumptions!N$95&gt;=Q$7,Assumptions!N$95&lt;=Q$6,Assumptions!N$95&gt;$C$7),1,0)</f>
        <v>0</v>
      </c>
      <c r="R32" s="97" t="n">
        <f aca="false">IF(AND(Assumptions!N$95&gt;=R$7,Assumptions!N$95&lt;=R$6,Assumptions!N$95&gt;$C$7),1,0)</f>
        <v>0</v>
      </c>
      <c r="S32" s="97" t="n">
        <f aca="false">IF(AND(Assumptions!N$95&gt;=S$7,Assumptions!N$95&lt;=S$6,Assumptions!N$95&gt;$C$7),1,0)</f>
        <v>0</v>
      </c>
      <c r="T32" s="97" t="n">
        <f aca="false">IF(AND(Assumptions!N$95&gt;=T$7,Assumptions!N$95&lt;=T$6,Assumptions!N$95&gt;$C$7),1,0)</f>
        <v>0</v>
      </c>
      <c r="U32" s="97" t="n">
        <f aca="false">SUM(H32:T32)</f>
        <v>1</v>
      </c>
    </row>
    <row r="33" customFormat="false" ht="15" hidden="false" customHeight="false" outlineLevel="1" collapsed="false">
      <c r="A33" s="13" t="s">
        <v>616</v>
      </c>
      <c r="H33" s="97" t="n">
        <f aca="false">IF(AND(Assumptions!O$95&gt;=H$7,Assumptions!O$95&lt;=H$6,Assumptions!O$95&gt;$C$7),1,0)</f>
        <v>0</v>
      </c>
      <c r="I33" s="97" t="n">
        <f aca="false">IF(AND(Assumptions!O$95&gt;=I$7,Assumptions!O$95&lt;=I$6,Assumptions!O$95&gt;$C$7),1,0)</f>
        <v>0</v>
      </c>
      <c r="J33" s="97" t="n">
        <f aca="false">IF(AND(Assumptions!O$95&gt;=J$7,Assumptions!O$95&lt;=J$6,Assumptions!O$95&gt;$C$7),1,0)</f>
        <v>0</v>
      </c>
      <c r="K33" s="97" t="n">
        <f aca="false">IF(AND(Assumptions!O$95&gt;=K$7,Assumptions!O$95&lt;=K$6,Assumptions!O$95&gt;$C$7),1,0)</f>
        <v>0</v>
      </c>
      <c r="L33" s="97" t="n">
        <f aca="false">IF(AND(Assumptions!O$95&gt;=L$7,Assumptions!O$95&lt;=L$6,Assumptions!O$95&gt;$C$7),1,0)</f>
        <v>0</v>
      </c>
      <c r="M33" s="97" t="n">
        <f aca="false">IF(AND(Assumptions!O$95&gt;=M$7,Assumptions!O$95&lt;=M$6,Assumptions!O$95&gt;$C$7),1,0)</f>
        <v>0</v>
      </c>
      <c r="N33" s="97" t="n">
        <f aca="false">IF(AND(Assumptions!O$95&gt;=N$7,Assumptions!O$95&lt;=N$6,Assumptions!O$95&gt;$C$7),1,0)</f>
        <v>0</v>
      </c>
      <c r="O33" s="97" t="n">
        <f aca="false">IF(AND(Assumptions!O$95&gt;=O$7,Assumptions!O$95&lt;=O$6,Assumptions!O$95&gt;$C$7),1,0)</f>
        <v>0</v>
      </c>
      <c r="P33" s="97" t="n">
        <f aca="false">IF(AND(Assumptions!O$95&gt;=P$7,Assumptions!O$95&lt;=P$6,Assumptions!O$95&gt;$C$7),1,0)</f>
        <v>0</v>
      </c>
      <c r="Q33" s="97" t="n">
        <f aca="false">IF(AND(Assumptions!O$95&gt;=Q$7,Assumptions!O$95&lt;=Q$6,Assumptions!O$95&gt;$C$7),1,0)</f>
        <v>0</v>
      </c>
      <c r="R33" s="97" t="n">
        <f aca="false">IF(AND(Assumptions!O$95&gt;=R$7,Assumptions!O$95&lt;=R$6,Assumptions!O$95&gt;$C$7),1,0)</f>
        <v>0</v>
      </c>
      <c r="S33" s="97" t="n">
        <f aca="false">IF(AND(Assumptions!O$95&gt;=S$7,Assumptions!O$95&lt;=S$6,Assumptions!O$95&gt;$C$7),1,0)</f>
        <v>1</v>
      </c>
      <c r="T33" s="97" t="n">
        <f aca="false">IF(AND(Assumptions!O$95&gt;=T$7,Assumptions!O$95&lt;=T$6,Assumptions!O$95&gt;$C$7),1,0)</f>
        <v>0</v>
      </c>
      <c r="U33" s="97" t="n">
        <f aca="false">SUM(H33:T33)</f>
        <v>1</v>
      </c>
    </row>
    <row r="34" customFormat="false" ht="15" hidden="false" customHeight="false" outlineLevel="1" collapsed="false">
      <c r="A34" s="13" t="s">
        <v>617</v>
      </c>
      <c r="H34" s="97" t="n">
        <f aca="false">IF(AND(Assumptions!P$95&gt;=H$7,Assumptions!P$95&lt;=H$6,Assumptions!P$95&gt;$C$7),1,0)</f>
        <v>0</v>
      </c>
      <c r="I34" s="97" t="n">
        <f aca="false">IF(AND(Assumptions!P$95&gt;=I$7,Assumptions!P$95&lt;=I$6,Assumptions!P$95&gt;$C$7),1,0)</f>
        <v>0</v>
      </c>
      <c r="J34" s="97" t="n">
        <f aca="false">IF(AND(Assumptions!P$95&gt;=J$7,Assumptions!P$95&lt;=J$6,Assumptions!P$95&gt;$C$7),1,0)</f>
        <v>0</v>
      </c>
      <c r="K34" s="97" t="n">
        <f aca="false">IF(AND(Assumptions!P$95&gt;=K$7,Assumptions!P$95&lt;=K$6,Assumptions!P$95&gt;$C$7),1,0)</f>
        <v>0</v>
      </c>
      <c r="L34" s="97" t="n">
        <f aca="false">IF(AND(Assumptions!P$95&gt;=L$7,Assumptions!P$95&lt;=L$6,Assumptions!P$95&gt;$C$7),1,0)</f>
        <v>0</v>
      </c>
      <c r="M34" s="97" t="n">
        <f aca="false">IF(AND(Assumptions!P$95&gt;=M$7,Assumptions!P$95&lt;=M$6,Assumptions!P$95&gt;$C$7),1,0)</f>
        <v>0</v>
      </c>
      <c r="N34" s="97" t="n">
        <f aca="false">IF(AND(Assumptions!P$95&gt;=N$7,Assumptions!P$95&lt;=N$6,Assumptions!P$95&gt;$C$7),1,0)</f>
        <v>0</v>
      </c>
      <c r="O34" s="97" t="n">
        <f aca="false">IF(AND(Assumptions!P$95&gt;=O$7,Assumptions!P$95&lt;=O$6,Assumptions!P$95&gt;$C$7),1,0)</f>
        <v>0</v>
      </c>
      <c r="P34" s="97" t="n">
        <f aca="false">IF(AND(Assumptions!P$95&gt;=P$7,Assumptions!P$95&lt;=P$6,Assumptions!P$95&gt;$C$7),1,0)</f>
        <v>0</v>
      </c>
      <c r="Q34" s="97" t="n">
        <f aca="false">IF(AND(Assumptions!P$95&gt;=Q$7,Assumptions!P$95&lt;=Q$6,Assumptions!P$95&gt;$C$7),1,0)</f>
        <v>0</v>
      </c>
      <c r="R34" s="97" t="n">
        <f aca="false">IF(AND(Assumptions!P$95&gt;=R$7,Assumptions!P$95&lt;=R$6,Assumptions!P$95&gt;$C$7),1,0)</f>
        <v>0</v>
      </c>
      <c r="S34" s="97" t="n">
        <f aca="false">IF(AND(Assumptions!P$95&gt;=S$7,Assumptions!P$95&lt;=S$6,Assumptions!P$95&gt;$C$7),1,0)</f>
        <v>0</v>
      </c>
      <c r="T34" s="97" t="n">
        <f aca="false">IF(AND(Assumptions!P$95&gt;=T$7,Assumptions!P$95&lt;=T$6,Assumptions!P$95&gt;$C$7),1,0)</f>
        <v>0</v>
      </c>
      <c r="U34" s="97" t="n">
        <f aca="false">SUM(H34:T34)</f>
        <v>0</v>
      </c>
    </row>
    <row r="36" customFormat="false" ht="15" hidden="false" customHeight="false" outlineLevel="0" collapsed="false">
      <c r="A36" s="21" t="s">
        <v>618</v>
      </c>
      <c r="B36" s="22"/>
      <c r="C36" s="22"/>
      <c r="D36" s="22"/>
      <c r="E36" s="22"/>
      <c r="F36" s="22"/>
      <c r="G36" s="22"/>
      <c r="H36" s="22"/>
      <c r="I36" s="22"/>
      <c r="J36" s="22"/>
      <c r="K36" s="22"/>
      <c r="L36" s="22"/>
      <c r="M36" s="22"/>
      <c r="N36" s="22"/>
      <c r="O36" s="22"/>
      <c r="P36" s="22"/>
      <c r="Q36" s="22"/>
      <c r="R36" s="22"/>
      <c r="S36" s="22"/>
      <c r="T36" s="22"/>
      <c r="U36" s="22"/>
      <c r="V36" s="22"/>
      <c r="W36" s="22"/>
    </row>
    <row r="37" customFormat="false" ht="15" hidden="false" customHeight="false" outlineLevel="0" collapsed="false">
      <c r="A37" s="27" t="s">
        <v>619</v>
      </c>
      <c r="B37" s="56" t="s">
        <v>620</v>
      </c>
      <c r="C37" s="71" t="n">
        <v>68014</v>
      </c>
      <c r="D37" s="58" t="n">
        <f aca="false">Residential!M34</f>
        <v>185493.448233123</v>
      </c>
      <c r="E37" s="58" t="n">
        <f aca="false">Residential!N34</f>
        <v>175500.250218207</v>
      </c>
      <c r="F37" s="58" t="n">
        <f aca="false">Residential!O34</f>
        <v>167082.275281234</v>
      </c>
      <c r="G37" s="58" t="n">
        <f aca="false">Residential!P34</f>
        <v>155977.063752898</v>
      </c>
      <c r="H37" s="70" t="n">
        <f aca="false">(D37-$C37)*H$11+E37*H$12+F37*H$13+G37*H$14</f>
        <v>43281.9019806242</v>
      </c>
      <c r="I37" s="70" t="n">
        <f aca="false">(D37-$C37)*I$11+E37*I$12+F37*I$13+G37*I$14</f>
        <v>43281.9019806242</v>
      </c>
      <c r="J37" s="70" t="n">
        <f aca="false">(D37-$C37)*J$11+E37*J$12+F37*J$13+G37*J$14</f>
        <v>42238.2410601459</v>
      </c>
      <c r="K37" s="70" t="n">
        <f aca="false">(D37-$C37)*K$11+E37*K$12+F37*K$13+G37*K$14</f>
        <v>39629.0887589501</v>
      </c>
      <c r="L37" s="70" t="n">
        <f aca="false">(D37-$C37)*L$11+E37*L$12+F37*L$13+G37*L$14</f>
        <v>39629.0887589501</v>
      </c>
      <c r="M37" s="70" t="n">
        <f aca="false">(D37-$C37)*M$11+E37*M$12+F37*M$13+G37*M$14</f>
        <v>39629.0887589501</v>
      </c>
      <c r="N37" s="70" t="n">
        <f aca="false">(D37-$C37)*N$11+E37*N$12+F37*N$13+G37*N$14</f>
        <v>39629.0887589501</v>
      </c>
      <c r="O37" s="70" t="n">
        <f aca="false">(D37-$C37)*O$11+E37*O$12+F37*O$13+G37*O$14</f>
        <v>39077.7534503825</v>
      </c>
      <c r="P37" s="70" t="n">
        <f aca="false">(D37-$C37)*P$11+E37*P$12+F37*P$13+G37*P$14</f>
        <v>38985.864232288</v>
      </c>
      <c r="Q37" s="70" t="n">
        <f aca="false">(D37-$C37)*Q$11+E37*Q$12+F37*Q$13+G37*Q$14</f>
        <v>38985.864232288</v>
      </c>
      <c r="R37" s="70" t="n">
        <f aca="false">(D37-$C37)*R$11+E37*R$12+F37*R$13+G37*R$14</f>
        <v>38985.864232288</v>
      </c>
      <c r="S37" s="70" t="n">
        <f aca="false">(D37-$C37)*S$11+E37*S$12+F37*S$13+G37*S$14</f>
        <v>36834.3002704328</v>
      </c>
      <c r="T37" s="70" t="n">
        <f aca="false">(D37-$C37)*T$11+E37*T$12+F37*T$13+G37*T$14</f>
        <v>35220.6272990415</v>
      </c>
      <c r="U37" s="57" t="n">
        <f aca="false">SUM(H37:T37)</f>
        <v>515408.673773915</v>
      </c>
      <c r="V37" s="98" t="n">
        <f aca="false">SUM(H$14:T$14)</f>
        <v>0.354838709677419</v>
      </c>
      <c r="W37" s="28" t="n">
        <f aca="false">G37*(1-V37)</f>
        <v>100630.363711547</v>
      </c>
    </row>
    <row r="38" customFormat="false" ht="15" hidden="false" customHeight="false" outlineLevel="0" collapsed="false">
      <c r="A38" s="27" t="s">
        <v>621</v>
      </c>
      <c r="B38" s="56" t="s">
        <v>620</v>
      </c>
      <c r="C38" s="71" t="n">
        <v>23567</v>
      </c>
      <c r="D38" s="58" t="n">
        <f aca="false">Residential!M36</f>
        <v>64273.0500000001</v>
      </c>
      <c r="E38" s="58" t="n">
        <f aca="false">Residential!N36</f>
        <v>44114</v>
      </c>
      <c r="F38" s="58" t="n">
        <f aca="false">Residential!O36</f>
        <v>72258</v>
      </c>
      <c r="G38" s="58" t="n">
        <f aca="false">Residential!P36</f>
        <v>96684</v>
      </c>
      <c r="H38" s="70" t="n">
        <f aca="false">(D38-$C38)*H$11+E38*H$12+F38*H$13+G38*H$14</f>
        <v>14996.9657894737</v>
      </c>
      <c r="I38" s="70" t="n">
        <f aca="false">(D38-$C38)*I$11+E38*I$12+F38*I$13+G38*I$14</f>
        <v>14996.9657894737</v>
      </c>
      <c r="J38" s="70" t="n">
        <f aca="false">(D38-$C38)*J$11+E38*J$12+F38*J$13+G38*J$14</f>
        <v>13558.1829371817</v>
      </c>
      <c r="K38" s="70" t="n">
        <f aca="false">(D38-$C38)*K$11+E38*K$12+F38*K$13+G38*K$14</f>
        <v>9961.22580645161</v>
      </c>
      <c r="L38" s="70" t="n">
        <f aca="false">(D38-$C38)*L$11+E38*L$12+F38*L$13+G38*L$14</f>
        <v>9961.22580645161</v>
      </c>
      <c r="M38" s="70" t="n">
        <f aca="false">(D38-$C38)*M$11+E38*M$12+F38*M$13+G38*M$14</f>
        <v>9961.22580645161</v>
      </c>
      <c r="N38" s="70" t="n">
        <f aca="false">(D38-$C38)*N$11+E38*N$12+F38*N$13+G38*N$14</f>
        <v>9961.22580645161</v>
      </c>
      <c r="O38" s="70" t="n">
        <f aca="false">(D38-$C38)*O$11+E38*O$12+F38*O$13+G38*O$14</f>
        <v>15874.6322580645</v>
      </c>
      <c r="P38" s="70" t="n">
        <f aca="false">(D38-$C38)*P$11+E38*P$12+F38*P$13+G38*P$14</f>
        <v>16860.2</v>
      </c>
      <c r="Q38" s="70" t="n">
        <f aca="false">(D38-$C38)*Q$11+E38*Q$12+F38*Q$13+G38*Q$14</f>
        <v>16860.2</v>
      </c>
      <c r="R38" s="70" t="n">
        <f aca="false">(D38-$C38)*R$11+E38*R$12+F38*R$13+G38*R$14</f>
        <v>16860.2</v>
      </c>
      <c r="S38" s="70" t="n">
        <f aca="false">(D38-$C38)*S$11+E38*S$12+F38*S$13+G38*S$14</f>
        <v>19701.1548387097</v>
      </c>
      <c r="T38" s="70" t="n">
        <f aca="false">(D38-$C38)*T$11+E38*T$12+F38*T$13+G38*T$14</f>
        <v>21831.8709677419</v>
      </c>
      <c r="U38" s="57" t="n">
        <f aca="false">SUM(H38:T38)</f>
        <v>191385.275806452</v>
      </c>
      <c r="V38" s="98" t="n">
        <f aca="false">SUM(H$14:T$14)</f>
        <v>0.354838709677419</v>
      </c>
      <c r="W38" s="28" t="n">
        <f aca="false">G38*(1-V38)</f>
        <v>62376.7741935484</v>
      </c>
    </row>
    <row r="39" customFormat="false" ht="15" hidden="false" customHeight="false" outlineLevel="0" collapsed="false">
      <c r="A39" s="27" t="s">
        <v>622</v>
      </c>
      <c r="B39" s="56" t="s">
        <v>620</v>
      </c>
      <c r="C39" s="71" t="n">
        <v>81811</v>
      </c>
      <c r="D39" s="58" t="n">
        <f aca="false">Residential!M63</f>
        <v>223121.122706243</v>
      </c>
      <c r="E39" s="58" t="n">
        <f aca="false">Residential!N63</f>
        <v>203646.780816848</v>
      </c>
      <c r="F39" s="58" t="n">
        <f aca="false">Residential!O63</f>
        <v>201300.99161948</v>
      </c>
      <c r="G39" s="58" t="n">
        <f aca="false">Residential!P63</f>
        <v>189215.870274042</v>
      </c>
      <c r="H39" s="70" t="n">
        <f aca="false">(D39-$C39)*H$11+E39*H$12+F39*H$13+G39*H$14</f>
        <v>52061.6241549315</v>
      </c>
      <c r="I39" s="70" t="n">
        <f aca="false">(D39-$C39)*I$11+E39*I$12+F39*I$13+G39*I$14</f>
        <v>52061.6241549315</v>
      </c>
      <c r="J39" s="70" t="n">
        <f aca="false">(D39-$C39)*J$11+E39*J$12+F39*J$13+G39*J$14</f>
        <v>50325.3763845634</v>
      </c>
      <c r="K39" s="70" t="n">
        <f aca="false">(D39-$C39)*K$11+E39*K$12+F39*K$13+G39*K$14</f>
        <v>45984.7569586432</v>
      </c>
      <c r="L39" s="70" t="n">
        <f aca="false">(D39-$C39)*L$11+E39*L$12+F39*L$13+G39*L$14</f>
        <v>45984.7569586432</v>
      </c>
      <c r="M39" s="70" t="n">
        <f aca="false">(D39-$C39)*M$11+E39*M$12+F39*M$13+G39*M$14</f>
        <v>45984.7569586432</v>
      </c>
      <c r="N39" s="70" t="n">
        <f aca="false">(D39-$C39)*N$11+E39*N$12+F39*N$13+G39*N$14</f>
        <v>45984.7569586432</v>
      </c>
      <c r="O39" s="70" t="n">
        <f aca="false">(D39-$C39)*O$11+E39*O$12+F39*O$13+G39*O$14</f>
        <v>46829.449317988</v>
      </c>
      <c r="P39" s="70" t="n">
        <f aca="false">(D39-$C39)*P$11+E39*P$12+F39*P$13+G39*P$14</f>
        <v>46970.2313778788</v>
      </c>
      <c r="Q39" s="70" t="n">
        <f aca="false">(D39-$C39)*Q$11+E39*Q$12+F39*Q$13+G39*Q$14</f>
        <v>46970.2313778788</v>
      </c>
      <c r="R39" s="70" t="n">
        <f aca="false">(D39-$C39)*R$11+E39*R$12+F39*R$13+G39*R$14</f>
        <v>46970.2313778788</v>
      </c>
      <c r="S39" s="70" t="n">
        <f aca="false">(D39-$C39)*S$11+E39*S$12+F39*S$13+G39*S$14</f>
        <v>44545.0501650503</v>
      </c>
      <c r="T39" s="70" t="n">
        <f aca="false">(D39-$C39)*T$11+E39*T$12+F39*T$13+G39*T$14</f>
        <v>42726.1642554289</v>
      </c>
      <c r="U39" s="57" t="n">
        <f aca="false">SUM(H39:T39)</f>
        <v>613399.010401103</v>
      </c>
      <c r="V39" s="98" t="n">
        <f aca="false">SUM(H$14:T$14)</f>
        <v>0.354838709677419</v>
      </c>
      <c r="W39" s="28" t="n">
        <f aca="false">G39*(1-V39)</f>
        <v>122074.755015511</v>
      </c>
    </row>
    <row r="40" customFormat="false" ht="15" hidden="false" customHeight="false" outlineLevel="0" collapsed="false">
      <c r="A40" s="27" t="s">
        <v>623</v>
      </c>
      <c r="B40" s="56" t="s">
        <v>624</v>
      </c>
      <c r="C40" s="28" t="n">
        <v>0</v>
      </c>
      <c r="D40" s="58" t="n">
        <f aca="false">WIP!M664</f>
        <v>299690.06347025</v>
      </c>
      <c r="E40" s="58" t="n">
        <f aca="false">WIP!N664</f>
        <v>333679.08651129</v>
      </c>
      <c r="F40" s="58" t="n">
        <f aca="false">WIP!O664</f>
        <v>480332.000477398</v>
      </c>
      <c r="G40" s="58" t="n">
        <f aca="false">WIP!P664</f>
        <v>518852.630509881</v>
      </c>
      <c r="H40" s="70" t="n">
        <f aca="false">(D40-$C40)*H$31+E40*H$32+F40*H$33+G40*H$34</f>
        <v>0</v>
      </c>
      <c r="I40" s="70" t="n">
        <f aca="false">(D40-$C40)*I$31+E40*I$32+F40*I$33+G40*I$34</f>
        <v>0</v>
      </c>
      <c r="J40" s="70" t="n">
        <f aca="false">(D40-$C40)*J$31+E40*J$32+F40*J$33+G40*J$34</f>
        <v>299690.06347025</v>
      </c>
      <c r="K40" s="70" t="n">
        <f aca="false">(D40-$C40)*K$31+E40*K$32+F40*K$33+G40*K$34</f>
        <v>0</v>
      </c>
      <c r="L40" s="70" t="n">
        <f aca="false">(D40-$C40)*L$31+E40*L$32+F40*L$33+G40*L$34</f>
        <v>0</v>
      </c>
      <c r="M40" s="70" t="n">
        <f aca="false">(D40-$C40)*M$31+E40*M$32+F40*M$33+G40*M$34</f>
        <v>0</v>
      </c>
      <c r="N40" s="70" t="n">
        <f aca="false">(D40-$C40)*N$31+E40*N$32+F40*N$33+G40*N$34</f>
        <v>0</v>
      </c>
      <c r="O40" s="70" t="n">
        <f aca="false">(D40-$C40)*O$31+E40*O$32+F40*O$33+G40*O$34</f>
        <v>333679.08651129</v>
      </c>
      <c r="P40" s="70" t="n">
        <f aca="false">(D40-$C40)*P$31+E40*P$32+F40*P$33+G40*P$34</f>
        <v>0</v>
      </c>
      <c r="Q40" s="70" t="n">
        <f aca="false">(D40-$C40)*Q$31+E40*Q$32+F40*Q$33+G40*Q$34</f>
        <v>0</v>
      </c>
      <c r="R40" s="70" t="n">
        <f aca="false">(D40-$C40)*R$31+E40*R$32+F40*R$33+G40*R$34</f>
        <v>0</v>
      </c>
      <c r="S40" s="70" t="n">
        <f aca="false">(D40-$C40)*S$31+E40*S$32+F40*S$33+G40*S$34</f>
        <v>480332.000477398</v>
      </c>
      <c r="T40" s="70" t="n">
        <f aca="false">(D40-$C40)*T$31+E40*T$32+F40*T$33+G40*T$34</f>
        <v>0</v>
      </c>
      <c r="U40" s="57" t="n">
        <f aca="false">SUM(H40:T40)</f>
        <v>1113701.15045894</v>
      </c>
      <c r="V40" s="98" t="n">
        <f aca="false">SUM(H$34:T$34)</f>
        <v>0</v>
      </c>
      <c r="W40" s="28" t="n">
        <f aca="false">G40*(1-V40)</f>
        <v>518852.630509881</v>
      </c>
    </row>
    <row r="41" customFormat="false" ht="15" hidden="false" customHeight="false" outlineLevel="0" collapsed="false">
      <c r="A41" s="27" t="s">
        <v>625</v>
      </c>
      <c r="B41" s="56" t="s">
        <v>626</v>
      </c>
      <c r="C41" s="28" t="n">
        <v>0</v>
      </c>
      <c r="D41" s="58" t="n">
        <f aca="false">WIP!M689</f>
        <v>147462.086</v>
      </c>
      <c r="E41" s="58" t="n">
        <f aca="false">WIP!N689</f>
        <v>165931.476801111</v>
      </c>
      <c r="F41" s="58" t="n">
        <f aca="false">WIP!O689</f>
        <v>196229.611145605</v>
      </c>
      <c r="G41" s="58" t="n">
        <f aca="false">WIP!P689</f>
        <v>193129.974347772</v>
      </c>
      <c r="H41" s="70" t="n">
        <f aca="false">(D41-$C41)*H$27+E41*H$28+F41*H$29+G41*H$30</f>
        <v>0</v>
      </c>
      <c r="I41" s="70" t="n">
        <f aca="false">(D41-$C41)*I$27+E41*I$28+F41*I$29+G41*I$30</f>
        <v>147462.086</v>
      </c>
      <c r="J41" s="70" t="n">
        <f aca="false">(D41-$C41)*J$27+E41*J$28+F41*J$29+G41*J$30</f>
        <v>0</v>
      </c>
      <c r="K41" s="70" t="n">
        <f aca="false">(D41-$C41)*K$27+E41*K$28+F41*K$29+G41*K$30</f>
        <v>0</v>
      </c>
      <c r="L41" s="70" t="n">
        <f aca="false">(D41-$C41)*L$27+E41*L$28+F41*L$29+G41*L$30</f>
        <v>0</v>
      </c>
      <c r="M41" s="70" t="n">
        <f aca="false">(D41-$C41)*M$27+E41*M$28+F41*M$29+G41*M$30</f>
        <v>0</v>
      </c>
      <c r="N41" s="70" t="n">
        <f aca="false">(D41-$C41)*N$27+E41*N$28+F41*N$29+G41*N$30</f>
        <v>165931.476801111</v>
      </c>
      <c r="O41" s="70" t="n">
        <f aca="false">(D41-$C41)*O$27+E41*O$28+F41*O$29+G41*O$30</f>
        <v>0</v>
      </c>
      <c r="P41" s="70" t="n">
        <f aca="false">(D41-$C41)*P$27+E41*P$28+F41*P$29+G41*P$30</f>
        <v>0</v>
      </c>
      <c r="Q41" s="70" t="n">
        <f aca="false">(D41-$C41)*Q$27+E41*Q$28+F41*Q$29+G41*Q$30</f>
        <v>0</v>
      </c>
      <c r="R41" s="70" t="n">
        <f aca="false">(D41-$C41)*R$27+E41*R$28+F41*R$29+G41*R$30</f>
        <v>196229.611145605</v>
      </c>
      <c r="S41" s="70" t="n">
        <f aca="false">(D41-$C41)*S$27+E41*S$28+F41*S$29+G41*S$30</f>
        <v>0</v>
      </c>
      <c r="T41" s="70" t="n">
        <f aca="false">(D41-$C41)*T$27+E41*T$28+F41*T$29+G41*T$30</f>
        <v>0</v>
      </c>
      <c r="U41" s="57" t="n">
        <f aca="false">SUM(H41:T41)</f>
        <v>509623.173946717</v>
      </c>
      <c r="V41" s="98" t="n">
        <f aca="false">SUM(H$30:T$30)</f>
        <v>0</v>
      </c>
      <c r="W41" s="28" t="n">
        <f aca="false">G41*(1-V41)</f>
        <v>193129.974347772</v>
      </c>
    </row>
    <row r="42" customFormat="false" ht="15" hidden="false" customHeight="false" outlineLevel="0" collapsed="false">
      <c r="A42" s="27" t="s">
        <v>627</v>
      </c>
      <c r="B42" s="56" t="s">
        <v>628</v>
      </c>
      <c r="C42" s="28" t="n">
        <v>0</v>
      </c>
      <c r="D42" s="58" t="n">
        <f aca="false">Retentions!M29</f>
        <v>0</v>
      </c>
      <c r="E42" s="58" t="n">
        <f aca="false">Retentions!N29</f>
        <v>0</v>
      </c>
      <c r="F42" s="58" t="n">
        <f aca="false">Retentions!O29</f>
        <v>32347.5</v>
      </c>
      <c r="G42" s="58" t="n">
        <f aca="false">Retentions!P29</f>
        <v>21565</v>
      </c>
      <c r="H42" s="70" t="n">
        <f aca="false">(D42-$C42)*H$19+E42*H$20+F42*H$21+G42*H$22</f>
        <v>0</v>
      </c>
      <c r="I42" s="70" t="n">
        <f aca="false">(D42-$C42)*I$19+E42*I$20+F42*I$21+G42*I$22</f>
        <v>0</v>
      </c>
      <c r="J42" s="70" t="n">
        <f aca="false">(D42-$C42)*J$19+E42*J$20+F42*J$21+G42*J$22</f>
        <v>0</v>
      </c>
      <c r="K42" s="70" t="n">
        <f aca="false">(D42-$C42)*K$19+E42*K$20+F42*K$21+G42*K$22</f>
        <v>0</v>
      </c>
      <c r="L42" s="70" t="n">
        <f aca="false">(D42-$C42)*L$19+E42*L$20+F42*L$21+G42*L$22</f>
        <v>0</v>
      </c>
      <c r="M42" s="70" t="n">
        <f aca="false">(D42-$C42)*M$19+E42*M$20+F42*M$21+G42*M$22</f>
        <v>0</v>
      </c>
      <c r="N42" s="70" t="n">
        <f aca="false">(D42-$C42)*N$19+E42*N$20+F42*N$21+G42*N$22</f>
        <v>0</v>
      </c>
      <c r="O42" s="70" t="n">
        <f aca="false">(D42-$C42)*O$19+E42*O$20+F42*O$21+G42*O$22</f>
        <v>0</v>
      </c>
      <c r="P42" s="70" t="n">
        <f aca="false">(D42-$C42)*P$19+E42*P$20+F42*P$21+G42*P$22</f>
        <v>0</v>
      </c>
      <c r="Q42" s="70" t="n">
        <f aca="false">(D42-$C42)*Q$19+E42*Q$20+F42*Q$21+G42*Q$22</f>
        <v>32347.5</v>
      </c>
      <c r="R42" s="70" t="n">
        <f aca="false">(D42-$C42)*R$19+E42*R$20+F42*R$21+G42*R$22</f>
        <v>0</v>
      </c>
      <c r="S42" s="70" t="n">
        <f aca="false">(D42-$C42)*S$19+E42*S$20+F42*S$21+G42*S$22</f>
        <v>0</v>
      </c>
      <c r="T42" s="70" t="n">
        <f aca="false">(D42-$C42)*T$19+E42*T$20+F42*T$21+G42*T$22</f>
        <v>0</v>
      </c>
      <c r="U42" s="57" t="n">
        <f aca="false">SUM(H42:T42)</f>
        <v>32347.5</v>
      </c>
      <c r="V42" s="98" t="n">
        <f aca="false">SUM(H$22:T$22)</f>
        <v>0</v>
      </c>
      <c r="W42" s="28" t="n">
        <f aca="false">G42*(1-V42)</f>
        <v>21565</v>
      </c>
    </row>
    <row r="43" customFormat="false" ht="15" hidden="false" customHeight="false" outlineLevel="0" collapsed="false">
      <c r="A43" s="73" t="s">
        <v>629</v>
      </c>
      <c r="B43" s="99" t="s">
        <v>630</v>
      </c>
      <c r="C43" s="100" t="n">
        <f aca="false">C37+C38+C39+C40+C41+C42</f>
        <v>173392</v>
      </c>
      <c r="D43" s="101" t="n">
        <f aca="false">D37+D38+D39+D40+D41+D42</f>
        <v>920039.770409616</v>
      </c>
      <c r="E43" s="101" t="n">
        <f aca="false">E37+E38+E39+E40+E41+E42</f>
        <v>922871.594347457</v>
      </c>
      <c r="F43" s="101" t="n">
        <f aca="false">F37+F38+F39+F40+F41+F42</f>
        <v>1149550.37852372</v>
      </c>
      <c r="G43" s="101" t="n">
        <f aca="false">G37+G38+G39+G40+G41+G42</f>
        <v>1175424.53888459</v>
      </c>
      <c r="H43" s="69" t="n">
        <f aca="false">H37+H38+H39+H40+H41+H42</f>
        <v>110340.491925029</v>
      </c>
      <c r="I43" s="69" t="n">
        <f aca="false">I37+I38+I39+I40+I41+I42</f>
        <v>257802.57792503</v>
      </c>
      <c r="J43" s="69" t="n">
        <f aca="false">J37+J38+J39+J40+J41+J42</f>
        <v>405811.863852141</v>
      </c>
      <c r="K43" s="69" t="n">
        <f aca="false">K37+K38+K39+K40+K41+K42</f>
        <v>95575.0715240449</v>
      </c>
      <c r="L43" s="69" t="n">
        <f aca="false">L37+L38+L39+L40+L41+L42</f>
        <v>95575.0715240449</v>
      </c>
      <c r="M43" s="69" t="n">
        <f aca="false">M37+M38+M39+M40+M41+M42</f>
        <v>95575.0715240449</v>
      </c>
      <c r="N43" s="69" t="n">
        <f aca="false">N37+N38+N39+N40+N41+N42</f>
        <v>261506.548325156</v>
      </c>
      <c r="O43" s="69" t="n">
        <f aca="false">O37+O38+O39+O40+O41+O42</f>
        <v>435460.921537725</v>
      </c>
      <c r="P43" s="69" t="n">
        <f aca="false">P37+P38+P39+P40+P41+P42</f>
        <v>102816.295610167</v>
      </c>
      <c r="Q43" s="69" t="n">
        <f aca="false">Q37+Q38+Q39+Q40+Q41+Q42</f>
        <v>135163.795610167</v>
      </c>
      <c r="R43" s="69" t="n">
        <f aca="false">R37+R38+R39+R40+R41+R42</f>
        <v>299045.906755772</v>
      </c>
      <c r="S43" s="69" t="n">
        <f aca="false">S37+S38+S39+S40+S41+S42</f>
        <v>581412.50575159</v>
      </c>
      <c r="T43" s="69" t="n">
        <f aca="false">T37+T38+T39+T40+T41+T42</f>
        <v>99778.6625222123</v>
      </c>
      <c r="U43" s="69" t="n">
        <f aca="false">SUM(H43:T43)</f>
        <v>2975864.78438712</v>
      </c>
      <c r="V43" s="77"/>
      <c r="W43" s="77"/>
    </row>
    <row r="44" customFormat="false" ht="15" hidden="false" customHeight="false" outlineLevel="0" collapsed="false">
      <c r="A44" s="21" t="s">
        <v>631</v>
      </c>
      <c r="B44" s="22"/>
      <c r="C44" s="22"/>
      <c r="D44" s="22"/>
      <c r="E44" s="22"/>
      <c r="F44" s="22"/>
      <c r="G44" s="22"/>
      <c r="H44" s="22"/>
      <c r="I44" s="22"/>
      <c r="J44" s="22"/>
      <c r="K44" s="22"/>
      <c r="L44" s="22"/>
      <c r="M44" s="22"/>
      <c r="N44" s="22"/>
      <c r="O44" s="22"/>
      <c r="P44" s="22"/>
      <c r="Q44" s="22"/>
      <c r="R44" s="22"/>
      <c r="S44" s="22"/>
      <c r="T44" s="22"/>
      <c r="U44" s="22"/>
      <c r="V44" s="22"/>
      <c r="W44" s="22"/>
    </row>
    <row r="45" customFormat="false" ht="15" hidden="false" customHeight="false" outlineLevel="0" collapsed="false">
      <c r="A45" s="27" t="s">
        <v>632</v>
      </c>
      <c r="B45" s="56" t="s">
        <v>626</v>
      </c>
      <c r="C45" s="28" t="n">
        <v>0</v>
      </c>
      <c r="D45" s="58" t="n">
        <f aca="false">-Payables!M16</f>
        <v>-348240.2404983</v>
      </c>
      <c r="E45" s="58" t="n">
        <f aca="false">-Payables!N16</f>
        <v>-359679.484213605</v>
      </c>
      <c r="F45" s="58" t="n">
        <f aca="false">-Payables!O16</f>
        <v>-364775.131043027</v>
      </c>
      <c r="G45" s="58" t="n">
        <f aca="false">-Payables!P16</f>
        <v>-341433.990605391</v>
      </c>
      <c r="H45" s="70" t="n">
        <f aca="false">(D45-$C45)*H$27+E45*H$28+F45*H$29+G45*H$30</f>
        <v>-0</v>
      </c>
      <c r="I45" s="70" t="n">
        <f aca="false">(D45-$C45)*I$27+E45*I$28+F45*I$29+G45*I$30</f>
        <v>-348240.2404983</v>
      </c>
      <c r="J45" s="70" t="n">
        <f aca="false">(D45-$C45)*J$27+E45*J$28+F45*J$29+G45*J$30</f>
        <v>-0</v>
      </c>
      <c r="K45" s="70" t="n">
        <f aca="false">(D45-$C45)*K$27+E45*K$28+F45*K$29+G45*K$30</f>
        <v>-0</v>
      </c>
      <c r="L45" s="70" t="n">
        <f aca="false">(D45-$C45)*L$27+E45*L$28+F45*L$29+G45*L$30</f>
        <v>-0</v>
      </c>
      <c r="M45" s="70" t="n">
        <f aca="false">(D45-$C45)*M$27+E45*M$28+F45*M$29+G45*M$30</f>
        <v>-0</v>
      </c>
      <c r="N45" s="70" t="n">
        <f aca="false">(D45-$C45)*N$27+E45*N$28+F45*N$29+G45*N$30</f>
        <v>-359679.484213605</v>
      </c>
      <c r="O45" s="70" t="n">
        <f aca="false">(D45-$C45)*O$27+E45*O$28+F45*O$29+G45*O$30</f>
        <v>-0</v>
      </c>
      <c r="P45" s="70" t="n">
        <f aca="false">(D45-$C45)*P$27+E45*P$28+F45*P$29+G45*P$30</f>
        <v>-0</v>
      </c>
      <c r="Q45" s="70" t="n">
        <f aca="false">(D45-$C45)*Q$27+E45*Q$28+F45*Q$29+G45*Q$30</f>
        <v>-0</v>
      </c>
      <c r="R45" s="70" t="n">
        <f aca="false">(D45-$C45)*R$27+E45*R$28+F45*R$29+G45*R$30</f>
        <v>-364775.131043027</v>
      </c>
      <c r="S45" s="70" t="n">
        <f aca="false">(D45-$C45)*S$27+E45*S$28+F45*S$29+G45*S$30</f>
        <v>-0</v>
      </c>
      <c r="T45" s="70" t="n">
        <f aca="false">(D45-$C45)*T$27+E45*T$28+F45*T$29+G45*T$30</f>
        <v>-0</v>
      </c>
      <c r="U45" s="57" t="n">
        <f aca="false">SUM(H45:T45)</f>
        <v>-1072694.85575493</v>
      </c>
      <c r="V45" s="98" t="n">
        <f aca="false">SUM(H$30:T$30)</f>
        <v>0</v>
      </c>
      <c r="W45" s="28" t="n">
        <f aca="false">G45*(1-V45)</f>
        <v>-341433.990605391</v>
      </c>
    </row>
    <row r="46" customFormat="false" ht="15" hidden="false" customHeight="false" outlineLevel="0" collapsed="false">
      <c r="A46" s="27" t="s">
        <v>633</v>
      </c>
      <c r="B46" s="56" t="s">
        <v>624</v>
      </c>
      <c r="C46" s="28" t="n">
        <v>0</v>
      </c>
      <c r="D46" s="58" t="n">
        <f aca="false">-Payables!M20</f>
        <v>-266655.94172</v>
      </c>
      <c r="E46" s="58" t="n">
        <f aca="false">-Payables!N20</f>
        <v>-264267.996732746</v>
      </c>
      <c r="F46" s="58" t="n">
        <f aca="false">-Payables!O20</f>
        <v>-278556.373112067</v>
      </c>
      <c r="G46" s="58" t="n">
        <f aca="false">-Payables!P20</f>
        <v>-267981.584881896</v>
      </c>
      <c r="H46" s="70" t="n">
        <f aca="false">(D46-$C46)*H$31+E46*H$32+F46*H$33+G46*H$34</f>
        <v>-0</v>
      </c>
      <c r="I46" s="70" t="n">
        <f aca="false">(D46-$C46)*I$31+E46*I$32+F46*I$33+G46*I$34</f>
        <v>-0</v>
      </c>
      <c r="J46" s="70" t="n">
        <f aca="false">(D46-$C46)*J$31+E46*J$32+F46*J$33+G46*J$34</f>
        <v>-266655.94172</v>
      </c>
      <c r="K46" s="70" t="n">
        <f aca="false">(D46-$C46)*K$31+E46*K$32+F46*K$33+G46*K$34</f>
        <v>-0</v>
      </c>
      <c r="L46" s="70" t="n">
        <f aca="false">(D46-$C46)*L$31+E46*L$32+F46*L$33+G46*L$34</f>
        <v>-0</v>
      </c>
      <c r="M46" s="70" t="n">
        <f aca="false">(D46-$C46)*M$31+E46*M$32+F46*M$33+G46*M$34</f>
        <v>-0</v>
      </c>
      <c r="N46" s="70" t="n">
        <f aca="false">(D46-$C46)*N$31+E46*N$32+F46*N$33+G46*N$34</f>
        <v>-0</v>
      </c>
      <c r="O46" s="70" t="n">
        <f aca="false">(D46-$C46)*O$31+E46*O$32+F46*O$33+G46*O$34</f>
        <v>-264267.996732746</v>
      </c>
      <c r="P46" s="70" t="n">
        <f aca="false">(D46-$C46)*P$31+E46*P$32+F46*P$33+G46*P$34</f>
        <v>-0</v>
      </c>
      <c r="Q46" s="70" t="n">
        <f aca="false">(D46-$C46)*Q$31+E46*Q$32+F46*Q$33+G46*Q$34</f>
        <v>-0</v>
      </c>
      <c r="R46" s="70" t="n">
        <f aca="false">(D46-$C46)*R$31+E46*R$32+F46*R$33+G46*R$34</f>
        <v>-0</v>
      </c>
      <c r="S46" s="70" t="n">
        <f aca="false">(D46-$C46)*S$31+E46*S$32+F46*S$33+G46*S$34</f>
        <v>-278556.373112067</v>
      </c>
      <c r="T46" s="70" t="n">
        <f aca="false">(D46-$C46)*T$31+E46*T$32+F46*T$33+G46*T$34</f>
        <v>-0</v>
      </c>
      <c r="U46" s="57" t="n">
        <f aca="false">SUM(H46:T46)</f>
        <v>-809480.311564812</v>
      </c>
      <c r="V46" s="98" t="n">
        <f aca="false">SUM(H$34:T$34)</f>
        <v>0</v>
      </c>
      <c r="W46" s="28" t="n">
        <f aca="false">G46*(1-V46)</f>
        <v>-267981.584881896</v>
      </c>
    </row>
    <row r="47" customFormat="false" ht="15" hidden="false" customHeight="false" outlineLevel="0" collapsed="false">
      <c r="A47" s="27" t="s">
        <v>634</v>
      </c>
      <c r="B47" s="56" t="s">
        <v>620</v>
      </c>
      <c r="C47" s="71" t="n">
        <v>-38463</v>
      </c>
      <c r="D47" s="58" t="n">
        <f aca="false">-Payables!M25</f>
        <v>-104898.6373</v>
      </c>
      <c r="E47" s="58" t="n">
        <f aca="false">-Payables!N25</f>
        <v>-105265.00888457</v>
      </c>
      <c r="F47" s="58" t="n">
        <f aca="false">-Payables!O25</f>
        <v>-104026.632737275</v>
      </c>
      <c r="G47" s="58" t="n">
        <f aca="false">-Payables!P25</f>
        <v>-97039.2701897786</v>
      </c>
      <c r="H47" s="70" t="n">
        <f aca="false">(D47-$C47)*H$11+E47*H$12+F47*H$13+G47*H$14</f>
        <v>-24476.2874263158</v>
      </c>
      <c r="I47" s="70" t="n">
        <f aca="false">(D47-$C47)*I$11+E47*I$12+F47*I$13+G47*I$14</f>
        <v>-24476.2874263158</v>
      </c>
      <c r="J47" s="70" t="n">
        <f aca="false">(D47-$C47)*J$11+E47*J$12+F47*J$13+G47*J$14</f>
        <v>-24274.3533431471</v>
      </c>
      <c r="K47" s="70" t="n">
        <f aca="false">(D47-$C47)*K$11+E47*K$12+F47*K$13+G47*K$14</f>
        <v>-23769.5181352255</v>
      </c>
      <c r="L47" s="70" t="n">
        <f aca="false">(D47-$C47)*L$11+E47*L$12+F47*L$13+G47*L$14</f>
        <v>-23769.5181352255</v>
      </c>
      <c r="M47" s="70" t="n">
        <f aca="false">(D47-$C47)*M$11+E47*M$12+F47*M$13+G47*M$14</f>
        <v>-23769.5181352255</v>
      </c>
      <c r="N47" s="70" t="n">
        <f aca="false">(D47-$C47)*N$11+E47*N$12+F47*N$13+G47*N$14</f>
        <v>-23769.5181352255</v>
      </c>
      <c r="O47" s="70" t="n">
        <f aca="false">(D47-$C47)*O$11+E47*O$12+F47*O$13+G47*O$14</f>
        <v>-24200.9719953444</v>
      </c>
      <c r="P47" s="70" t="n">
        <f aca="false">(D47-$C47)*P$11+E47*P$12+F47*P$13+G47*P$14</f>
        <v>-24272.8809720309</v>
      </c>
      <c r="Q47" s="70" t="n">
        <f aca="false">(D47-$C47)*Q$11+E47*Q$12+F47*Q$13+G47*Q$14</f>
        <v>-24272.8809720309</v>
      </c>
      <c r="R47" s="70" t="n">
        <f aca="false">(D47-$C47)*R$11+E47*R$12+F47*R$13+G47*R$14</f>
        <v>-24272.8809720309</v>
      </c>
      <c r="S47" s="70" t="n">
        <f aca="false">(D47-$C47)*S$11+E47*S$12+F47*S$13+G47*S$14</f>
        <v>-22923.8594272473</v>
      </c>
      <c r="T47" s="70" t="n">
        <f aca="false">(D47-$C47)*T$11+E47*T$12+F47*T$13+G47*T$14</f>
        <v>-21912.0932686597</v>
      </c>
      <c r="U47" s="57" t="n">
        <f aca="false">SUM(H47:T47)</f>
        <v>-310160.568344025</v>
      </c>
      <c r="V47" s="98" t="n">
        <f aca="false">SUM(H$14:T$14)</f>
        <v>0.354838709677419</v>
      </c>
      <c r="W47" s="28" t="n">
        <f aca="false">G47*(1-V47)</f>
        <v>-62605.9807675991</v>
      </c>
    </row>
    <row r="48" customFormat="false" ht="15" hidden="false" customHeight="false" outlineLevel="0" collapsed="false">
      <c r="A48" s="27" t="s">
        <v>635</v>
      </c>
      <c r="B48" s="56" t="s">
        <v>620</v>
      </c>
      <c r="C48" s="71" t="n">
        <v>-28851</v>
      </c>
      <c r="D48" s="58" t="n">
        <f aca="false">-Payables!M30</f>
        <v>-78685.3548890894</v>
      </c>
      <c r="E48" s="58" t="n">
        <f aca="false">-Payables!N30</f>
        <v>-110046.962240999</v>
      </c>
      <c r="F48" s="58" t="n">
        <f aca="false">-Payables!O30</f>
        <v>-98907.0206616614</v>
      </c>
      <c r="G48" s="58" t="n">
        <f aca="false">-Payables!P30</f>
        <v>-71520.7700923896</v>
      </c>
      <c r="H48" s="70" t="n">
        <f aca="false">(D48-$C48)*H$11+E48*H$12+F48*H$13+G48*H$14</f>
        <v>-18360.025485454</v>
      </c>
      <c r="I48" s="70" t="n">
        <f aca="false">(D48-$C48)*I$11+E48*I$12+F48*I$13+G48*I$14</f>
        <v>-18360.025485454</v>
      </c>
      <c r="J48" s="70" t="n">
        <f aca="false">(D48-$C48)*J$11+E48*J$12+F48*J$13+G48*J$14</f>
        <v>-20214.1079337297</v>
      </c>
      <c r="K48" s="70" t="n">
        <f aca="false">(D48-$C48)*K$11+E48*K$12+F48*K$13+G48*K$14</f>
        <v>-24849.314054419</v>
      </c>
      <c r="L48" s="70" t="n">
        <f aca="false">(D48-$C48)*L$11+E48*L$12+F48*L$13+G48*L$14</f>
        <v>-24849.314054419</v>
      </c>
      <c r="M48" s="70" t="n">
        <f aca="false">(D48-$C48)*M$11+E48*M$12+F48*M$13+G48*M$14</f>
        <v>-24849.314054419</v>
      </c>
      <c r="N48" s="70" t="n">
        <f aca="false">(D48-$C48)*N$11+E48*N$12+F48*N$13+G48*N$14</f>
        <v>-24849.314054419</v>
      </c>
      <c r="O48" s="70" t="n">
        <f aca="false">(D48-$C48)*O$11+E48*O$12+F48*O$13+G48*O$14</f>
        <v>-23331.3061401064</v>
      </c>
      <c r="P48" s="70" t="n">
        <f aca="false">(D48-$C48)*P$11+E48*P$12+F48*P$13+G48*P$14</f>
        <v>-23078.3048210543</v>
      </c>
      <c r="Q48" s="70" t="n">
        <f aca="false">(D48-$C48)*Q$11+E48*Q$12+F48*Q$13+G48*Q$14</f>
        <v>-23078.3048210543</v>
      </c>
      <c r="R48" s="70" t="n">
        <f aca="false">(D48-$C48)*R$11+E48*R$12+F48*R$13+G48*R$14</f>
        <v>-23078.3048210543</v>
      </c>
      <c r="S48" s="70" t="n">
        <f aca="false">(D48-$C48)*S$11+E48*S$12+F48*S$13+G48*S$14</f>
        <v>-19119.1885297003</v>
      </c>
      <c r="T48" s="70" t="n">
        <f aca="false">(D48-$C48)*T$11+E48*T$12+F48*T$13+G48*T$14</f>
        <v>-16149.8513111847</v>
      </c>
      <c r="U48" s="57" t="n">
        <f aca="false">SUM(H48:T48)</f>
        <v>-284166.675566468</v>
      </c>
      <c r="V48" s="98" t="n">
        <f aca="false">SUM(H$14:T$14)</f>
        <v>0.354838709677419</v>
      </c>
      <c r="W48" s="28" t="n">
        <f aca="false">G48*(1-V48)</f>
        <v>-46142.4323176707</v>
      </c>
    </row>
    <row r="49" customFormat="false" ht="15" hidden="false" customHeight="false" outlineLevel="0" collapsed="false">
      <c r="A49" s="27" t="s">
        <v>636</v>
      </c>
      <c r="B49" s="56" t="s">
        <v>620</v>
      </c>
      <c r="C49" s="71" t="n">
        <v>-30194</v>
      </c>
      <c r="D49" s="58" t="n">
        <f aca="false">-Overheads!M55</f>
        <v>-82346</v>
      </c>
      <c r="E49" s="58" t="n">
        <f aca="false">-Overheads!N55</f>
        <v>-82346</v>
      </c>
      <c r="F49" s="58" t="n">
        <f aca="false">-Overheads!O55</f>
        <v>-87970</v>
      </c>
      <c r="G49" s="58" t="n">
        <f aca="false">-Overheads!P55</f>
        <v>-87970</v>
      </c>
      <c r="H49" s="70" t="n">
        <f aca="false">(D49-$C49)*H$11+E49*H$12+F49*H$13+G49*H$14</f>
        <v>-19213.8947368421</v>
      </c>
      <c r="I49" s="70" t="n">
        <f aca="false">(D49-$C49)*I$11+E49*I$12+F49*I$13+G49*I$14</f>
        <v>-19213.8947368421</v>
      </c>
      <c r="J49" s="70" t="n">
        <f aca="false">(D49-$C49)*J$11+E49*J$12+F49*J$13+G49*J$14</f>
        <v>-19036.8556876061</v>
      </c>
      <c r="K49" s="70" t="n">
        <f aca="false">(D49-$C49)*K$11+E49*K$12+F49*K$13+G49*K$14</f>
        <v>-18594.2580645161</v>
      </c>
      <c r="L49" s="70" t="n">
        <f aca="false">(D49-$C49)*L$11+E49*L$12+F49*L$13+G49*L$14</f>
        <v>-18594.2580645161</v>
      </c>
      <c r="M49" s="70" t="n">
        <f aca="false">(D49-$C49)*M$11+E49*M$12+F49*M$13+G49*M$14</f>
        <v>-18594.2580645161</v>
      </c>
      <c r="N49" s="70" t="n">
        <f aca="false">(D49-$C49)*N$11+E49*N$12+F49*N$13+G49*N$14</f>
        <v>-18594.2580645161</v>
      </c>
      <c r="O49" s="70" t="n">
        <f aca="false">(D49-$C49)*O$11+E49*O$12+F49*O$13+G49*O$14</f>
        <v>-20250.3225806452</v>
      </c>
      <c r="P49" s="70" t="n">
        <f aca="false">(D49-$C49)*P$11+E49*P$12+F49*P$13+G49*P$14</f>
        <v>-20526.3333333333</v>
      </c>
      <c r="Q49" s="70" t="n">
        <f aca="false">(D49-$C49)*Q$11+E49*Q$12+F49*Q$13+G49*Q$14</f>
        <v>-20526.3333333333</v>
      </c>
      <c r="R49" s="70" t="n">
        <f aca="false">(D49-$C49)*R$11+E49*R$12+F49*R$13+G49*R$14</f>
        <v>-20526.3333333333</v>
      </c>
      <c r="S49" s="70" t="n">
        <f aca="false">(D49-$C49)*S$11+E49*S$12+F49*S$13+G49*S$14</f>
        <v>-20147.9677419355</v>
      </c>
      <c r="T49" s="70" t="n">
        <f aca="false">(D49-$C49)*T$11+E49*T$12+F49*T$13+G49*T$14</f>
        <v>-19864.1935483871</v>
      </c>
      <c r="U49" s="57" t="n">
        <f aca="false">SUM(H49:T49)</f>
        <v>-253683.161290323</v>
      </c>
      <c r="V49" s="98" t="n">
        <f aca="false">SUM(H$14:T$14)</f>
        <v>0.354838709677419</v>
      </c>
      <c r="W49" s="28" t="n">
        <f aca="false">G49*(1-V49)</f>
        <v>-56754.8387096774</v>
      </c>
    </row>
    <row r="50" customFormat="false" ht="15" hidden="false" customHeight="false" outlineLevel="0" collapsed="false">
      <c r="A50" s="27" t="s">
        <v>637</v>
      </c>
      <c r="B50" s="56" t="s">
        <v>626</v>
      </c>
      <c r="C50" s="28" t="n">
        <v>0</v>
      </c>
      <c r="D50" s="58" t="n">
        <f aca="false">-Overheads!M56</f>
        <v>-33212</v>
      </c>
      <c r="E50" s="58" t="n">
        <f aca="false">-Overheads!N56</f>
        <v>-33212</v>
      </c>
      <c r="F50" s="58" t="n">
        <f aca="false">-Overheads!O56</f>
        <v>-36404</v>
      </c>
      <c r="G50" s="58" t="n">
        <f aca="false">-Overheads!P56</f>
        <v>-36404</v>
      </c>
      <c r="H50" s="70" t="n">
        <f aca="false">(D50-$C50)*H$27+E50*H$28+F50*H$29+G50*H$30</f>
        <v>-0</v>
      </c>
      <c r="I50" s="70" t="n">
        <f aca="false">(D50-$C50)*I$27+E50*I$28+F50*I$29+G50*I$30</f>
        <v>-33212</v>
      </c>
      <c r="J50" s="70" t="n">
        <f aca="false">(D50-$C50)*J$27+E50*J$28+F50*J$29+G50*J$30</f>
        <v>-0</v>
      </c>
      <c r="K50" s="70" t="n">
        <f aca="false">(D50-$C50)*K$27+E50*K$28+F50*K$29+G50*K$30</f>
        <v>-0</v>
      </c>
      <c r="L50" s="70" t="n">
        <f aca="false">(D50-$C50)*L$27+E50*L$28+F50*L$29+G50*L$30</f>
        <v>-0</v>
      </c>
      <c r="M50" s="70" t="n">
        <f aca="false">(D50-$C50)*M$27+E50*M$28+F50*M$29+G50*M$30</f>
        <v>-0</v>
      </c>
      <c r="N50" s="70" t="n">
        <f aca="false">(D50-$C50)*N$27+E50*N$28+F50*N$29+G50*N$30</f>
        <v>-33212</v>
      </c>
      <c r="O50" s="70" t="n">
        <f aca="false">(D50-$C50)*O$27+E50*O$28+F50*O$29+G50*O$30</f>
        <v>-0</v>
      </c>
      <c r="P50" s="70" t="n">
        <f aca="false">(D50-$C50)*P$27+E50*P$28+F50*P$29+G50*P$30</f>
        <v>-0</v>
      </c>
      <c r="Q50" s="70" t="n">
        <f aca="false">(D50-$C50)*Q$27+E50*Q$28+F50*Q$29+G50*Q$30</f>
        <v>-0</v>
      </c>
      <c r="R50" s="70" t="n">
        <f aca="false">(D50-$C50)*R$27+E50*R$28+F50*R$29+G50*R$30</f>
        <v>-36404</v>
      </c>
      <c r="S50" s="70" t="n">
        <f aca="false">(D50-$C50)*S$27+E50*S$28+F50*S$29+G50*S$30</f>
        <v>-0</v>
      </c>
      <c r="T50" s="70" t="n">
        <f aca="false">(D50-$C50)*T$27+E50*T$28+F50*T$29+G50*T$30</f>
        <v>-0</v>
      </c>
      <c r="U50" s="57" t="n">
        <f aca="false">SUM(H50:T50)</f>
        <v>-102828</v>
      </c>
      <c r="V50" s="98" t="n">
        <f aca="false">SUM(H$30:T$30)</f>
        <v>0</v>
      </c>
      <c r="W50" s="28" t="n">
        <f aca="false">G50*(1-V50)</f>
        <v>-36404</v>
      </c>
    </row>
    <row r="51" customFormat="false" ht="15" hidden="false" customHeight="false" outlineLevel="0" collapsed="false">
      <c r="A51" s="27" t="s">
        <v>638</v>
      </c>
      <c r="B51" s="56" t="s">
        <v>639</v>
      </c>
      <c r="C51" s="28" t="n">
        <v>0</v>
      </c>
      <c r="D51" s="58" t="n">
        <f aca="false">Overheads!M53</f>
        <v>-61120.43</v>
      </c>
      <c r="E51" s="58" t="n">
        <f aca="false">Overheads!N53</f>
        <v>-61200.125</v>
      </c>
      <c r="F51" s="58" t="n">
        <f aca="false">Overheads!O53</f>
        <v>-61428.2</v>
      </c>
      <c r="G51" s="58" t="n">
        <f aca="false">Overheads!P53</f>
        <v>-66114.6</v>
      </c>
      <c r="H51" s="70" t="n">
        <f aca="false">(D51-$C51)*H$23+E51*H$24+F51*H$25+G51*H$26</f>
        <v>-0</v>
      </c>
      <c r="I51" s="70" t="n">
        <f aca="false">(D51-$C51)*I$23+E51*I$24+F51*I$25+G51*I$26</f>
        <v>-61120.43</v>
      </c>
      <c r="J51" s="70" t="n">
        <f aca="false">(D51-$C51)*J$23+E51*J$24+F51*J$25+G51*J$26</f>
        <v>-0</v>
      </c>
      <c r="K51" s="70" t="n">
        <f aca="false">(D51-$C51)*K$23+E51*K$24+F51*K$25+G51*K$26</f>
        <v>-0</v>
      </c>
      <c r="L51" s="70" t="n">
        <f aca="false">(D51-$C51)*L$23+E51*L$24+F51*L$25+G51*L$26</f>
        <v>-0</v>
      </c>
      <c r="M51" s="70" t="n">
        <f aca="false">(D51-$C51)*M$23+E51*M$24+F51*M$25+G51*M$26</f>
        <v>-61200.125</v>
      </c>
      <c r="N51" s="70" t="n">
        <f aca="false">(D51-$C51)*N$23+E51*N$24+F51*N$25+G51*N$26</f>
        <v>-0</v>
      </c>
      <c r="O51" s="70" t="n">
        <f aca="false">(D51-$C51)*O$23+E51*O$24+F51*O$25+G51*O$26</f>
        <v>-0</v>
      </c>
      <c r="P51" s="70" t="n">
        <f aca="false">(D51-$C51)*P$23+E51*P$24+F51*P$25+G51*P$26</f>
        <v>-0</v>
      </c>
      <c r="Q51" s="70" t="n">
        <f aca="false">(D51-$C51)*Q$23+E51*Q$24+F51*Q$25+G51*Q$26</f>
        <v>-0</v>
      </c>
      <c r="R51" s="70" t="n">
        <f aca="false">(D51-$C51)*R$23+E51*R$24+F51*R$25+G51*R$26</f>
        <v>-61428.2</v>
      </c>
      <c r="S51" s="70" t="n">
        <f aca="false">(D51-$C51)*S$23+E51*S$24+F51*S$25+G51*S$26</f>
        <v>-0</v>
      </c>
      <c r="T51" s="70" t="n">
        <f aca="false">(D51-$C51)*T$23+E51*T$24+F51*T$25+G51*T$26</f>
        <v>-0</v>
      </c>
      <c r="U51" s="57" t="n">
        <f aca="false">SUM(H51:T51)</f>
        <v>-183748.755</v>
      </c>
      <c r="V51" s="98" t="n">
        <f aca="false">SUM(H$26:T$26)</f>
        <v>0</v>
      </c>
      <c r="W51" s="28" t="n">
        <f aca="false">G51*(1-V51)</f>
        <v>-66114.6</v>
      </c>
    </row>
    <row r="52" customFormat="false" ht="15" hidden="false" customHeight="false" outlineLevel="0" collapsed="false">
      <c r="A52" s="27" t="s">
        <v>640</v>
      </c>
      <c r="B52" s="56" t="s">
        <v>639</v>
      </c>
      <c r="C52" s="28" t="n">
        <v>0</v>
      </c>
      <c r="D52" s="58" t="n">
        <f aca="false">VAT_RCT!M32</f>
        <v>-9652.50228</v>
      </c>
      <c r="E52" s="58" t="n">
        <f aca="false">VAT_RCT!N32</f>
        <v>-13379.9469350333</v>
      </c>
      <c r="F52" s="58" t="n">
        <f aca="false">VAT_RCT!O32</f>
        <v>-13819.4609718623</v>
      </c>
      <c r="G52" s="58" t="n">
        <f aca="false">VAT_RCT!P32</f>
        <v>-14015.2438718505</v>
      </c>
      <c r="H52" s="70" t="n">
        <f aca="false">(D52-$C52)*H$23+E52*H$24+F52*H$25+G52*H$26</f>
        <v>-0</v>
      </c>
      <c r="I52" s="70" t="n">
        <f aca="false">(D52-$C52)*I$23+E52*I$24+F52*I$25+G52*I$26</f>
        <v>-9652.50228</v>
      </c>
      <c r="J52" s="70" t="n">
        <f aca="false">(D52-$C52)*J$23+E52*J$24+F52*J$25+G52*J$26</f>
        <v>-0</v>
      </c>
      <c r="K52" s="70" t="n">
        <f aca="false">(D52-$C52)*K$23+E52*K$24+F52*K$25+G52*K$26</f>
        <v>-0</v>
      </c>
      <c r="L52" s="70" t="n">
        <f aca="false">(D52-$C52)*L$23+E52*L$24+F52*L$25+G52*L$26</f>
        <v>-0</v>
      </c>
      <c r="M52" s="70" t="n">
        <f aca="false">(D52-$C52)*M$23+E52*M$24+F52*M$25+G52*M$26</f>
        <v>-13379.9469350333</v>
      </c>
      <c r="N52" s="70" t="n">
        <f aca="false">(D52-$C52)*N$23+E52*N$24+F52*N$25+G52*N$26</f>
        <v>-0</v>
      </c>
      <c r="O52" s="70" t="n">
        <f aca="false">(D52-$C52)*O$23+E52*O$24+F52*O$25+G52*O$26</f>
        <v>-0</v>
      </c>
      <c r="P52" s="70" t="n">
        <f aca="false">(D52-$C52)*P$23+E52*P$24+F52*P$25+G52*P$26</f>
        <v>-0</v>
      </c>
      <c r="Q52" s="70" t="n">
        <f aca="false">(D52-$C52)*Q$23+E52*Q$24+F52*Q$25+G52*Q$26</f>
        <v>-0</v>
      </c>
      <c r="R52" s="70" t="n">
        <f aca="false">(D52-$C52)*R$23+E52*R$24+F52*R$25+G52*R$26</f>
        <v>-13819.4609718623</v>
      </c>
      <c r="S52" s="70" t="n">
        <f aca="false">(D52-$C52)*S$23+E52*S$24+F52*S$25+G52*S$26</f>
        <v>-0</v>
      </c>
      <c r="T52" s="70" t="n">
        <f aca="false">(D52-$C52)*T$23+E52*T$24+F52*T$25+G52*T$26</f>
        <v>-0</v>
      </c>
      <c r="U52" s="57" t="n">
        <f aca="false">SUM(H52:T52)</f>
        <v>-36851.9101868956</v>
      </c>
      <c r="V52" s="98" t="n">
        <f aca="false">SUM(H$26:T$26)</f>
        <v>0</v>
      </c>
      <c r="W52" s="28" t="n">
        <f aca="false">G52*(1-V52)</f>
        <v>-14015.2438718505</v>
      </c>
    </row>
    <row r="53" customFormat="false" ht="15" hidden="false" customHeight="false" outlineLevel="0" collapsed="false">
      <c r="A53" s="27" t="s">
        <v>641</v>
      </c>
      <c r="B53" s="56" t="s">
        <v>639</v>
      </c>
      <c r="C53" s="28" t="n">
        <v>0</v>
      </c>
      <c r="D53" s="58" t="n">
        <f aca="false">VAT_RCT!M27</f>
        <v>-24951.0953312379</v>
      </c>
      <c r="E53" s="58" t="n">
        <f aca="false">VAT_RCT!N27</f>
        <v>0</v>
      </c>
      <c r="F53" s="58" t="n">
        <f aca="false">VAT_RCT!O27</f>
        <v>-36632.790153109</v>
      </c>
      <c r="G53" s="58" t="n">
        <f aca="false">VAT_RCT!P27</f>
        <v>0</v>
      </c>
      <c r="H53" s="70" t="n">
        <f aca="false">(D53-$C53)*H$23+E53*H$24+F53*H$25+G53*H$26</f>
        <v>0</v>
      </c>
      <c r="I53" s="70" t="n">
        <f aca="false">(D53-$C53)*I$23+E53*I$24+F53*I$25+G53*I$26</f>
        <v>-24951.0953312379</v>
      </c>
      <c r="J53" s="70" t="n">
        <f aca="false">(D53-$C53)*J$23+E53*J$24+F53*J$25+G53*J$26</f>
        <v>0</v>
      </c>
      <c r="K53" s="70" t="n">
        <f aca="false">(D53-$C53)*K$23+E53*K$24+F53*K$25+G53*K$26</f>
        <v>0</v>
      </c>
      <c r="L53" s="70" t="n">
        <f aca="false">(D53-$C53)*L$23+E53*L$24+F53*L$25+G53*L$26</f>
        <v>0</v>
      </c>
      <c r="M53" s="70" t="n">
        <f aca="false">(D53-$C53)*M$23+E53*M$24+F53*M$25+G53*M$26</f>
        <v>0</v>
      </c>
      <c r="N53" s="70" t="n">
        <f aca="false">(D53-$C53)*N$23+E53*N$24+F53*N$25+G53*N$26</f>
        <v>0</v>
      </c>
      <c r="O53" s="70" t="n">
        <f aca="false">(D53-$C53)*O$23+E53*O$24+F53*O$25+G53*O$26</f>
        <v>0</v>
      </c>
      <c r="P53" s="70" t="n">
        <f aca="false">(D53-$C53)*P$23+E53*P$24+F53*P$25+G53*P$26</f>
        <v>0</v>
      </c>
      <c r="Q53" s="70" t="n">
        <f aca="false">(D53-$C53)*Q$23+E53*Q$24+F53*Q$25+G53*Q$26</f>
        <v>0</v>
      </c>
      <c r="R53" s="70" t="n">
        <f aca="false">(D53-$C53)*R$23+E53*R$24+F53*R$25+G53*R$26</f>
        <v>-36632.790153109</v>
      </c>
      <c r="S53" s="70" t="n">
        <f aca="false">(D53-$C53)*S$23+E53*S$24+F53*S$25+G53*S$26</f>
        <v>0</v>
      </c>
      <c r="T53" s="70" t="n">
        <f aca="false">(D53-$C53)*T$23+E53*T$24+F53*T$25+G53*T$26</f>
        <v>0</v>
      </c>
      <c r="U53" s="57" t="n">
        <f aca="false">SUM(H53:T53)</f>
        <v>-61583.8854843469</v>
      </c>
      <c r="V53" s="98" t="n">
        <f aca="false">SUM(H$26:T$26)</f>
        <v>0</v>
      </c>
      <c r="W53" s="28" t="n">
        <f aca="false">G53*(1-V53)</f>
        <v>0</v>
      </c>
    </row>
    <row r="54" customFormat="false" ht="15" hidden="false" customHeight="false" outlineLevel="0" collapsed="false">
      <c r="A54" s="27" t="s">
        <v>642</v>
      </c>
      <c r="B54" s="56" t="s">
        <v>639</v>
      </c>
      <c r="C54" s="28" t="n">
        <v>0</v>
      </c>
      <c r="D54" s="58" t="n">
        <f aca="false">BS!M30</f>
        <v>-6000</v>
      </c>
      <c r="E54" s="58" t="n">
        <f aca="false">BS!N30</f>
        <v>-0</v>
      </c>
      <c r="F54" s="58" t="n">
        <f aca="false">BS!O30</f>
        <v>-32000</v>
      </c>
      <c r="G54" s="58" t="n">
        <f aca="false">BS!P30</f>
        <v>-0</v>
      </c>
      <c r="H54" s="70" t="n">
        <f aca="false">(D54-$C54)*H$23+E54*H$24+F54*H$25+G54*H$26</f>
        <v>-0</v>
      </c>
      <c r="I54" s="70" t="n">
        <f aca="false">(D54-$C54)*I$23+E54*I$24+F54*I$25+G54*I$26</f>
        <v>-6000</v>
      </c>
      <c r="J54" s="70" t="n">
        <f aca="false">(D54-$C54)*J$23+E54*J$24+F54*J$25+G54*J$26</f>
        <v>-0</v>
      </c>
      <c r="K54" s="70" t="n">
        <f aca="false">(D54-$C54)*K$23+E54*K$24+F54*K$25+G54*K$26</f>
        <v>-0</v>
      </c>
      <c r="L54" s="70" t="n">
        <f aca="false">(D54-$C54)*L$23+E54*L$24+F54*L$25+G54*L$26</f>
        <v>-0</v>
      </c>
      <c r="M54" s="70" t="n">
        <f aca="false">(D54-$C54)*M$23+E54*M$24+F54*M$25+G54*M$26</f>
        <v>-0</v>
      </c>
      <c r="N54" s="70" t="n">
        <f aca="false">(D54-$C54)*N$23+E54*N$24+F54*N$25+G54*N$26</f>
        <v>-0</v>
      </c>
      <c r="O54" s="70" t="n">
        <f aca="false">(D54-$C54)*O$23+E54*O$24+F54*O$25+G54*O$26</f>
        <v>-0</v>
      </c>
      <c r="P54" s="70" t="n">
        <f aca="false">(D54-$C54)*P$23+E54*P$24+F54*P$25+G54*P$26</f>
        <v>-0</v>
      </c>
      <c r="Q54" s="70" t="n">
        <f aca="false">(D54-$C54)*Q$23+E54*Q$24+F54*Q$25+G54*Q$26</f>
        <v>-0</v>
      </c>
      <c r="R54" s="70" t="n">
        <f aca="false">(D54-$C54)*R$23+E54*R$24+F54*R$25+G54*R$26</f>
        <v>-32000</v>
      </c>
      <c r="S54" s="70" t="n">
        <f aca="false">(D54-$C54)*S$23+E54*S$24+F54*S$25+G54*S$26</f>
        <v>-0</v>
      </c>
      <c r="T54" s="70" t="n">
        <f aca="false">(D54-$C54)*T$23+E54*T$24+F54*T$25+G54*T$26</f>
        <v>-0</v>
      </c>
      <c r="U54" s="57" t="n">
        <f aca="false">SUM(H54:T54)</f>
        <v>-38000</v>
      </c>
      <c r="V54" s="98" t="n">
        <f aca="false">SUM(H$26:T$26)</f>
        <v>0</v>
      </c>
      <c r="W54" s="28" t="n">
        <f aca="false">G54*(1-V54)</f>
        <v>-0</v>
      </c>
    </row>
    <row r="55" customFormat="false" ht="15" hidden="false" customHeight="false" outlineLevel="0" collapsed="false">
      <c r="A55" s="27" t="s">
        <v>643</v>
      </c>
      <c r="B55" s="56" t="s">
        <v>644</v>
      </c>
      <c r="C55" s="28" t="n">
        <f aca="false">D55</f>
        <v>-5430.109375</v>
      </c>
      <c r="D55" s="58" t="n">
        <f aca="false">Debt!M20-Debt!M19+Debt!M14</f>
        <v>-5430.109375</v>
      </c>
      <c r="E55" s="58" t="n">
        <f aca="false">Debt!N20-Debt!N19+Debt!N14</f>
        <v>-5403.53359375</v>
      </c>
      <c r="F55" s="58" t="n">
        <f aca="false">Debt!O20-Debt!O19+Debt!O14</f>
        <v>-5376.9578125</v>
      </c>
      <c r="G55" s="58" t="n">
        <f aca="false">Debt!P20-Debt!P19+Debt!P14</f>
        <v>-5350.38203125</v>
      </c>
      <c r="H55" s="70" t="n">
        <f aca="false">(D55-$C55)*H$15+E55*H$16+F55*H$17+G55*H$18</f>
        <v>0</v>
      </c>
      <c r="I55" s="70" t="n">
        <f aca="false">(D55-$C55)*I$15+E55*I$16+F55*I$17+G55*I$18</f>
        <v>0</v>
      </c>
      <c r="J55" s="70" t="n">
        <f aca="false">(D55-$C55)*J$15+E55*J$16+F55*J$17+G55*J$18</f>
        <v>-5403.53359375</v>
      </c>
      <c r="K55" s="70" t="n">
        <f aca="false">(D55-$C55)*K$15+E55*K$16+F55*K$17+G55*K$18</f>
        <v>0</v>
      </c>
      <c r="L55" s="70" t="n">
        <f aca="false">(D55-$C55)*L$15+E55*L$16+F55*L$17+G55*L$18</f>
        <v>0</v>
      </c>
      <c r="M55" s="70" t="n">
        <f aca="false">(D55-$C55)*M$15+E55*M$16+F55*M$17+G55*M$18</f>
        <v>0</v>
      </c>
      <c r="N55" s="70" t="n">
        <f aca="false">(D55-$C55)*N$15+E55*N$16+F55*N$17+G55*N$18</f>
        <v>0</v>
      </c>
      <c r="O55" s="70" t="n">
        <f aca="false">(D55-$C55)*O$15+E55*O$16+F55*O$17+G55*O$18</f>
        <v>-5376.9578125</v>
      </c>
      <c r="P55" s="70" t="n">
        <f aca="false">(D55-$C55)*P$15+E55*P$16+F55*P$17+G55*P$18</f>
        <v>0</v>
      </c>
      <c r="Q55" s="70" t="n">
        <f aca="false">(D55-$C55)*Q$15+E55*Q$16+F55*Q$17+G55*Q$18</f>
        <v>0</v>
      </c>
      <c r="R55" s="70" t="n">
        <f aca="false">(D55-$C55)*R$15+E55*R$16+F55*R$17+G55*R$18</f>
        <v>0</v>
      </c>
      <c r="S55" s="70" t="n">
        <f aca="false">(D55-$C55)*S$15+E55*S$16+F55*S$17+G55*S$18</f>
        <v>-5350.38203125</v>
      </c>
      <c r="T55" s="70" t="n">
        <f aca="false">(D55-$C55)*T$15+E55*T$16+F55*T$17+G55*T$18</f>
        <v>0</v>
      </c>
      <c r="U55" s="57" t="n">
        <f aca="false">SUM(H55:T55)</f>
        <v>-16130.8734375</v>
      </c>
      <c r="V55" s="98" t="n">
        <f aca="false">SUM(H$18:T$18)</f>
        <v>1</v>
      </c>
      <c r="W55" s="28" t="n">
        <f aca="false">G55*(1-V55)</f>
        <v>-0</v>
      </c>
    </row>
    <row r="56" customFormat="false" ht="15" hidden="false" customHeight="false" outlineLevel="0" collapsed="false">
      <c r="A56" s="27" t="s">
        <v>645</v>
      </c>
      <c r="B56" s="56" t="s">
        <v>620</v>
      </c>
      <c r="C56" s="71" t="n">
        <v>-541</v>
      </c>
      <c r="D56" s="58" t="n">
        <f aca="false">-Fixed_Assets!M33*(1+Assumptions!$C$24*Assumptions!$C$27)</f>
        <v>-1476</v>
      </c>
      <c r="E56" s="58" t="n">
        <f aca="false">-Fixed_Assets!N33*(1+Assumptions!$C$24*Assumptions!$C$27)</f>
        <v>-1476</v>
      </c>
      <c r="F56" s="58" t="n">
        <f aca="false">-Fixed_Assets!O33*(1+Assumptions!$C$24*Assumptions!$C$27)</f>
        <v>-1476</v>
      </c>
      <c r="G56" s="58" t="n">
        <f aca="false">-Fixed_Assets!P33*(1+Assumptions!$C$24*Assumptions!$C$27)</f>
        <v>-1476</v>
      </c>
      <c r="H56" s="70" t="n">
        <f aca="false">(D56-$C56)*H$11+E56*H$12+F56*H$13+G56*H$14</f>
        <v>-344.473684210526</v>
      </c>
      <c r="I56" s="70" t="n">
        <f aca="false">(D56-$C56)*I$11+E56*I$12+F56*I$13+G56*I$14</f>
        <v>-344.473684210526</v>
      </c>
      <c r="J56" s="70" t="n">
        <f aca="false">(D56-$C56)*J$11+E56*J$12+F56*J$13+G56*J$14</f>
        <v>-341.27843803056</v>
      </c>
      <c r="K56" s="70" t="n">
        <f aca="false">(D56-$C56)*K$11+E56*K$12+F56*K$13+G56*K$14</f>
        <v>-333.290322580645</v>
      </c>
      <c r="L56" s="70" t="n">
        <f aca="false">(D56-$C56)*L$11+E56*L$12+F56*L$13+G56*L$14</f>
        <v>-333.290322580645</v>
      </c>
      <c r="M56" s="70" t="n">
        <f aca="false">(D56-$C56)*M$11+E56*M$12+F56*M$13+G56*M$14</f>
        <v>-333.290322580645</v>
      </c>
      <c r="N56" s="70" t="n">
        <f aca="false">(D56-$C56)*N$11+E56*N$12+F56*N$13+G56*N$14</f>
        <v>-333.290322580645</v>
      </c>
      <c r="O56" s="70" t="n">
        <f aca="false">(D56-$C56)*O$11+E56*O$12+F56*O$13+G56*O$14</f>
        <v>-342.812903225806</v>
      </c>
      <c r="P56" s="70" t="n">
        <f aca="false">(D56-$C56)*P$11+E56*P$12+F56*P$13+G56*P$14</f>
        <v>-344.4</v>
      </c>
      <c r="Q56" s="70" t="n">
        <f aca="false">(D56-$C56)*Q$11+E56*Q$12+F56*Q$13+G56*Q$14</f>
        <v>-344.4</v>
      </c>
      <c r="R56" s="70" t="n">
        <f aca="false">(D56-$C56)*R$11+E56*R$12+F56*R$13+G56*R$14</f>
        <v>-344.4</v>
      </c>
      <c r="S56" s="70" t="n">
        <f aca="false">(D56-$C56)*S$11+E56*S$12+F56*S$13+G56*S$14</f>
        <v>-338.051612903226</v>
      </c>
      <c r="T56" s="70" t="n">
        <f aca="false">(D56-$C56)*T$11+E56*T$12+F56*T$13+G56*T$14</f>
        <v>-333.290322580645</v>
      </c>
      <c r="U56" s="57" t="n">
        <f aca="false">SUM(H56:T56)</f>
        <v>-4410.74193548387</v>
      </c>
      <c r="V56" s="98" t="n">
        <f aca="false">SUM(H$14:T$14)</f>
        <v>0.354838709677419</v>
      </c>
      <c r="W56" s="28" t="n">
        <f aca="false">G56*(1-V56)</f>
        <v>-952.258064516129</v>
      </c>
    </row>
    <row r="57" customFormat="false" ht="15" hidden="false" customHeight="false" outlineLevel="0" collapsed="false">
      <c r="A57" s="73" t="s">
        <v>646</v>
      </c>
      <c r="B57" s="99" t="s">
        <v>630</v>
      </c>
      <c r="C57" s="100" t="n">
        <f aca="false">C45+C46+C47+C48+C49+C50+C51+C52+C53+C54+C55+C56</f>
        <v>-103479.109375</v>
      </c>
      <c r="D57" s="101" t="n">
        <f aca="false">D45+D46+D47+D48+D49+D50+D51+D52+D53+D54+D55+D56</f>
        <v>-1022668.31139363</v>
      </c>
      <c r="E57" s="101" t="n">
        <f aca="false">E45+E46+E47+E48+E49+E50+E51+E52+E53+E54+E55+E56</f>
        <v>-1036277.0576007</v>
      </c>
      <c r="F57" s="101" t="n">
        <f aca="false">F45+F46+F47+F48+F49+F50+F51+F52+F53+F54+F55+F56</f>
        <v>-1121372.5664915</v>
      </c>
      <c r="G57" s="101" t="n">
        <f aca="false">G45+G46+G47+G48+G49+G50+G51+G52+G53+G54+G55+G56</f>
        <v>-989305.841672556</v>
      </c>
      <c r="H57" s="69" t="n">
        <f aca="false">H45+H46+H47+H48+H49+H50+H51+H52+H53+H54+H55+H56</f>
        <v>-62394.6813328224</v>
      </c>
      <c r="I57" s="69" t="n">
        <f aca="false">I45+I46+I47+I48+I49+I50+I51+I52+I53+I54+I55+I56</f>
        <v>-545570.94944236</v>
      </c>
      <c r="J57" s="69" t="n">
        <f aca="false">J45+J46+J47+J48+J49+J50+J51+J52+J53+J54+J55+J56</f>
        <v>-335926.070716264</v>
      </c>
      <c r="K57" s="69" t="n">
        <f aca="false">K45+K46+K47+K48+K49+K50+K51+K52+K53+K54+K55+K56</f>
        <v>-67546.3805767413</v>
      </c>
      <c r="L57" s="69" t="n">
        <f aca="false">L45+L46+L47+L48+L49+L50+L51+L52+L53+L54+L55+L56</f>
        <v>-67546.3805767413</v>
      </c>
      <c r="M57" s="69" t="n">
        <f aca="false">M45+M46+M47+M48+M49+M50+M51+M52+M53+M54+M55+M56</f>
        <v>-142126.452511775</v>
      </c>
      <c r="N57" s="69" t="n">
        <f aca="false">N45+N46+N47+N48+N49+N50+N51+N52+N53+N54+N55+N56</f>
        <v>-460437.864790347</v>
      </c>
      <c r="O57" s="69" t="n">
        <f aca="false">O45+O46+O47+O48+O49+O50+O51+O52+O53+O54+O55+O56</f>
        <v>-337770.368164567</v>
      </c>
      <c r="P57" s="69" t="n">
        <f aca="false">P45+P46+P47+P48+P49+P50+P51+P52+P53+P54+P55+P56</f>
        <v>-68221.9191264185</v>
      </c>
      <c r="Q57" s="69" t="n">
        <f aca="false">Q45+Q46+Q47+Q48+Q49+Q50+Q51+Q52+Q53+Q54+Q55+Q56</f>
        <v>-68221.9191264185</v>
      </c>
      <c r="R57" s="69" t="n">
        <f aca="false">R45+R46+R47+R48+R49+R50+R51+R52+R53+R54+R55+R56</f>
        <v>-613281.501294417</v>
      </c>
      <c r="S57" s="69" t="n">
        <f aca="false">S45+S46+S47+S48+S49+S50+S51+S52+S53+S54+S55+S56</f>
        <v>-346435.822455103</v>
      </c>
      <c r="T57" s="69" t="n">
        <f aca="false">T45+T46+T47+T48+T49+T50+T51+T52+T53+T54+T55+T56</f>
        <v>-58259.4284508122</v>
      </c>
      <c r="U57" s="69" t="n">
        <f aca="false">SUM(H57:T57)</f>
        <v>-3173739.73856479</v>
      </c>
      <c r="V57" s="77"/>
      <c r="W57" s="77"/>
    </row>
    <row r="58" customFormat="false" ht="15" hidden="false" customHeight="false" outlineLevel="0" collapsed="false">
      <c r="A58" s="21" t="s">
        <v>461</v>
      </c>
      <c r="B58" s="22"/>
      <c r="C58" s="22"/>
      <c r="D58" s="22"/>
      <c r="E58" s="22"/>
      <c r="F58" s="22"/>
      <c r="G58" s="22"/>
      <c r="H58" s="22"/>
      <c r="I58" s="22"/>
      <c r="J58" s="22"/>
      <c r="K58" s="22"/>
      <c r="L58" s="22"/>
      <c r="M58" s="22"/>
      <c r="N58" s="22"/>
      <c r="O58" s="22"/>
      <c r="P58" s="22"/>
      <c r="Q58" s="22"/>
      <c r="R58" s="22"/>
      <c r="S58" s="22"/>
      <c r="T58" s="22"/>
      <c r="U58" s="22"/>
      <c r="V58" s="22"/>
      <c r="W58" s="22"/>
    </row>
    <row r="59" customFormat="false" ht="15" hidden="false" customHeight="false" outlineLevel="0" collapsed="false">
      <c r="A59" s="73" t="s">
        <v>647</v>
      </c>
      <c r="B59" s="99" t="s">
        <v>630</v>
      </c>
      <c r="C59" s="69" t="n">
        <f aca="false">C43+C57</f>
        <v>69912.890625</v>
      </c>
      <c r="D59" s="101" t="n">
        <f aca="false">D43+D57</f>
        <v>-102628.540984012</v>
      </c>
      <c r="E59" s="101" t="n">
        <f aca="false">E43+E57</f>
        <v>-113405.463253245</v>
      </c>
      <c r="F59" s="101" t="n">
        <f aca="false">F43+F57</f>
        <v>28177.812032216</v>
      </c>
      <c r="G59" s="101" t="n">
        <f aca="false">G43+G57</f>
        <v>186118.697212037</v>
      </c>
      <c r="H59" s="69" t="n">
        <f aca="false">H43+H57</f>
        <v>47945.8105922071</v>
      </c>
      <c r="I59" s="69" t="n">
        <f aca="false">I43+I57</f>
        <v>-287768.371517331</v>
      </c>
      <c r="J59" s="69" t="n">
        <f aca="false">J43+J57</f>
        <v>69885.7931358774</v>
      </c>
      <c r="K59" s="69" t="n">
        <f aca="false">K43+K57</f>
        <v>28028.6909473036</v>
      </c>
      <c r="L59" s="69" t="n">
        <f aca="false">L43+L57</f>
        <v>28028.6909473036</v>
      </c>
      <c r="M59" s="69" t="n">
        <f aca="false">M43+M57</f>
        <v>-46551.3809877298</v>
      </c>
      <c r="N59" s="69" t="n">
        <f aca="false">N43+N57</f>
        <v>-198931.316465191</v>
      </c>
      <c r="O59" s="69" t="n">
        <f aca="false">O43+O57</f>
        <v>97690.553373158</v>
      </c>
      <c r="P59" s="69" t="n">
        <f aca="false">P43+P57</f>
        <v>34594.3764837482</v>
      </c>
      <c r="Q59" s="69" t="n">
        <f aca="false">Q43+Q57</f>
        <v>66941.8764837482</v>
      </c>
      <c r="R59" s="69" t="n">
        <f aca="false">R43+R57</f>
        <v>-314235.594538645</v>
      </c>
      <c r="S59" s="69" t="n">
        <f aca="false">S43+S57</f>
        <v>234976.683296488</v>
      </c>
      <c r="T59" s="69" t="n">
        <f aca="false">T43+T57</f>
        <v>41519.2340714002</v>
      </c>
      <c r="U59" s="69" t="n">
        <f aca="false">SUM(H59:T59)</f>
        <v>-197874.954177662</v>
      </c>
      <c r="V59" s="77"/>
      <c r="W59" s="77"/>
    </row>
    <row r="60" customFormat="false" ht="15" hidden="false" customHeight="false" outlineLevel="0" collapsed="false">
      <c r="A60" s="0" t="s">
        <v>463</v>
      </c>
      <c r="B60" s="56" t="s">
        <v>648</v>
      </c>
      <c r="C60" s="83" t="n">
        <f aca="false">INDEX(BS!$E$9:$AB$9,Assumptions!$C$10)+C59</f>
        <v>704417.26328892</v>
      </c>
      <c r="H60" s="28" t="n">
        <f aca="false">C60</f>
        <v>704417.26328892</v>
      </c>
      <c r="I60" s="28" t="n">
        <f aca="false">H61</f>
        <v>752363.073881127</v>
      </c>
      <c r="J60" s="28" t="n">
        <f aca="false">I61</f>
        <v>464594.702363796</v>
      </c>
      <c r="K60" s="28" t="n">
        <f aca="false">J61</f>
        <v>534480.495499674</v>
      </c>
      <c r="L60" s="28" t="n">
        <f aca="false">K61</f>
        <v>562509.186446977</v>
      </c>
      <c r="M60" s="28" t="n">
        <f aca="false">L61</f>
        <v>590537.877394281</v>
      </c>
      <c r="N60" s="28" t="n">
        <f aca="false">M61</f>
        <v>543986.496406551</v>
      </c>
      <c r="O60" s="28" t="n">
        <f aca="false">N61</f>
        <v>345055.179941361</v>
      </c>
      <c r="P60" s="28" t="n">
        <f aca="false">O61</f>
        <v>442745.733314519</v>
      </c>
      <c r="Q60" s="28" t="n">
        <f aca="false">P61</f>
        <v>477340.109798267</v>
      </c>
      <c r="R60" s="28" t="n">
        <f aca="false">Q61</f>
        <v>544281.986282015</v>
      </c>
      <c r="S60" s="28" t="n">
        <f aca="false">R61</f>
        <v>230046.39174337</v>
      </c>
      <c r="T60" s="28" t="n">
        <f aca="false">S61</f>
        <v>465023.075039858</v>
      </c>
    </row>
    <row r="61" customFormat="false" ht="15" hidden="false" customHeight="false" outlineLevel="0" collapsed="false">
      <c r="A61" s="73" t="s">
        <v>649</v>
      </c>
      <c r="B61" s="77"/>
      <c r="C61" s="77"/>
      <c r="D61" s="77"/>
      <c r="E61" s="77"/>
      <c r="F61" s="77"/>
      <c r="G61" s="77"/>
      <c r="H61" s="69" t="n">
        <f aca="false">H60+H59</f>
        <v>752363.073881127</v>
      </c>
      <c r="I61" s="69" t="n">
        <f aca="false">I60+I59</f>
        <v>464594.702363796</v>
      </c>
      <c r="J61" s="69" t="n">
        <f aca="false">J60+J59</f>
        <v>534480.495499674</v>
      </c>
      <c r="K61" s="69" t="n">
        <f aca="false">K60+K59</f>
        <v>562509.186446977</v>
      </c>
      <c r="L61" s="69" t="n">
        <f aca="false">L60+L59</f>
        <v>590537.877394281</v>
      </c>
      <c r="M61" s="69" t="n">
        <f aca="false">M60+M59</f>
        <v>543986.496406551</v>
      </c>
      <c r="N61" s="69" t="n">
        <f aca="false">N60+N59</f>
        <v>345055.179941361</v>
      </c>
      <c r="O61" s="69" t="n">
        <f aca="false">O60+O59</f>
        <v>442745.733314519</v>
      </c>
      <c r="P61" s="69" t="n">
        <f aca="false">P60+P59</f>
        <v>477340.109798267</v>
      </c>
      <c r="Q61" s="69" t="n">
        <f aca="false">Q60+Q59</f>
        <v>544281.986282015</v>
      </c>
      <c r="R61" s="69" t="n">
        <f aca="false">R60+R59</f>
        <v>230046.39174337</v>
      </c>
      <c r="S61" s="69" t="n">
        <f aca="false">S60+S59</f>
        <v>465023.075039858</v>
      </c>
      <c r="T61" s="69" t="n">
        <f aca="false">T60+T59</f>
        <v>506542.309111258</v>
      </c>
      <c r="U61" s="77"/>
      <c r="V61" s="77"/>
      <c r="W61" s="77"/>
    </row>
    <row r="63" customFormat="false" ht="15" hidden="false" customHeight="false" outlineLevel="0" collapsed="false">
      <c r="A63" s="21" t="s">
        <v>650</v>
      </c>
      <c r="B63" s="22"/>
      <c r="C63" s="22"/>
      <c r="D63" s="22"/>
      <c r="E63" s="22"/>
      <c r="F63" s="22"/>
      <c r="G63" s="22"/>
      <c r="H63" s="22"/>
      <c r="I63" s="22"/>
      <c r="J63" s="22"/>
      <c r="K63" s="22"/>
      <c r="L63" s="22"/>
      <c r="M63" s="22"/>
      <c r="N63" s="22"/>
      <c r="O63" s="22"/>
      <c r="P63" s="22"/>
      <c r="Q63" s="22"/>
      <c r="R63" s="22"/>
      <c r="S63" s="22"/>
      <c r="T63" s="22"/>
      <c r="U63" s="22"/>
      <c r="V63" s="22"/>
      <c r="W63" s="22"/>
    </row>
    <row r="64" customFormat="false" ht="15" hidden="false" customHeight="false" outlineLevel="0" collapsed="false">
      <c r="A64" s="0" t="s">
        <v>651</v>
      </c>
      <c r="H64" s="58" t="n">
        <f aca="false">Assumptions!$C$13</f>
        <v>200000</v>
      </c>
      <c r="I64" s="58" t="n">
        <f aca="false">Assumptions!$C$13</f>
        <v>200000</v>
      </c>
      <c r="J64" s="58" t="n">
        <f aca="false">Assumptions!$C$13</f>
        <v>200000</v>
      </c>
      <c r="K64" s="58" t="n">
        <f aca="false">Assumptions!$C$13</f>
        <v>200000</v>
      </c>
      <c r="L64" s="58" t="n">
        <f aca="false">Assumptions!$C$13</f>
        <v>200000</v>
      </c>
      <c r="M64" s="58" t="n">
        <f aca="false">Assumptions!$C$13</f>
        <v>200000</v>
      </c>
      <c r="N64" s="58" t="n">
        <f aca="false">Assumptions!$C$13</f>
        <v>200000</v>
      </c>
      <c r="O64" s="58" t="n">
        <f aca="false">Assumptions!$C$13</f>
        <v>200000</v>
      </c>
      <c r="P64" s="58" t="n">
        <f aca="false">Assumptions!$C$13</f>
        <v>200000</v>
      </c>
      <c r="Q64" s="58" t="n">
        <f aca="false">Assumptions!$C$13</f>
        <v>200000</v>
      </c>
      <c r="R64" s="58" t="n">
        <f aca="false">Assumptions!$C$13</f>
        <v>200000</v>
      </c>
      <c r="S64" s="58" t="n">
        <f aca="false">Assumptions!$C$13</f>
        <v>200000</v>
      </c>
      <c r="T64" s="58" t="n">
        <f aca="false">Assumptions!$C$13</f>
        <v>200000</v>
      </c>
    </row>
    <row r="65" customFormat="false" ht="15" hidden="false" customHeight="false" outlineLevel="0" collapsed="false">
      <c r="A65" s="5" t="s">
        <v>652</v>
      </c>
      <c r="H65" s="34" t="n">
        <f aca="false">H61-H64</f>
        <v>552363.073881127</v>
      </c>
      <c r="I65" s="34" t="n">
        <f aca="false">I61-I64</f>
        <v>264594.702363796</v>
      </c>
      <c r="J65" s="34" t="n">
        <f aca="false">J61-J64</f>
        <v>334480.495499674</v>
      </c>
      <c r="K65" s="34" t="n">
        <f aca="false">K61-K64</f>
        <v>362509.186446977</v>
      </c>
      <c r="L65" s="34" t="n">
        <f aca="false">L61-L64</f>
        <v>390537.877394281</v>
      </c>
      <c r="M65" s="34" t="n">
        <f aca="false">M61-M64</f>
        <v>343986.496406551</v>
      </c>
      <c r="N65" s="34" t="n">
        <f aca="false">N61-N64</f>
        <v>145055.179941361</v>
      </c>
      <c r="O65" s="34" t="n">
        <f aca="false">O61-O64</f>
        <v>242745.733314519</v>
      </c>
      <c r="P65" s="34" t="n">
        <f aca="false">P61-P64</f>
        <v>277340.109798267</v>
      </c>
      <c r="Q65" s="34" t="n">
        <f aca="false">Q61-Q64</f>
        <v>344281.986282015</v>
      </c>
      <c r="R65" s="34" t="n">
        <f aca="false">R61-R64</f>
        <v>30046.3917433702</v>
      </c>
      <c r="S65" s="34" t="n">
        <f aca="false">S61-S64</f>
        <v>265023.075039858</v>
      </c>
      <c r="T65" s="34" t="n">
        <f aca="false">T61-T64</f>
        <v>306542.309111258</v>
      </c>
    </row>
    <row r="66" customFormat="false" ht="15" hidden="false" customHeight="false" outlineLevel="0" collapsed="false">
      <c r="A66" s="0" t="s">
        <v>150</v>
      </c>
      <c r="H66" s="30" t="str">
        <f aca="false">IF(H61&lt;0,"NEGATIVE",IF(H65&lt;0,"BELOW BUFFER","OK"))</f>
        <v>OK</v>
      </c>
      <c r="I66" s="30" t="str">
        <f aca="false">IF(I61&lt;0,"NEGATIVE",IF(I65&lt;0,"BELOW BUFFER","OK"))</f>
        <v>OK</v>
      </c>
      <c r="J66" s="30" t="str">
        <f aca="false">IF(J61&lt;0,"NEGATIVE",IF(J65&lt;0,"BELOW BUFFER","OK"))</f>
        <v>OK</v>
      </c>
      <c r="K66" s="30" t="str">
        <f aca="false">IF(K61&lt;0,"NEGATIVE",IF(K65&lt;0,"BELOW BUFFER","OK"))</f>
        <v>OK</v>
      </c>
      <c r="L66" s="30" t="str">
        <f aca="false">IF(L61&lt;0,"NEGATIVE",IF(L65&lt;0,"BELOW BUFFER","OK"))</f>
        <v>OK</v>
      </c>
      <c r="M66" s="30" t="str">
        <f aca="false">IF(M61&lt;0,"NEGATIVE",IF(M65&lt;0,"BELOW BUFFER","OK"))</f>
        <v>OK</v>
      </c>
      <c r="N66" s="30" t="str">
        <f aca="false">IF(N61&lt;0,"NEGATIVE",IF(N65&lt;0,"BELOW BUFFER","OK"))</f>
        <v>OK</v>
      </c>
      <c r="O66" s="30" t="str">
        <f aca="false">IF(O61&lt;0,"NEGATIVE",IF(O65&lt;0,"BELOW BUFFER","OK"))</f>
        <v>OK</v>
      </c>
      <c r="P66" s="30" t="str">
        <f aca="false">IF(P61&lt;0,"NEGATIVE",IF(P65&lt;0,"BELOW BUFFER","OK"))</f>
        <v>OK</v>
      </c>
      <c r="Q66" s="30" t="str">
        <f aca="false">IF(Q61&lt;0,"NEGATIVE",IF(Q65&lt;0,"BELOW BUFFER","OK"))</f>
        <v>OK</v>
      </c>
      <c r="R66" s="30" t="str">
        <f aca="false">IF(R61&lt;0,"NEGATIVE",IF(R65&lt;0,"BELOW BUFFER","OK"))</f>
        <v>OK</v>
      </c>
      <c r="S66" s="30" t="str">
        <f aca="false">IF(S61&lt;0,"NEGATIVE",IF(S65&lt;0,"BELOW BUFFER","OK"))</f>
        <v>OK</v>
      </c>
      <c r="T66" s="30" t="str">
        <f aca="false">IF(T61&lt;0,"NEGATIVE",IF(T65&lt;0,"BELOW BUFFER","OK"))</f>
        <v>OK</v>
      </c>
    </row>
    <row r="67" customFormat="false" ht="15" hidden="false" customHeight="false" outlineLevel="0" collapsed="false">
      <c r="A67" s="0" t="s">
        <v>653</v>
      </c>
      <c r="C67" s="34" t="n">
        <f aca="false">MIN(H61:T61)</f>
        <v>230046.39174337</v>
      </c>
    </row>
    <row r="68" customFormat="false" ht="15" hidden="false" customHeight="false" outlineLevel="0" collapsed="false">
      <c r="A68" s="0" t="s">
        <v>654</v>
      </c>
      <c r="C68" s="102" t="n">
        <f aca="false">INDEX(H$6:T$6,MATCH(MIN(H61:T61),H61:T61,0))</f>
        <v>46353</v>
      </c>
    </row>
    <row r="69" customFormat="false" ht="15" hidden="false" customHeight="false" outlineLevel="0" collapsed="false">
      <c r="A69" s="0" t="s">
        <v>655</v>
      </c>
      <c r="C69" s="34" t="n">
        <f aca="false">MIN(H65:T65)</f>
        <v>30046.3917433702</v>
      </c>
    </row>
    <row r="70" customFormat="false" ht="15" hidden="false" customHeight="false" outlineLevel="0" collapsed="false">
      <c r="A70" s="0" t="s">
        <v>656</v>
      </c>
      <c r="C70" s="34" t="n">
        <f aca="false">Assumptions!$C$14</f>
        <v>250000</v>
      </c>
    </row>
    <row r="71" customFormat="false" ht="15" hidden="false" customHeight="false" outlineLevel="0" collapsed="false">
      <c r="A71" s="0" t="s">
        <v>657</v>
      </c>
      <c r="C71" s="34" t="n">
        <f aca="false">Assumptions!$C$14+MIN(0,MIN(H65:T65))</f>
        <v>250000</v>
      </c>
    </row>
    <row r="72" customFormat="false" ht="15" hidden="false" customHeight="false" outlineLevel="0" collapsed="false">
      <c r="A72" s="0" t="s">
        <v>658</v>
      </c>
      <c r="C72" s="34" t="n">
        <f aca="false">-SUM(H51:T54)</f>
        <v>320184.550671243</v>
      </c>
    </row>
    <row r="74" customFormat="false" ht="15" hidden="false" customHeight="false" outlineLevel="0" collapsed="false">
      <c r="A74" s="21" t="s">
        <v>659</v>
      </c>
      <c r="B74" s="22"/>
      <c r="C74" s="22"/>
      <c r="D74" s="22"/>
      <c r="E74" s="22"/>
      <c r="F74" s="22"/>
      <c r="G74" s="22"/>
      <c r="H74" s="22"/>
      <c r="I74" s="22"/>
      <c r="J74" s="22"/>
      <c r="K74" s="22"/>
      <c r="L74" s="22"/>
      <c r="M74" s="22"/>
      <c r="N74" s="22"/>
      <c r="O74" s="22"/>
      <c r="P74" s="22"/>
      <c r="Q74" s="22"/>
      <c r="R74" s="22"/>
      <c r="S74" s="22"/>
      <c r="T74" s="22"/>
      <c r="U74" s="22"/>
      <c r="V74" s="22"/>
      <c r="W74" s="22"/>
    </row>
    <row r="75" customFormat="false" ht="15" hidden="false" customHeight="false" outlineLevel="0" collapsed="false">
      <c r="A75" s="103" t="s">
        <v>660</v>
      </c>
      <c r="C75" s="70" t="n">
        <f aca="false">T61</f>
        <v>506542.309111258</v>
      </c>
    </row>
    <row r="76" customFormat="false" ht="15" hidden="false" customHeight="false" outlineLevel="0" collapsed="false">
      <c r="A76" s="103" t="s">
        <v>661</v>
      </c>
      <c r="C76" s="70" t="n">
        <f aca="false">SUM(W37:W56)</f>
        <v>126224.568559658</v>
      </c>
    </row>
    <row r="77" customFormat="false" ht="15" hidden="false" customHeight="false" outlineLevel="0" collapsed="false">
      <c r="A77" s="5" t="s">
        <v>662</v>
      </c>
      <c r="C77" s="34" t="n">
        <f aca="false">C75+C76</f>
        <v>632766.877670916</v>
      </c>
    </row>
    <row r="78" customFormat="false" ht="15" hidden="false" customHeight="false" outlineLevel="0" collapsed="false">
      <c r="A78" s="103" t="s">
        <v>663</v>
      </c>
      <c r="C78" s="70" t="n">
        <f aca="false">BS!P9</f>
        <v>632766.877670916</v>
      </c>
    </row>
    <row r="79" customFormat="false" ht="15" hidden="false" customHeight="false" outlineLevel="0" collapsed="false">
      <c r="A79" s="5" t="s">
        <v>664</v>
      </c>
      <c r="C79" s="34" t="n">
        <f aca="false">ROUND(C77-C78,0)</f>
        <v>0</v>
      </c>
    </row>
    <row r="81" customFormat="false" ht="15" hidden="false" customHeight="false" outlineLevel="0" collapsed="false">
      <c r="A81" s="21" t="s">
        <v>665</v>
      </c>
      <c r="B81" s="22"/>
      <c r="C81" s="22"/>
      <c r="D81" s="22"/>
      <c r="E81" s="22"/>
      <c r="F81" s="22"/>
      <c r="G81" s="22"/>
      <c r="H81" s="22"/>
      <c r="I81" s="22"/>
      <c r="J81" s="22"/>
      <c r="K81" s="22"/>
      <c r="L81" s="22"/>
      <c r="M81" s="22"/>
      <c r="N81" s="22"/>
      <c r="O81" s="22"/>
      <c r="P81" s="22"/>
      <c r="Q81" s="22"/>
      <c r="R81" s="22"/>
      <c r="S81" s="22"/>
      <c r="T81" s="22"/>
      <c r="U81" s="22"/>
      <c r="V81" s="22"/>
      <c r="W81" s="22"/>
    </row>
    <row r="82" customFormat="false" ht="15" hidden="false" customHeight="false" outlineLevel="0" collapsed="false">
      <c r="A82" s="12" t="str">
        <f aca="false">"1. Draw the overdraft facility (EUR "&amp;TEXT(Assumptions!$C$14/1000,"#,##0")&amp;"k undrawn) across the weeks containing the 23rd, when PAYE, RCT, VAT and corporation tax fall due together."</f>
        <v>1. Draw the overdraft facility (EUR 250k undrawn) across the weeks containing the 23rd, when PAYE, RCT, VAT and corporation tax fall due together.</v>
      </c>
    </row>
    <row r="83" customFormat="false" ht="15" hidden="false" customHeight="false" outlineLevel="0" collapsed="false">
      <c r="A83" s="12" t="str">
        <f aca="false">"2. Agree the pending variations on CF-2601 (EUR "&amp;TEXT(Variations!E28/1000,"#,##0")&amp;"k claimed) before the October valuation, so they are certified in October and paid in November."</f>
        <v>2. Agree the pending variations on CF-2601 (EUR 118k claimed) before the October valuation, so they are certified in October and paid in November.</v>
      </c>
    </row>
    <row r="84" customFormat="false" ht="15" hidden="false" customHeight="false" outlineLevel="0" collapsed="false">
      <c r="A84" s="12" t="str">
        <f aca="false">"3. Collect the CF-2601 July short payment and the renovation snag retention: together EUR "&amp;TEXT((AR_Aging!D8+AR_Aging!D16)/1000,"#,##0")&amp;"k already overdue."</f>
        <v>3. Collect the CF-2601 July short payment and the renovation snag retention: together EUR 58k already overdue.</v>
      </c>
    </row>
    <row r="85" customFormat="false" ht="15" hidden="false" customHeight="false" outlineLevel="0" collapsed="false">
      <c r="A85" s="12" t="str">
        <f aca="false">"4. Chase SEAI on the queried claim and lodge completion claims the week the post-works BER publishes; SEAI days are the largest controllable receivable lever."</f>
        <v>4. Chase SEAI on the queried claim and lodge completion claims the week the post-works BER publishes; SEAI days are the largest controllable receivable lever.</v>
      </c>
    </row>
    <row r="86" customFormat="false" ht="15" hidden="false" customHeight="false" outlineLevel="0" collapsed="false">
      <c r="A86" s="12" t="str">
        <f aca="false">"5. Defer the planned November retrofit hires by one month and move discretionary marketing spend into Q1 if the low point sits below the buffer."</f>
        <v>5. Defer the planned November retrofit hires by one month and move discretionary marketing spend into Q1 if the low point sits below the buffer.</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27"/>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9"/>
    <col collapsed="false" customWidth="true" hidden="false" outlineLevel="0" max="24" min="3" style="0" width="12"/>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666</v>
      </c>
    </row>
    <row r="3" customFormat="false" ht="15" hidden="false" customHeight="false" outlineLevel="0" collapsed="false">
      <c r="A3" s="24" t="s">
        <v>667</v>
      </c>
    </row>
    <row r="5" customFormat="false" ht="66" hidden="false" customHeight="true" outlineLevel="0" collapsed="false">
      <c r="A5" s="25" t="s">
        <v>668</v>
      </c>
      <c r="B5" s="26" t="s">
        <v>515</v>
      </c>
      <c r="C5" s="26" t="s">
        <v>150</v>
      </c>
      <c r="D5" s="26" t="s">
        <v>669</v>
      </c>
      <c r="E5" s="26" t="s">
        <v>670</v>
      </c>
      <c r="F5" s="26" t="s">
        <v>671</v>
      </c>
      <c r="G5" s="26" t="s">
        <v>672</v>
      </c>
      <c r="H5" s="26" t="s">
        <v>673</v>
      </c>
      <c r="I5" s="26" t="s">
        <v>674</v>
      </c>
      <c r="J5" s="26" t="s">
        <v>675</v>
      </c>
      <c r="K5" s="26" t="s">
        <v>676</v>
      </c>
      <c r="L5" s="26" t="s">
        <v>677</v>
      </c>
      <c r="M5" s="26" t="s">
        <v>678</v>
      </c>
      <c r="N5" s="26" t="s">
        <v>679</v>
      </c>
      <c r="O5" s="26" t="s">
        <v>680</v>
      </c>
      <c r="P5" s="26" t="s">
        <v>681</v>
      </c>
      <c r="Q5" s="26" t="s">
        <v>682</v>
      </c>
      <c r="R5" s="26" t="s">
        <v>683</v>
      </c>
      <c r="S5" s="26" t="s">
        <v>684</v>
      </c>
      <c r="T5" s="26" t="s">
        <v>685</v>
      </c>
      <c r="U5" s="26" t="s">
        <v>686</v>
      </c>
      <c r="V5" s="26" t="s">
        <v>687</v>
      </c>
      <c r="W5" s="26" t="s">
        <v>688</v>
      </c>
      <c r="X5" s="26" t="s">
        <v>689</v>
      </c>
    </row>
    <row r="6" customFormat="false" ht="15" hidden="false" customHeight="false" outlineLevel="0" collapsed="false">
      <c r="A6" s="0" t="s">
        <v>690</v>
      </c>
      <c r="B6" s="0" t="str">
        <f aca="false">Project_Register!$D$7</f>
        <v>CF</v>
      </c>
      <c r="C6" s="0" t="str">
        <f aca="false">Project_Register!$E$7</f>
        <v>Completed</v>
      </c>
      <c r="D6" s="28" t="n">
        <f aca="false">SUMIFS(WIP!$E$26:$AB$26,Assumptions!$E$97:$AB$97,"A")</f>
        <v>363553.44</v>
      </c>
      <c r="E6" s="28" t="n">
        <f aca="false">SUMIFS(WIP!$E$29:$AB$29,Assumptions!$E$97:$AB$97,"A")</f>
        <v>81199.46</v>
      </c>
      <c r="F6" s="78" t="n">
        <f aca="false">IF(D6=0,0,E6/D6)</f>
        <v>0.223349447608032</v>
      </c>
      <c r="G6" s="28" t="n">
        <f aca="false">WIP!$C$26</f>
        <v>363553.44</v>
      </c>
      <c r="H6" s="28" t="n">
        <f aca="false">I6-G6</f>
        <v>-282353.98</v>
      </c>
      <c r="I6" s="28" t="n">
        <f aca="false">WIP!$C$29</f>
        <v>81199.46</v>
      </c>
      <c r="J6" s="78" t="n">
        <f aca="false">IF(G6=0,0,I6/G6)</f>
        <v>0.223349447608032</v>
      </c>
      <c r="K6" s="28" t="n">
        <f aca="false">WIP!$C$12</f>
        <v>46241.49</v>
      </c>
      <c r="L6" s="28" t="n">
        <f aca="false">IF($K$23=0,0,K6/$K$23)*PL!$C$33</f>
        <v>2.56807288906793</v>
      </c>
      <c r="M6" s="28" t="n">
        <f aca="false">IF($K$23=0,0,K6/$K$23)*PL!$C$34</f>
        <v>-4984.79865632312</v>
      </c>
      <c r="N6" s="28" t="n">
        <f aca="false">IF($G$23=0,0,G6/$G$23)*PL!$C$51</f>
        <v>-42934.9326056667</v>
      </c>
      <c r="O6" s="28" t="n">
        <f aca="false">I6+L6+M6+N6</f>
        <v>33282.2968108992</v>
      </c>
      <c r="P6" s="78" t="n">
        <f aca="false">IF(G6=0,0,O6/G6)</f>
        <v>0.0915471926517851</v>
      </c>
      <c r="Q6" s="78" t="n">
        <f aca="false">Project_Register!$P$7</f>
        <v>0.140816326530612</v>
      </c>
      <c r="R6" s="78" t="n">
        <f aca="false">IF(WIP!$D$24=0,0,(WIP!$D$24-Project_Register!$AT$7)/WIP!$D$24)</f>
        <v>0.184631599118521</v>
      </c>
      <c r="S6" s="78" t="n">
        <f aca="false">IF(ISNUMBER(Q6),R6-Q6,"n/a")</f>
        <v>0.0438152725879083</v>
      </c>
      <c r="T6" s="28" t="n">
        <f aca="false">SUMIFS(Variations!$E$6:$E$21,Variations!$B$6:$B$21,"CF-2501",Variations!$F$6:$F$21,"Pending")</f>
        <v>0</v>
      </c>
      <c r="U6" s="28" t="n">
        <f aca="false">INDEX(WIP!$E$40:$AB$40,Assumptions!$C$10)</f>
        <v>0</v>
      </c>
      <c r="V6" s="28" t="n">
        <f aca="false">INDEX(WIP!$E$39:$AB$39,Assumptions!$C$10)</f>
        <v>0.00142999996023718</v>
      </c>
      <c r="W6" s="28" t="n">
        <f aca="false">INDEX(WIP!$E$33:$AB$33,Assumptions!$C$10)</f>
        <v>26092.5</v>
      </c>
      <c r="X6" s="28" t="n">
        <f aca="false">(INDEX(WIP!$E$31:$AB$31,Assumptions!$C$10)-INDEX(WIP!$E$33:$AB$33,Assumptions!$C$10)-INDEX(WIP!$E$39:$AB$39,Assumptions!$C$10)/(1+Project_Register!$W$7))-Project_Register!$AQ$7</f>
        <v>166607.498740088</v>
      </c>
    </row>
    <row r="7" customFormat="false" ht="15" hidden="false" customHeight="false" outlineLevel="0" collapsed="false">
      <c r="A7" s="0" t="s">
        <v>691</v>
      </c>
      <c r="B7" s="0" t="str">
        <f aca="false">Project_Register!$D$8</f>
        <v>PS</v>
      </c>
      <c r="C7" s="0" t="str">
        <f aca="false">Project_Register!$E$8</f>
        <v>Completed</v>
      </c>
      <c r="D7" s="28" t="n">
        <f aca="false">SUMIFS(WIP!$E$69:$AB$69,Assumptions!$E$97:$AB$97,"A")</f>
        <v>583692.68</v>
      </c>
      <c r="E7" s="28" t="n">
        <f aca="false">SUMIFS(WIP!$E$72:$AB$72,Assumptions!$E$97:$AB$97,"A")</f>
        <v>99859.0500000001</v>
      </c>
      <c r="F7" s="78" t="n">
        <f aca="false">IF(D7=0,0,E7/D7)</f>
        <v>0.171081552710238</v>
      </c>
      <c r="G7" s="28" t="n">
        <f aca="false">WIP!$C$69</f>
        <v>583692.68</v>
      </c>
      <c r="H7" s="28" t="n">
        <f aca="false">I7-G7</f>
        <v>-483833.63</v>
      </c>
      <c r="I7" s="28" t="n">
        <f aca="false">WIP!$C$72</f>
        <v>99859.0500000001</v>
      </c>
      <c r="J7" s="78" t="n">
        <f aca="false">IF(G7=0,0,I7/G7)</f>
        <v>0.171081552710238</v>
      </c>
      <c r="K7" s="28" t="n">
        <f aca="false">WIP!$C$55</f>
        <v>62064.74</v>
      </c>
      <c r="L7" s="28" t="n">
        <f aca="false">IF($K$23=0,0,K7/$K$23)*PL!$C$33</f>
        <v>3.44683478324444</v>
      </c>
      <c r="M7" s="28" t="n">
        <f aca="false">IF($K$23=0,0,K7/$K$23)*PL!$C$34</f>
        <v>-6690.53338370031</v>
      </c>
      <c r="N7" s="28" t="n">
        <f aca="false">IF($G$23=0,0,G7/$G$23)*PL!$C$51</f>
        <v>-68932.9356317492</v>
      </c>
      <c r="O7" s="28" t="n">
        <f aca="false">I7+L7+M7+N7</f>
        <v>24239.0278193337</v>
      </c>
      <c r="P7" s="78" t="n">
        <f aca="false">IF(G7=0,0,O7/G7)</f>
        <v>0.0415270375145594</v>
      </c>
      <c r="Q7" s="78" t="n">
        <f aca="false">Project_Register!$P$8</f>
        <v>0.122222222222222</v>
      </c>
      <c r="R7" s="78" t="n">
        <f aca="false">IF(WIP!$D$67=0,0,(WIP!$D$67-Project_Register!$AT$8)/WIP!$D$67)</f>
        <v>0.151487817853923</v>
      </c>
      <c r="S7" s="78" t="n">
        <f aca="false">IF(ISNUMBER(Q7),R7-Q7,"n/a")</f>
        <v>0.0292655956317003</v>
      </c>
      <c r="T7" s="28" t="n">
        <f aca="false">SUMIFS(Variations!$E$6:$E$21,Variations!$B$6:$B$21,"PS-2502",Variations!$F$6:$F$21,"Pending")</f>
        <v>0</v>
      </c>
      <c r="U7" s="28" t="n">
        <f aca="false">INDEX(WIP!$E$83:$AB$83,Assumptions!$C$10)</f>
        <v>0</v>
      </c>
      <c r="V7" s="28" t="n">
        <f aca="false">INDEX(WIP!$E$82:$AB$82,Assumptions!$C$10)</f>
        <v>0.0035000002826564</v>
      </c>
      <c r="W7" s="28" t="n">
        <f aca="false">INDEX(WIP!$E$76:$AB$76,Assumptions!$C$10)</f>
        <v>27725</v>
      </c>
      <c r="X7" s="28" t="n">
        <f aca="false">(INDEX(WIP!$E$74:$AB$74,Assumptions!$C$10)-INDEX(WIP!$E$76:$AB$76,Assumptions!$C$10)-INDEX(WIP!$E$82:$AB$82,Assumptions!$C$10)/(1+Project_Register!$W$8))-Project_Register!$AQ$8</f>
        <v>140274.9865</v>
      </c>
    </row>
    <row r="8" customFormat="false" ht="15" hidden="false" customHeight="false" outlineLevel="0" collapsed="false">
      <c r="A8" s="0" t="s">
        <v>692</v>
      </c>
      <c r="B8" s="0" t="str">
        <f aca="false">Project_Register!$D$9</f>
        <v>CF</v>
      </c>
      <c r="C8" s="0" t="str">
        <f aca="false">Project_Register!$E$9</f>
        <v>In progress</v>
      </c>
      <c r="D8" s="28" t="n">
        <f aca="false">SUMIFS(WIP!$E$112:$AB$112,Assumptions!$E$97:$AB$97,"A")</f>
        <v>909074.82</v>
      </c>
      <c r="E8" s="28" t="n">
        <f aca="false">SUMIFS(WIP!$E$115:$AB$115,Assumptions!$E$97:$AB$97,"A")</f>
        <v>58603.8800000001</v>
      </c>
      <c r="F8" s="78" t="n">
        <f aca="false">IF(D8=0,0,E8/D8)</f>
        <v>0.064465408908807</v>
      </c>
      <c r="G8" s="28" t="n">
        <f aca="false">WIP!$C$112</f>
        <v>1289700</v>
      </c>
      <c r="H8" s="28" t="n">
        <f aca="false">I8-G8</f>
        <v>-1190000</v>
      </c>
      <c r="I8" s="28" t="n">
        <f aca="false">WIP!$C$115</f>
        <v>99700.0000000001</v>
      </c>
      <c r="J8" s="78" t="n">
        <f aca="false">IF(G8=0,0,I8/G8)</f>
        <v>0.0773047995657906</v>
      </c>
      <c r="K8" s="28" t="n">
        <f aca="false">WIP!$C$98</f>
        <v>190556.2896</v>
      </c>
      <c r="L8" s="28" t="n">
        <f aca="false">IF($K$23=0,0,K8/$K$23)*PL!$C$33</f>
        <v>10.5827567659073</v>
      </c>
      <c r="M8" s="28" t="n">
        <f aca="false">IF($K$23=0,0,K8/$K$23)*PL!$C$34</f>
        <v>-20541.8280499179</v>
      </c>
      <c r="N8" s="28" t="n">
        <f aca="false">IF($G$23=0,0,G8/$G$23)*PL!$C$51</f>
        <v>-152310.985096244</v>
      </c>
      <c r="O8" s="28" t="n">
        <f aca="false">I8+L8+M8+N8</f>
        <v>-73142.2303893964</v>
      </c>
      <c r="P8" s="78" t="n">
        <f aca="false">IF(G8=0,0,O8/G8)</f>
        <v>-0.0567125923776044</v>
      </c>
      <c r="Q8" s="78" t="n">
        <f aca="false">Project_Register!$P$9</f>
        <v>0.13728813559322</v>
      </c>
      <c r="R8" s="78" t="n">
        <f aca="false">IF(WIP!$D$110=0,0,(WIP!$D$110-Project_Register!$AT$9)/WIP!$D$110)</f>
        <v>0.0773047995657905</v>
      </c>
      <c r="S8" s="78" t="n">
        <f aca="false">IF(ISNUMBER(Q8),R8-Q8,"n/a")</f>
        <v>-0.0599833360274298</v>
      </c>
      <c r="T8" s="28" t="n">
        <f aca="false">SUMIFS(Variations!$E$6:$E$21,Variations!$B$6:$B$21,"CF-2601",Variations!$F$6:$F$21,"Pending")</f>
        <v>118000</v>
      </c>
      <c r="U8" s="28" t="n">
        <f aca="false">INDEX(WIP!$E$126:$AB$126,Assumptions!$C$10)</f>
        <v>202464.01</v>
      </c>
      <c r="V8" s="28" t="n">
        <f aca="false">INDEX(WIP!$E$125:$AB$125,Assumptions!$C$10)</f>
        <v>234156.1058825</v>
      </c>
      <c r="W8" s="28" t="n">
        <f aca="false">INDEX(WIP!$E$119:$AB$119,Assumptions!$C$10)</f>
        <v>35330.5405</v>
      </c>
      <c r="X8" s="28" t="n">
        <f aca="false">(INDEX(WIP!$E$117:$AB$117,Assumptions!$C$10)-INDEX(WIP!$E$119:$AB$119,Assumptions!$C$10)-INDEX(WIP!$E$125:$AB$125,Assumptions!$C$10)/(1+Project_Register!$W$9))-Project_Register!$AQ$9</f>
        <v>-385495.609603524</v>
      </c>
    </row>
    <row r="9" customFormat="false" ht="15" hidden="false" customHeight="false" outlineLevel="0" collapsed="false">
      <c r="A9" s="0" t="s">
        <v>693</v>
      </c>
      <c r="B9" s="0" t="str">
        <f aca="false">Project_Register!$D$10</f>
        <v>CF</v>
      </c>
      <c r="C9" s="0" t="str">
        <f aca="false">Project_Register!$E$10</f>
        <v>In progress</v>
      </c>
      <c r="D9" s="28" t="n">
        <f aca="false">SUMIFS(WIP!$E$155:$AB$155,Assumptions!$E$97:$AB$97,"A")</f>
        <v>247330.09</v>
      </c>
      <c r="E9" s="28" t="n">
        <f aca="false">SUMIFS(WIP!$E$158:$AB$158,Assumptions!$E$97:$AB$97,"A")</f>
        <v>40283.05</v>
      </c>
      <c r="F9" s="78" t="n">
        <f aca="false">IF(D9=0,0,E9/D9)</f>
        <v>0.162871610162759</v>
      </c>
      <c r="G9" s="28" t="n">
        <f aca="false">WIP!$C$155</f>
        <v>855363.113626225</v>
      </c>
      <c r="H9" s="28" t="n">
        <f aca="false">I9-G9</f>
        <v>-713911.717925926</v>
      </c>
      <c r="I9" s="28" t="n">
        <f aca="false">WIP!$C$158</f>
        <v>141451.395700299</v>
      </c>
      <c r="J9" s="78" t="n">
        <f aca="false">IF(G9=0,0,I9/G9)</f>
        <v>0.165369997194092</v>
      </c>
      <c r="K9" s="28" t="n">
        <f aca="false">WIP!$C$141</f>
        <v>115625.248468148</v>
      </c>
      <c r="L9" s="28" t="n">
        <f aca="false">IF($K$23=0,0,K9/$K$23)*PL!$C$33</f>
        <v>6.42137755255711</v>
      </c>
      <c r="M9" s="28" t="n">
        <f aca="false">IF($K$23=0,0,K9/$K$23)*PL!$C$34</f>
        <v>-12464.3168548646</v>
      </c>
      <c r="N9" s="28" t="n">
        <f aca="false">IF($G$23=0,0,G9/$G$23)*PL!$C$51</f>
        <v>-101016.669342794</v>
      </c>
      <c r="O9" s="28" t="n">
        <f aca="false">I9+L9+M9+N9</f>
        <v>27976.8308801928</v>
      </c>
      <c r="P9" s="78" t="n">
        <f aca="false">IF(G9=0,0,O9/G9)</f>
        <v>0.0327075489163753</v>
      </c>
      <c r="Q9" s="78" t="n">
        <f aca="false">Project_Register!$P$10</f>
        <v>0.136170212765957</v>
      </c>
      <c r="R9" s="78" t="n">
        <f aca="false">IF(WIP!$D$153=0,0,(WIP!$D$153-Project_Register!$AT$10)/WIP!$D$153)</f>
        <v>0.165369997194092</v>
      </c>
      <c r="S9" s="78" t="n">
        <f aca="false">IF(ISNUMBER(Q9),R9-Q9,"n/a")</f>
        <v>0.0291997844281349</v>
      </c>
      <c r="T9" s="28" t="n">
        <f aca="false">SUMIFS(Variations!$E$6:$E$21,Variations!$B$6:$B$21,"CF-2602",Variations!$F$6:$F$21,"Pending")</f>
        <v>19500</v>
      </c>
      <c r="U9" s="28" t="n">
        <f aca="false">INDEX(WIP!$E$169:$AB$169,Assumptions!$C$10)</f>
        <v>126492.45</v>
      </c>
      <c r="V9" s="28" t="n">
        <f aca="false">INDEX(WIP!$E$168:$AB$168,Assumptions!$C$10)</f>
        <v>115446.509758</v>
      </c>
      <c r="W9" s="28" t="n">
        <f aca="false">INDEX(WIP!$E$162:$AB$162,Assumptions!$C$10)</f>
        <v>3625.1292</v>
      </c>
      <c r="X9" s="28" t="n">
        <f aca="false">(INDEX(WIP!$E$160:$AB$160,Assumptions!$C$10)-INDEX(WIP!$E$162:$AB$162,Assumptions!$C$10)-INDEX(WIP!$E$168:$AB$168,Assumptions!$C$10)/(1+Project_Register!$W$10))-Project_Register!$AQ$10</f>
        <v>-191549.515770925</v>
      </c>
    </row>
    <row r="10" customFormat="false" ht="15" hidden="false" customHeight="false" outlineLevel="0" collapsed="false">
      <c r="A10" s="0" t="s">
        <v>694</v>
      </c>
      <c r="B10" s="0" t="str">
        <f aca="false">Project_Register!$D$11</f>
        <v>CF</v>
      </c>
      <c r="C10" s="0" t="str">
        <f aca="false">Project_Register!$E$11</f>
        <v>In progress</v>
      </c>
      <c r="D10" s="28" t="n">
        <f aca="false">SUMIFS(WIP!$E$198:$AB$198,Assumptions!$E$97:$AB$97,"A")</f>
        <v>39317.61</v>
      </c>
      <c r="E10" s="28" t="n">
        <f aca="false">SUMIFS(WIP!$E$201:$AB$201,Assumptions!$E$97:$AB$97,"A")</f>
        <v>6429.48</v>
      </c>
      <c r="F10" s="78" t="n">
        <f aca="false">IF(D10=0,0,E10/D10)</f>
        <v>0.163526725047631</v>
      </c>
      <c r="G10" s="28" t="n">
        <f aca="false">WIP!$C$198</f>
        <v>400530</v>
      </c>
      <c r="H10" s="28" t="n">
        <f aca="false">I10-G10</f>
        <v>-333000</v>
      </c>
      <c r="I10" s="28" t="n">
        <f aca="false">WIP!$C$201</f>
        <v>67530</v>
      </c>
      <c r="J10" s="78" t="n">
        <f aca="false">IF(G10=0,0,I10/G10)</f>
        <v>0.168601602876189</v>
      </c>
      <c r="K10" s="28" t="n">
        <f aca="false">WIP!$C$184</f>
        <v>53553.1692</v>
      </c>
      <c r="L10" s="28" t="n">
        <f aca="false">IF($K$23=0,0,K10/$K$23)*PL!$C$33</f>
        <v>2.97413517484379</v>
      </c>
      <c r="M10" s="28" t="n">
        <f aca="false">IF($K$23=0,0,K10/$K$23)*PL!$C$34</f>
        <v>-5772.9923034488</v>
      </c>
      <c r="N10" s="28" t="n">
        <f aca="false">IF($G$23=0,0,G10/$G$23)*PL!$C$51</f>
        <v>-47301.7902307504</v>
      </c>
      <c r="O10" s="28" t="n">
        <f aca="false">I10+L10+M10+N10</f>
        <v>14458.1916009757</v>
      </c>
      <c r="P10" s="78" t="n">
        <f aca="false">IF(G10=0,0,O10/G10)</f>
        <v>0.036097649616697</v>
      </c>
      <c r="Q10" s="78" t="n">
        <f aca="false">Project_Register!$P$11</f>
        <v>0.156410256410256</v>
      </c>
      <c r="R10" s="78" t="n">
        <f aca="false">IF(WIP!$D$196=0,0,(WIP!$D$196-Project_Register!$AT$11)/WIP!$D$196)</f>
        <v>0.168601602876189</v>
      </c>
      <c r="S10" s="78" t="n">
        <f aca="false">IF(ISNUMBER(Q10),R10-Q10,"n/a")</f>
        <v>0.0121913464659326</v>
      </c>
      <c r="T10" s="28" t="n">
        <f aca="false">SUMIFS(Variations!$E$6:$E$21,Variations!$B$6:$B$21,"CF-2603",Variations!$F$6:$F$21,"Pending")</f>
        <v>16200</v>
      </c>
      <c r="U10" s="28" t="n">
        <f aca="false">INDEX(WIP!$E$212:$AB$212,Assumptions!$C$10)</f>
        <v>39317.61</v>
      </c>
      <c r="V10" s="28" t="n">
        <f aca="false">INDEX(WIP!$E$211:$AB$211,Assumptions!$C$10)</f>
        <v>0</v>
      </c>
      <c r="W10" s="28" t="n">
        <f aca="false">INDEX(WIP!$E$205:$AB$205,Assumptions!$C$10)</f>
        <v>0</v>
      </c>
      <c r="X10" s="28" t="n">
        <f aca="false">(INDEX(WIP!$E$203:$AB$203,Assumptions!$C$10)-INDEX(WIP!$E$205:$AB$205,Assumptions!$C$10)-INDEX(WIP!$E$211:$AB$211,Assumptions!$C$10)/(1+Project_Register!$W$11))-Project_Register!$AQ$11</f>
        <v>-32888.13</v>
      </c>
    </row>
    <row r="11" customFormat="false" ht="15" hidden="false" customHeight="false" outlineLevel="0" collapsed="false">
      <c r="A11" s="0" t="s">
        <v>695</v>
      </c>
      <c r="B11" s="0" t="str">
        <f aca="false">Project_Register!$D$12</f>
        <v>PS</v>
      </c>
      <c r="C11" s="0" t="str">
        <f aca="false">Project_Register!$E$12</f>
        <v>In progress</v>
      </c>
      <c r="D11" s="28" t="n">
        <f aca="false">SUMIFS(WIP!$E$241:$AB$241,Assumptions!$E$97:$AB$97,"A")</f>
        <v>460800.89</v>
      </c>
      <c r="E11" s="28" t="n">
        <f aca="false">SUMIFS(WIP!$E$244:$AB$244,Assumptions!$E$97:$AB$97,"A")</f>
        <v>61277.35</v>
      </c>
      <c r="F11" s="78" t="n">
        <f aca="false">IF(D11=0,0,E11/D11)</f>
        <v>0.132980103402144</v>
      </c>
      <c r="G11" s="28" t="n">
        <f aca="false">WIP!$C$241</f>
        <v>1208799.25795044</v>
      </c>
      <c r="H11" s="28" t="n">
        <f aca="false">I11-G11</f>
        <v>-1046343.28419753</v>
      </c>
      <c r="I11" s="28" t="n">
        <f aca="false">WIP!$C$244</f>
        <v>162455.973752908</v>
      </c>
      <c r="J11" s="78" t="n">
        <f aca="false">IF(G11=0,0,I11/G11)</f>
        <v>0.134394501555501</v>
      </c>
      <c r="K11" s="28" t="n">
        <f aca="false">WIP!$C$227</f>
        <v>135866.046745679</v>
      </c>
      <c r="L11" s="28" t="n">
        <f aca="false">IF($K$23=0,0,K11/$K$23)*PL!$C$33</f>
        <v>7.5454729333422</v>
      </c>
      <c r="M11" s="28" t="n">
        <f aca="false">IF($K$23=0,0,K11/$K$23)*PL!$C$34</f>
        <v>-14646.260041746</v>
      </c>
      <c r="N11" s="28" t="n">
        <f aca="false">IF($G$23=0,0,G11/$G$23)*PL!$C$51</f>
        <v>-142756.769606917</v>
      </c>
      <c r="O11" s="28" t="n">
        <f aca="false">I11+L11+M11+N11</f>
        <v>5060.48957717864</v>
      </c>
      <c r="P11" s="78" t="n">
        <f aca="false">IF(G11=0,0,O11/G11)</f>
        <v>0.00418637713739076</v>
      </c>
      <c r="Q11" s="78" t="n">
        <f aca="false">Project_Register!$P$12</f>
        <v>0.122727272727273</v>
      </c>
      <c r="R11" s="78" t="n">
        <f aca="false">IF(WIP!$D$239=0,0,(WIP!$D$239-Project_Register!$AT$12)/WIP!$D$239)</f>
        <v>0.1343945015555</v>
      </c>
      <c r="S11" s="78" t="n">
        <f aca="false">IF(ISNUMBER(Q11),R11-Q11,"n/a")</f>
        <v>0.0116672288282278</v>
      </c>
      <c r="T11" s="28" t="n">
        <f aca="false">SUMIFS(Variations!$E$6:$E$21,Variations!$B$6:$B$21,"PS-2601",Variations!$F$6:$F$21,"Pending")</f>
        <v>14700</v>
      </c>
      <c r="U11" s="28" t="n">
        <f aca="false">INDEX(WIP!$E$255:$AB$255,Assumptions!$C$10)</f>
        <v>177174.54</v>
      </c>
      <c r="V11" s="28" t="n">
        <f aca="false">INDEX(WIP!$E$254:$AB$254,Assumptions!$C$10)</f>
        <v>147462.0825</v>
      </c>
      <c r="W11" s="28" t="n">
        <f aca="false">INDEX(WIP!$E$248:$AB$248,Assumptions!$C$10)</f>
        <v>14181.3175</v>
      </c>
      <c r="X11" s="28" t="n">
        <f aca="false">(INDEX(WIP!$E$246:$AB$246,Assumptions!$C$10)-INDEX(WIP!$E$248:$AB$248,Assumptions!$C$10)-INDEX(WIP!$E$254:$AB$254,Assumptions!$C$10)/(1+Project_Register!$W$12))-Project_Register!$AQ$12</f>
        <v>-277540.59</v>
      </c>
    </row>
    <row r="12" customFormat="false" ht="15" hidden="false" customHeight="false" outlineLevel="0" collapsed="false">
      <c r="A12" s="0" t="s">
        <v>696</v>
      </c>
      <c r="B12" s="0" t="str">
        <f aca="false">Project_Register!$D$13</f>
        <v>CF</v>
      </c>
      <c r="C12" s="0" t="str">
        <f aca="false">Project_Register!$E$13</f>
        <v>Contracted</v>
      </c>
      <c r="D12" s="28" t="n">
        <f aca="false">SUMIFS(WIP!$E$284:$AB$284,Assumptions!$E$97:$AB$97,"A")</f>
        <v>0</v>
      </c>
      <c r="E12" s="28" t="n">
        <f aca="false">SUMIFS(WIP!$E$287:$AB$287,Assumptions!$E$97:$AB$97,"A")</f>
        <v>0</v>
      </c>
      <c r="F12" s="78" t="n">
        <f aca="false">IF(D12=0,0,E12/D12)</f>
        <v>0</v>
      </c>
      <c r="G12" s="28" t="n">
        <f aca="false">WIP!$C$284</f>
        <v>320000</v>
      </c>
      <c r="H12" s="28" t="n">
        <f aca="false">I12-G12</f>
        <v>-274500</v>
      </c>
      <c r="I12" s="28" t="n">
        <f aca="false">WIP!$C$287</f>
        <v>45500</v>
      </c>
      <c r="J12" s="78" t="n">
        <f aca="false">IF(G12=0,0,I12/G12)</f>
        <v>0.1421875</v>
      </c>
      <c r="K12" s="28" t="n">
        <f aca="false">WIP!$C$270</f>
        <v>43920</v>
      </c>
      <c r="L12" s="28" t="n">
        <f aca="false">IF($K$23=0,0,K12/$K$23)*PL!$C$33</f>
        <v>2.43914634428656</v>
      </c>
      <c r="M12" s="28" t="n">
        <f aca="false">IF($K$23=0,0,K12/$K$23)*PL!$C$34</f>
        <v>-4734.54373952292</v>
      </c>
      <c r="N12" s="28" t="n">
        <f aca="false">IF($G$23=0,0,G12/$G$23)*PL!$C$51</f>
        <v>-37791.3586344097</v>
      </c>
      <c r="O12" s="28" t="n">
        <f aca="false">I12+L12+M12+N12</f>
        <v>2976.53677241165</v>
      </c>
      <c r="P12" s="78" t="n">
        <f aca="false">IF(G12=0,0,O12/G12)</f>
        <v>0.00930167741378641</v>
      </c>
      <c r="Q12" s="78" t="n">
        <f aca="false">Project_Register!$P$13</f>
        <v>0.1421875</v>
      </c>
      <c r="R12" s="78" t="n">
        <f aca="false">IF(WIP!$D$282=0,0,(WIP!$D$282-Project_Register!$AT$13)/WIP!$D$282)</f>
        <v>0.1421875</v>
      </c>
      <c r="S12" s="78" t="n">
        <f aca="false">IF(ISNUMBER(Q12),R12-Q12,"n/a")</f>
        <v>0</v>
      </c>
      <c r="T12" s="28" t="n">
        <f aca="false">SUMIFS(Variations!$E$6:$E$21,Variations!$B$6:$B$21,"CF-2604",Variations!$F$6:$F$21,"Pending")</f>
        <v>0</v>
      </c>
      <c r="U12" s="28" t="n">
        <f aca="false">INDEX(WIP!$E$298:$AB$298,Assumptions!$C$10)</f>
        <v>0</v>
      </c>
      <c r="V12" s="28" t="n">
        <f aca="false">INDEX(WIP!$E$297:$AB$297,Assumptions!$C$10)</f>
        <v>0</v>
      </c>
      <c r="W12" s="28" t="n">
        <f aca="false">INDEX(WIP!$E$291:$AB$291,Assumptions!$C$10)</f>
        <v>0</v>
      </c>
      <c r="X12" s="28" t="n">
        <f aca="false">(INDEX(WIP!$E$289:$AB$289,Assumptions!$C$10)-INDEX(WIP!$E$291:$AB$291,Assumptions!$C$10)-INDEX(WIP!$E$297:$AB$297,Assumptions!$C$10)/(1+Project_Register!$W$13))-Project_Register!$AQ$13</f>
        <v>0</v>
      </c>
    </row>
    <row r="13" customFormat="false" ht="15" hidden="false" customHeight="false" outlineLevel="0" collapsed="false">
      <c r="A13" s="0" t="s">
        <v>697</v>
      </c>
      <c r="B13" s="0" t="str">
        <f aca="false">Project_Register!$D$14</f>
        <v>PS</v>
      </c>
      <c r="C13" s="0" t="str">
        <f aca="false">Project_Register!$E$14</f>
        <v>Contracted</v>
      </c>
      <c r="D13" s="28" t="n">
        <f aca="false">SUMIFS(WIP!$E$326:$AB$326,Assumptions!$E$97:$AB$97,"A")</f>
        <v>0</v>
      </c>
      <c r="E13" s="28" t="n">
        <f aca="false">SUMIFS(WIP!$E$329:$AB$329,Assumptions!$E$97:$AB$97,"A")</f>
        <v>0</v>
      </c>
      <c r="F13" s="78" t="n">
        <f aca="false">IF(D13=0,0,E13/D13)</f>
        <v>0</v>
      </c>
      <c r="G13" s="28" t="n">
        <f aca="false">WIP!$C$326</f>
        <v>0</v>
      </c>
      <c r="H13" s="28" t="n">
        <f aca="false">I13-G13</f>
        <v>0</v>
      </c>
      <c r="I13" s="28" t="n">
        <f aca="false">WIP!$C$329</f>
        <v>0</v>
      </c>
      <c r="J13" s="78" t="n">
        <f aca="false">IF(G13=0,0,I13/G13)</f>
        <v>0</v>
      </c>
      <c r="K13" s="28" t="n">
        <f aca="false">WIP!$C$312</f>
        <v>0</v>
      </c>
      <c r="L13" s="28" t="n">
        <f aca="false">IF($K$23=0,0,K13/$K$23)*PL!$C$33</f>
        <v>0</v>
      </c>
      <c r="M13" s="28" t="n">
        <f aca="false">IF($K$23=0,0,K13/$K$23)*PL!$C$34</f>
        <v>-0</v>
      </c>
      <c r="N13" s="28" t="n">
        <f aca="false">IF($G$23=0,0,G13/$G$23)*PL!$C$51</f>
        <v>-0</v>
      </c>
      <c r="O13" s="28" t="n">
        <f aca="false">I13+L13+M13+N13</f>
        <v>0</v>
      </c>
      <c r="P13" s="78" t="n">
        <f aca="false">IF(G13=0,0,O13/G13)</f>
        <v>0</v>
      </c>
      <c r="Q13" s="78" t="n">
        <f aca="false">Project_Register!$P$14</f>
        <v>0.120454545454545</v>
      </c>
      <c r="R13" s="78" t="n">
        <f aca="false">IF(WIP!$D$324=0,0,(WIP!$D$324-Project_Register!$AT$14)/WIP!$D$324)</f>
        <v>0.120454545454545</v>
      </c>
      <c r="S13" s="78" t="n">
        <f aca="false">IF(ISNUMBER(Q13),R13-Q13,"n/a")</f>
        <v>0</v>
      </c>
      <c r="T13" s="28" t="n">
        <f aca="false">SUMIFS(Variations!$E$6:$E$21,Variations!$B$6:$B$21,"PS-2602",Variations!$F$6:$F$21,"Pending")</f>
        <v>0</v>
      </c>
      <c r="U13" s="28" t="n">
        <f aca="false">INDEX(WIP!$E$340:$AB$340,Assumptions!$C$10)</f>
        <v>0</v>
      </c>
      <c r="V13" s="28" t="n">
        <f aca="false">INDEX(WIP!$E$339:$AB$339,Assumptions!$C$10)</f>
        <v>0</v>
      </c>
      <c r="W13" s="28" t="n">
        <f aca="false">INDEX(WIP!$E$333:$AB$333,Assumptions!$C$10)</f>
        <v>0</v>
      </c>
      <c r="X13" s="28" t="n">
        <f aca="false">(INDEX(WIP!$E$331:$AB$331,Assumptions!$C$10)-INDEX(WIP!$E$333:$AB$333,Assumptions!$C$10)-INDEX(WIP!$E$339:$AB$339,Assumptions!$C$10)/(1+Project_Register!$W$14))-Project_Register!$AQ$14</f>
        <v>0</v>
      </c>
    </row>
    <row r="14" customFormat="false" ht="15" hidden="false" customHeight="false" outlineLevel="0" collapsed="false">
      <c r="A14" s="0" t="s">
        <v>698</v>
      </c>
      <c r="B14" s="0" t="str">
        <f aca="false">Project_Register!$D$15</f>
        <v>CF</v>
      </c>
      <c r="C14" s="0" t="str">
        <f aca="false">Project_Register!$E$15</f>
        <v>Pipeline</v>
      </c>
      <c r="D14" s="28" t="n">
        <f aca="false">SUMIFS(WIP!$E$368:$AB$368,Assumptions!$E$97:$AB$97,"A")</f>
        <v>0</v>
      </c>
      <c r="E14" s="28" t="n">
        <f aca="false">SUMIFS(WIP!$E$371:$AB$371,Assumptions!$E$97:$AB$97,"A")</f>
        <v>0</v>
      </c>
      <c r="F14" s="78" t="n">
        <f aca="false">IF(D14=0,0,E14/D14)</f>
        <v>0</v>
      </c>
      <c r="G14" s="28" t="n">
        <f aca="false">WIP!$C$368</f>
        <v>0</v>
      </c>
      <c r="H14" s="28" t="n">
        <f aca="false">I14-G14</f>
        <v>0</v>
      </c>
      <c r="I14" s="28" t="n">
        <f aca="false">WIP!$C$371</f>
        <v>0</v>
      </c>
      <c r="J14" s="78" t="n">
        <f aca="false">IF(G14=0,0,I14/G14)</f>
        <v>0</v>
      </c>
      <c r="K14" s="28" t="n">
        <f aca="false">WIP!$C$354</f>
        <v>0</v>
      </c>
      <c r="L14" s="28" t="n">
        <f aca="false">IF($K$23=0,0,K14/$K$23)*PL!$C$33</f>
        <v>0</v>
      </c>
      <c r="M14" s="28" t="n">
        <f aca="false">IF($K$23=0,0,K14/$K$23)*PL!$C$34</f>
        <v>-0</v>
      </c>
      <c r="N14" s="28" t="n">
        <f aca="false">IF($G$23=0,0,G14/$G$23)*PL!$C$51</f>
        <v>-0</v>
      </c>
      <c r="O14" s="28" t="n">
        <f aca="false">I14+L14+M14+N14</f>
        <v>0</v>
      </c>
      <c r="P14" s="78" t="n">
        <f aca="false">IF(G14=0,0,O14/G14)</f>
        <v>0</v>
      </c>
      <c r="Q14" s="78" t="n">
        <f aca="false">Project_Register!$P$15</f>
        <v>0.135135135135135</v>
      </c>
      <c r="R14" s="78" t="n">
        <f aca="false">IF(WIP!$D$366=0,0,(WIP!$D$366-Project_Register!$AT$15)/WIP!$D$366)</f>
        <v>0.135135135135135</v>
      </c>
      <c r="S14" s="78" t="n">
        <f aca="false">IF(ISNUMBER(Q14),R14-Q14,"n/a")</f>
        <v>0</v>
      </c>
      <c r="T14" s="28" t="n">
        <f aca="false">SUMIFS(Variations!$E$6:$E$21,Variations!$B$6:$B$21,"CF-P01",Variations!$F$6:$F$21,"Pending")</f>
        <v>0</v>
      </c>
      <c r="U14" s="28" t="n">
        <f aca="false">INDEX(WIP!$E$382:$AB$382,Assumptions!$C$10)</f>
        <v>0</v>
      </c>
      <c r="V14" s="28" t="n">
        <f aca="false">INDEX(WIP!$E$381:$AB$381,Assumptions!$C$10)</f>
        <v>0</v>
      </c>
      <c r="W14" s="28" t="n">
        <f aca="false">INDEX(WIP!$E$375:$AB$375,Assumptions!$C$10)</f>
        <v>0</v>
      </c>
      <c r="X14" s="28" t="n">
        <f aca="false">(INDEX(WIP!$E$373:$AB$373,Assumptions!$C$10)-INDEX(WIP!$E$375:$AB$375,Assumptions!$C$10)-INDEX(WIP!$E$381:$AB$381,Assumptions!$C$10)/(1+Project_Register!$W$15))-Project_Register!$AQ$15</f>
        <v>0</v>
      </c>
    </row>
    <row r="15" customFormat="false" ht="15" hidden="false" customHeight="false" outlineLevel="0" collapsed="false">
      <c r="A15" s="0" t="s">
        <v>699</v>
      </c>
      <c r="B15" s="0" t="str">
        <f aca="false">Project_Register!$D$16</f>
        <v>CF</v>
      </c>
      <c r="C15" s="0" t="str">
        <f aca="false">Project_Register!$E$16</f>
        <v>Pipeline</v>
      </c>
      <c r="D15" s="28" t="n">
        <f aca="false">SUMIFS(WIP!$E$410:$AB$410,Assumptions!$E$97:$AB$97,"A")</f>
        <v>0</v>
      </c>
      <c r="E15" s="28" t="n">
        <f aca="false">SUMIFS(WIP!$E$413:$AB$413,Assumptions!$E$97:$AB$97,"A")</f>
        <v>0</v>
      </c>
      <c r="F15" s="78" t="n">
        <f aca="false">IF(D15=0,0,E15/D15)</f>
        <v>0</v>
      </c>
      <c r="G15" s="28" t="n">
        <f aca="false">WIP!$C$410</f>
        <v>60937.5</v>
      </c>
      <c r="H15" s="28" t="n">
        <f aca="false">I15-G15</f>
        <v>-52382.8125</v>
      </c>
      <c r="I15" s="28" t="n">
        <f aca="false">WIP!$C$413</f>
        <v>8554.6875</v>
      </c>
      <c r="J15" s="78" t="n">
        <f aca="false">IF(G15=0,0,I15/G15)</f>
        <v>0.140384615384615</v>
      </c>
      <c r="K15" s="28" t="n">
        <f aca="false">WIP!$C$396</f>
        <v>8381.25</v>
      </c>
      <c r="L15" s="28" t="n">
        <f aca="false">IF($K$23=0,0,K15/$K$23)*PL!$C$33</f>
        <v>0.465462096950175</v>
      </c>
      <c r="M15" s="28" t="n">
        <f aca="false">IF($K$23=0,0,K15/$K$23)*PL!$C$34</f>
        <v>-903.492593735802</v>
      </c>
      <c r="N15" s="28" t="n">
        <f aca="false">IF($G$23=0,0,G15/$G$23)*PL!$C$51</f>
        <v>-7196.59661495107</v>
      </c>
      <c r="O15" s="28" t="n">
        <f aca="false">I15+L15+M15+N15</f>
        <v>455.063753410077</v>
      </c>
      <c r="P15" s="78" t="n">
        <f aca="false">IF(G15=0,0,O15/G15)</f>
        <v>0.00746771287647306</v>
      </c>
      <c r="Q15" s="78" t="n">
        <f aca="false">Project_Register!$P$16</f>
        <v>0.140384615384615</v>
      </c>
      <c r="R15" s="78" t="n">
        <f aca="false">IF(WIP!$D$408=0,0,(WIP!$D$408-Project_Register!$AT$16)/WIP!$D$408)</f>
        <v>0.140384615384615</v>
      </c>
      <c r="S15" s="78" t="n">
        <f aca="false">IF(ISNUMBER(Q15),R15-Q15,"n/a")</f>
        <v>0</v>
      </c>
      <c r="T15" s="28" t="n">
        <f aca="false">SUMIFS(Variations!$E$6:$E$21,Variations!$B$6:$B$21,"CF-P02",Variations!$F$6:$F$21,"Pending")</f>
        <v>0</v>
      </c>
      <c r="U15" s="28" t="n">
        <f aca="false">INDEX(WIP!$E$424:$AB$424,Assumptions!$C$10)</f>
        <v>0</v>
      </c>
      <c r="V15" s="28" t="n">
        <f aca="false">INDEX(WIP!$E$423:$AB$423,Assumptions!$C$10)</f>
        <v>0</v>
      </c>
      <c r="W15" s="28" t="n">
        <f aca="false">INDEX(WIP!$E$417:$AB$417,Assumptions!$C$10)</f>
        <v>0</v>
      </c>
      <c r="X15" s="28" t="n">
        <f aca="false">(INDEX(WIP!$E$415:$AB$415,Assumptions!$C$10)-INDEX(WIP!$E$417:$AB$417,Assumptions!$C$10)-INDEX(WIP!$E$423:$AB$423,Assumptions!$C$10)/(1+Project_Register!$W$16))-Project_Register!$AQ$16</f>
        <v>0</v>
      </c>
    </row>
    <row r="16" customFormat="false" ht="15" hidden="false" customHeight="false" outlineLevel="0" collapsed="false">
      <c r="A16" s="0" t="s">
        <v>700</v>
      </c>
      <c r="B16" s="0" t="str">
        <f aca="false">Project_Register!$D$17</f>
        <v>CF</v>
      </c>
      <c r="C16" s="0" t="str">
        <f aca="false">Project_Register!$E$17</f>
        <v>Pipeline</v>
      </c>
      <c r="D16" s="28" t="n">
        <f aca="false">SUMIFS(WIP!$E$452:$AB$452,Assumptions!$E$97:$AB$97,"A")</f>
        <v>0</v>
      </c>
      <c r="E16" s="28" t="n">
        <f aca="false">SUMIFS(WIP!$E$455:$AB$455,Assumptions!$E$97:$AB$97,"A")</f>
        <v>0</v>
      </c>
      <c r="F16" s="78" t="n">
        <f aca="false">IF(D16=0,0,E16/D16)</f>
        <v>0</v>
      </c>
      <c r="G16" s="28" t="n">
        <f aca="false">WIP!$C$452</f>
        <v>0</v>
      </c>
      <c r="H16" s="28" t="n">
        <f aca="false">I16-G16</f>
        <v>0</v>
      </c>
      <c r="I16" s="28" t="n">
        <f aca="false">WIP!$C$455</f>
        <v>0</v>
      </c>
      <c r="J16" s="78" t="n">
        <f aca="false">IF(G16=0,0,I16/G16)</f>
        <v>0</v>
      </c>
      <c r="K16" s="28" t="n">
        <f aca="false">WIP!$C$438</f>
        <v>0</v>
      </c>
      <c r="L16" s="28" t="n">
        <f aca="false">IF($K$23=0,0,K16/$K$23)*PL!$C$33</f>
        <v>0</v>
      </c>
      <c r="M16" s="28" t="n">
        <f aca="false">IF($K$23=0,0,K16/$K$23)*PL!$C$34</f>
        <v>-0</v>
      </c>
      <c r="N16" s="28" t="n">
        <f aca="false">IF($G$23=0,0,G16/$G$23)*PL!$C$51</f>
        <v>-0</v>
      </c>
      <c r="O16" s="28" t="n">
        <f aca="false">I16+L16+M16+N16</f>
        <v>0</v>
      </c>
      <c r="P16" s="78" t="n">
        <f aca="false">IF(G16=0,0,O16/G16)</f>
        <v>0</v>
      </c>
      <c r="Q16" s="78" t="n">
        <f aca="false">Project_Register!$P$17</f>
        <v>0.135897435897436</v>
      </c>
      <c r="R16" s="78" t="n">
        <f aca="false">IF(WIP!$D$450=0,0,(WIP!$D$450-Project_Register!$AT$17)/WIP!$D$450)</f>
        <v>0.135897435897436</v>
      </c>
      <c r="S16" s="78" t="n">
        <f aca="false">IF(ISNUMBER(Q16),R16-Q16,"n/a")</f>
        <v>0</v>
      </c>
      <c r="T16" s="28" t="n">
        <f aca="false">SUMIFS(Variations!$E$6:$E$21,Variations!$B$6:$B$21,"CF-P03",Variations!$F$6:$F$21,"Pending")</f>
        <v>0</v>
      </c>
      <c r="U16" s="28" t="n">
        <f aca="false">INDEX(WIP!$E$466:$AB$466,Assumptions!$C$10)</f>
        <v>0</v>
      </c>
      <c r="V16" s="28" t="n">
        <f aca="false">INDEX(WIP!$E$465:$AB$465,Assumptions!$C$10)</f>
        <v>0</v>
      </c>
      <c r="W16" s="28" t="n">
        <f aca="false">INDEX(WIP!$E$459:$AB$459,Assumptions!$C$10)</f>
        <v>0</v>
      </c>
      <c r="X16" s="28" t="n">
        <f aca="false">(INDEX(WIP!$E$457:$AB$457,Assumptions!$C$10)-INDEX(WIP!$E$459:$AB$459,Assumptions!$C$10)-INDEX(WIP!$E$465:$AB$465,Assumptions!$C$10)/(1+Project_Register!$W$17))-Project_Register!$AQ$17</f>
        <v>0</v>
      </c>
    </row>
    <row r="17" customFormat="false" ht="15" hidden="false" customHeight="false" outlineLevel="0" collapsed="false">
      <c r="A17" s="0" t="s">
        <v>701</v>
      </c>
      <c r="B17" s="0" t="str">
        <f aca="false">Project_Register!$D$18</f>
        <v>PS</v>
      </c>
      <c r="C17" s="0" t="str">
        <f aca="false">Project_Register!$E$18</f>
        <v>Pipeline</v>
      </c>
      <c r="D17" s="28" t="n">
        <f aca="false">SUMIFS(WIP!$E$494:$AB$494,Assumptions!$E$97:$AB$97,"A")</f>
        <v>0</v>
      </c>
      <c r="E17" s="28" t="n">
        <f aca="false">SUMIFS(WIP!$E$497:$AB$497,Assumptions!$E$97:$AB$97,"A")</f>
        <v>0</v>
      </c>
      <c r="F17" s="78" t="n">
        <f aca="false">IF(D17=0,0,E17/D17)</f>
        <v>0</v>
      </c>
      <c r="G17" s="28" t="n">
        <f aca="false">WIP!$C$494</f>
        <v>0</v>
      </c>
      <c r="H17" s="28" t="n">
        <f aca="false">I17-G17</f>
        <v>0</v>
      </c>
      <c r="I17" s="28" t="n">
        <f aca="false">WIP!$C$497</f>
        <v>0</v>
      </c>
      <c r="J17" s="78" t="n">
        <f aca="false">IF(G17=0,0,I17/G17)</f>
        <v>0</v>
      </c>
      <c r="K17" s="28" t="n">
        <f aca="false">WIP!$C$480</f>
        <v>0</v>
      </c>
      <c r="L17" s="28" t="n">
        <f aca="false">IF($K$23=0,0,K17/$K$23)*PL!$C$33</f>
        <v>0</v>
      </c>
      <c r="M17" s="28" t="n">
        <f aca="false">IF($K$23=0,0,K17/$K$23)*PL!$C$34</f>
        <v>-0</v>
      </c>
      <c r="N17" s="28" t="n">
        <f aca="false">IF($G$23=0,0,G17/$G$23)*PL!$C$51</f>
        <v>-0</v>
      </c>
      <c r="O17" s="28" t="n">
        <f aca="false">I17+L17+M17+N17</f>
        <v>0</v>
      </c>
      <c r="P17" s="78" t="n">
        <f aca="false">IF(G17=0,0,O17/G17)</f>
        <v>0</v>
      </c>
      <c r="Q17" s="78" t="n">
        <f aca="false">Project_Register!$P$18</f>
        <v>0.119718309859155</v>
      </c>
      <c r="R17" s="78" t="n">
        <f aca="false">IF(WIP!$D$492=0,0,(WIP!$D$492-Project_Register!$AT$18)/WIP!$D$492)</f>
        <v>0.119718309859155</v>
      </c>
      <c r="S17" s="78" t="n">
        <f aca="false">IF(ISNUMBER(Q17),R17-Q17,"n/a")</f>
        <v>0</v>
      </c>
      <c r="T17" s="28" t="n">
        <f aca="false">SUMIFS(Variations!$E$6:$E$21,Variations!$B$6:$B$21,"PS-P01",Variations!$F$6:$F$21,"Pending")</f>
        <v>0</v>
      </c>
      <c r="U17" s="28" t="n">
        <f aca="false">INDEX(WIP!$E$508:$AB$508,Assumptions!$C$10)</f>
        <v>0</v>
      </c>
      <c r="V17" s="28" t="n">
        <f aca="false">INDEX(WIP!$E$507:$AB$507,Assumptions!$C$10)</f>
        <v>0</v>
      </c>
      <c r="W17" s="28" t="n">
        <f aca="false">INDEX(WIP!$E$501:$AB$501,Assumptions!$C$10)</f>
        <v>0</v>
      </c>
      <c r="X17" s="28" t="n">
        <f aca="false">(INDEX(WIP!$E$499:$AB$499,Assumptions!$C$10)-INDEX(WIP!$E$501:$AB$501,Assumptions!$C$10)-INDEX(WIP!$E$507:$AB$507,Assumptions!$C$10)/(1+Project_Register!$W$18))-Project_Register!$AQ$18</f>
        <v>0</v>
      </c>
    </row>
    <row r="18" customFormat="false" ht="15" hidden="false" customHeight="false" outlineLevel="0" collapsed="false">
      <c r="A18" s="0" t="s">
        <v>702</v>
      </c>
      <c r="B18" s="0" t="str">
        <f aca="false">Project_Register!$D$19</f>
        <v>CF</v>
      </c>
      <c r="C18" s="0" t="str">
        <f aca="false">Project_Register!$E$19</f>
        <v>Pipeline</v>
      </c>
      <c r="D18" s="28" t="n">
        <f aca="false">SUMIFS(WIP!$E$536:$AB$536,Assumptions!$E$97:$AB$97,"A")</f>
        <v>0</v>
      </c>
      <c r="E18" s="28" t="n">
        <f aca="false">SUMIFS(WIP!$E$539:$AB$539,Assumptions!$E$97:$AB$97,"A")</f>
        <v>0</v>
      </c>
      <c r="F18" s="78" t="n">
        <f aca="false">IF(D18=0,0,E18/D18)</f>
        <v>0</v>
      </c>
      <c r="G18" s="28" t="n">
        <f aca="false">WIP!$C$536</f>
        <v>0</v>
      </c>
      <c r="H18" s="28" t="n">
        <f aca="false">I18-G18</f>
        <v>0</v>
      </c>
      <c r="I18" s="28" t="n">
        <f aca="false">WIP!$C$539</f>
        <v>0</v>
      </c>
      <c r="J18" s="78" t="n">
        <f aca="false">IF(G18=0,0,I18/G18)</f>
        <v>0</v>
      </c>
      <c r="K18" s="28" t="n">
        <f aca="false">WIP!$C$522</f>
        <v>0</v>
      </c>
      <c r="L18" s="28" t="n">
        <f aca="false">IF($K$23=0,0,K18/$K$23)*PL!$C$33</f>
        <v>0</v>
      </c>
      <c r="M18" s="28" t="n">
        <f aca="false">IF($K$23=0,0,K18/$K$23)*PL!$C$34</f>
        <v>-0</v>
      </c>
      <c r="N18" s="28" t="n">
        <f aca="false">IF($G$23=0,0,G18/$G$23)*PL!$C$51</f>
        <v>-0</v>
      </c>
      <c r="O18" s="28" t="n">
        <f aca="false">I18+L18+M18+N18</f>
        <v>0</v>
      </c>
      <c r="P18" s="78" t="n">
        <f aca="false">IF(G18=0,0,O18/G18)</f>
        <v>0</v>
      </c>
      <c r="Q18" s="78" t="n">
        <f aca="false">Project_Register!$P$19</f>
        <v>0.136111111111111</v>
      </c>
      <c r="R18" s="78" t="n">
        <f aca="false">IF(WIP!$D$534=0,0,(WIP!$D$534-Project_Register!$AT$19)/WIP!$D$534)</f>
        <v>0.136111111111111</v>
      </c>
      <c r="S18" s="78" t="n">
        <f aca="false">IF(ISNUMBER(Q18),R18-Q18,"n/a")</f>
        <v>0</v>
      </c>
      <c r="T18" s="28" t="n">
        <f aca="false">SUMIFS(Variations!$E$6:$E$21,Variations!$B$6:$B$21,"CF-P04",Variations!$F$6:$F$21,"Pending")</f>
        <v>0</v>
      </c>
      <c r="U18" s="28" t="n">
        <f aca="false">INDEX(WIP!$E$550:$AB$550,Assumptions!$C$10)</f>
        <v>0</v>
      </c>
      <c r="V18" s="28" t="n">
        <f aca="false">INDEX(WIP!$E$549:$AB$549,Assumptions!$C$10)</f>
        <v>0</v>
      </c>
      <c r="W18" s="28" t="n">
        <f aca="false">INDEX(WIP!$E$543:$AB$543,Assumptions!$C$10)</f>
        <v>0</v>
      </c>
      <c r="X18" s="28" t="n">
        <f aca="false">(INDEX(WIP!$E$541:$AB$541,Assumptions!$C$10)-INDEX(WIP!$E$543:$AB$543,Assumptions!$C$10)-INDEX(WIP!$E$549:$AB$549,Assumptions!$C$10)/(1+Project_Register!$W$19))-Project_Register!$AQ$19</f>
        <v>0</v>
      </c>
    </row>
    <row r="19" customFormat="false" ht="15" hidden="false" customHeight="false" outlineLevel="0" collapsed="false">
      <c r="A19" s="0" t="s">
        <v>703</v>
      </c>
      <c r="B19" s="0" t="str">
        <f aca="false">Project_Register!$D$20</f>
        <v>CF</v>
      </c>
      <c r="C19" s="0" t="str">
        <f aca="false">Project_Register!$E$20</f>
        <v>Pipeline</v>
      </c>
      <c r="D19" s="28" t="n">
        <f aca="false">SUMIFS(WIP!$E$578:$AB$578,Assumptions!$E$97:$AB$97,"A")</f>
        <v>0</v>
      </c>
      <c r="E19" s="28" t="n">
        <f aca="false">SUMIFS(WIP!$E$581:$AB$581,Assumptions!$E$97:$AB$97,"A")</f>
        <v>0</v>
      </c>
      <c r="F19" s="78" t="n">
        <f aca="false">IF(D19=0,0,E19/D19)</f>
        <v>0</v>
      </c>
      <c r="G19" s="28" t="n">
        <f aca="false">WIP!$C$578</f>
        <v>0</v>
      </c>
      <c r="H19" s="28" t="n">
        <f aca="false">I19-G19</f>
        <v>0</v>
      </c>
      <c r="I19" s="28" t="n">
        <f aca="false">WIP!$C$581</f>
        <v>0</v>
      </c>
      <c r="J19" s="78" t="n">
        <f aca="false">IF(G19=0,0,I19/G19)</f>
        <v>0</v>
      </c>
      <c r="K19" s="28" t="n">
        <f aca="false">WIP!$C$564</f>
        <v>0</v>
      </c>
      <c r="L19" s="28" t="n">
        <f aca="false">IF($K$23=0,0,K19/$K$23)*PL!$C$33</f>
        <v>0</v>
      </c>
      <c r="M19" s="28" t="n">
        <f aca="false">IF($K$23=0,0,K19/$K$23)*PL!$C$34</f>
        <v>-0</v>
      </c>
      <c r="N19" s="28" t="n">
        <f aca="false">IF($G$23=0,0,G19/$G$23)*PL!$C$51</f>
        <v>-0</v>
      </c>
      <c r="O19" s="28" t="n">
        <f aca="false">I19+L19+M19+N19</f>
        <v>0</v>
      </c>
      <c r="P19" s="78" t="n">
        <f aca="false">IF(G19=0,0,O19/G19)</f>
        <v>0</v>
      </c>
      <c r="Q19" s="78" t="n">
        <f aca="false">Project_Register!$P$20</f>
        <v>0.135416666666667</v>
      </c>
      <c r="R19" s="78" t="n">
        <f aca="false">IF(WIP!$D$576=0,0,(WIP!$D$576-Project_Register!$AT$20)/WIP!$D$576)</f>
        <v>0.135416666666667</v>
      </c>
      <c r="S19" s="78" t="n">
        <f aca="false">IF(ISNUMBER(Q19),R19-Q19,"n/a")</f>
        <v>0</v>
      </c>
      <c r="T19" s="28" t="n">
        <f aca="false">SUMIFS(Variations!$E$6:$E$21,Variations!$B$6:$B$21,"CF-P05",Variations!$F$6:$F$21,"Pending")</f>
        <v>0</v>
      </c>
      <c r="U19" s="28" t="n">
        <f aca="false">INDEX(WIP!$E$592:$AB$592,Assumptions!$C$10)</f>
        <v>0</v>
      </c>
      <c r="V19" s="28" t="n">
        <f aca="false">INDEX(WIP!$E$591:$AB$591,Assumptions!$C$10)</f>
        <v>0</v>
      </c>
      <c r="W19" s="28" t="n">
        <f aca="false">INDEX(WIP!$E$585:$AB$585,Assumptions!$C$10)</f>
        <v>0</v>
      </c>
      <c r="X19" s="28" t="n">
        <f aca="false">(INDEX(WIP!$E$583:$AB$583,Assumptions!$C$10)-INDEX(WIP!$E$585:$AB$585,Assumptions!$C$10)-INDEX(WIP!$E$591:$AB$591,Assumptions!$C$10)/(1+Project_Register!$W$20))-Project_Register!$AQ$20</f>
        <v>0</v>
      </c>
    </row>
    <row r="20" customFormat="false" ht="15" hidden="false" customHeight="false" outlineLevel="0" collapsed="false">
      <c r="A20" s="0" t="s">
        <v>704</v>
      </c>
      <c r="B20" s="0" t="str">
        <f aca="false">Project_Register!$D$21</f>
        <v>CF</v>
      </c>
      <c r="C20" s="0" t="str">
        <f aca="false">Project_Register!$E$21</f>
        <v>Pipeline</v>
      </c>
      <c r="D20" s="28" t="n">
        <f aca="false">SUMIFS(WIP!$E$620:$AB$620,Assumptions!$E$97:$AB$97,"A")</f>
        <v>0</v>
      </c>
      <c r="E20" s="28" t="n">
        <f aca="false">SUMIFS(WIP!$E$623:$AB$623,Assumptions!$E$97:$AB$97,"A")</f>
        <v>0</v>
      </c>
      <c r="F20" s="78" t="n">
        <f aca="false">IF(D20=0,0,E20/D20)</f>
        <v>0</v>
      </c>
      <c r="G20" s="28" t="n">
        <f aca="false">WIP!$C$620</f>
        <v>0</v>
      </c>
      <c r="H20" s="28" t="n">
        <f aca="false">I20-G20</f>
        <v>0</v>
      </c>
      <c r="I20" s="28" t="n">
        <f aca="false">WIP!$C$623</f>
        <v>0</v>
      </c>
      <c r="J20" s="78" t="n">
        <f aca="false">IF(G20=0,0,I20/G20)</f>
        <v>0</v>
      </c>
      <c r="K20" s="28" t="n">
        <f aca="false">WIP!$C$606</f>
        <v>0</v>
      </c>
      <c r="L20" s="28" t="n">
        <f aca="false">IF($K$23=0,0,K20/$K$23)*PL!$C$33</f>
        <v>0</v>
      </c>
      <c r="M20" s="28" t="n">
        <f aca="false">IF($K$23=0,0,K20/$K$23)*PL!$C$34</f>
        <v>-0</v>
      </c>
      <c r="N20" s="28" t="n">
        <f aca="false">IF($G$23=0,0,G20/$G$23)*PL!$C$51</f>
        <v>-0</v>
      </c>
      <c r="O20" s="28" t="n">
        <f aca="false">I20+L20+M20+N20</f>
        <v>0</v>
      </c>
      <c r="P20" s="78" t="n">
        <f aca="false">IF(G20=0,0,O20/G20)</f>
        <v>0</v>
      </c>
      <c r="Q20" s="78" t="n">
        <f aca="false">Project_Register!$P$21</f>
        <v>0.134259259259259</v>
      </c>
      <c r="R20" s="78" t="n">
        <f aca="false">IF(WIP!$D$618=0,0,(WIP!$D$618-Project_Register!$AT$21)/WIP!$D$618)</f>
        <v>0.134259259259259</v>
      </c>
      <c r="S20" s="78" t="n">
        <f aca="false">IF(ISNUMBER(Q20),R20-Q20,"n/a")</f>
        <v>0</v>
      </c>
      <c r="T20" s="28" t="n">
        <f aca="false">SUMIFS(Variations!$E$6:$E$21,Variations!$B$6:$B$21,"CF-P06",Variations!$F$6:$F$21,"Pending")</f>
        <v>0</v>
      </c>
      <c r="U20" s="28" t="n">
        <f aca="false">INDEX(WIP!$E$634:$AB$634,Assumptions!$C$10)</f>
        <v>0</v>
      </c>
      <c r="V20" s="28" t="n">
        <f aca="false">INDEX(WIP!$E$633:$AB$633,Assumptions!$C$10)</f>
        <v>0</v>
      </c>
      <c r="W20" s="28" t="n">
        <f aca="false">INDEX(WIP!$E$627:$AB$627,Assumptions!$C$10)</f>
        <v>0</v>
      </c>
      <c r="X20" s="28" t="n">
        <f aca="false">(INDEX(WIP!$E$625:$AB$625,Assumptions!$C$10)-INDEX(WIP!$E$627:$AB$627,Assumptions!$C$10)-INDEX(WIP!$E$633:$AB$633,Assumptions!$C$10)/(1+Project_Register!$W$21))-Project_Register!$AQ$21</f>
        <v>0</v>
      </c>
    </row>
    <row r="21" customFormat="false" ht="15" hidden="false" customHeight="false" outlineLevel="0" collapsed="false">
      <c r="A21" s="0" t="s">
        <v>705</v>
      </c>
      <c r="B21" s="0" t="s">
        <v>706</v>
      </c>
      <c r="C21" s="0" t="s">
        <v>707</v>
      </c>
      <c r="D21" s="28" t="n">
        <f aca="false">SUMIFS(Residential!$E$16:$AB$16,Assumptions!$E$97:$AB$97,"A")</f>
        <v>1247322.85</v>
      </c>
      <c r="E21" s="28" t="n">
        <f aca="false">SUMIFS(Residential!$E$23:$AB$23,Assumptions!$E$97:$AB$97,"A")</f>
        <v>273319.13</v>
      </c>
      <c r="F21" s="78" t="n">
        <f aca="false">IF(D21=0,0,E21/D21)</f>
        <v>0.219124607554492</v>
      </c>
      <c r="G21" s="28" t="n">
        <f aca="false">Residential!$C$16</f>
        <v>2132818.98168121</v>
      </c>
      <c r="H21" s="28" t="n">
        <f aca="false">I21-G21</f>
        <v>-1651408.26073612</v>
      </c>
      <c r="I21" s="28" t="n">
        <f aca="false">Residential!$C$23</f>
        <v>481410.720945083</v>
      </c>
      <c r="J21" s="78" t="n">
        <f aca="false">IF(G21=0,0,I21/G21)</f>
        <v>0.225715696024802</v>
      </c>
      <c r="K21" s="28" t="n">
        <f aca="false">Residential!$C$17</f>
        <v>522239.093035559</v>
      </c>
      <c r="L21" s="28" t="n">
        <f aca="false">IF($K$23=0,0,K21/$K$23)*PL!$C$33</f>
        <v>29.0031323911933</v>
      </c>
      <c r="M21" s="28" t="n">
        <f aca="false">IF($K$23=0,0,K21/$K$23)*PL!$C$34</f>
        <v>-56296.9906299097</v>
      </c>
      <c r="N21" s="28" t="n">
        <f aca="false">IF($G$23=0,0,G21/$G$23)*PL!$C$51</f>
        <v>-251881.646996847</v>
      </c>
      <c r="O21" s="28" t="n">
        <f aca="false">I21+L21+M21+N21</f>
        <v>173261.086450718</v>
      </c>
      <c r="P21" s="78" t="n">
        <f aca="false">IF(G21=0,0,O21/G21)</f>
        <v>0.081235720395804</v>
      </c>
      <c r="Q21" s="78" t="s">
        <v>630</v>
      </c>
      <c r="R21" s="78" t="n">
        <f aca="false">Assumptions!$F$115</f>
        <v>0.235</v>
      </c>
      <c r="S21" s="78" t="str">
        <f aca="false">IF(ISNUMBER(Q21),R21-Q21,"n/a")</f>
        <v>n/a</v>
      </c>
      <c r="T21" s="28" t="n">
        <v>0</v>
      </c>
      <c r="U21" s="28" t="n">
        <f aca="false">INDEX(Residential!$E$31:$AB$31,Assumptions!$C$10)</f>
        <v>176176.543876652</v>
      </c>
      <c r="V21" s="28" t="n">
        <f aca="false">INDEX(Residential!$E$35:$AB$35,Assumptions!$C$10)+INDEX(Residential!$E$37:$AB$37,Assumptions!$C$10)</f>
        <v>173671.6</v>
      </c>
      <c r="W21" s="28" t="n">
        <v>0</v>
      </c>
      <c r="X21" s="28" t="s">
        <v>630</v>
      </c>
    </row>
    <row r="22" customFormat="false" ht="15" hidden="false" customHeight="false" outlineLevel="0" collapsed="false">
      <c r="A22" s="0" t="s">
        <v>708</v>
      </c>
      <c r="B22" s="0" t="s">
        <v>709</v>
      </c>
      <c r="C22" s="0" t="s">
        <v>707</v>
      </c>
      <c r="D22" s="28" t="n">
        <f aca="false">SUMIFS(Residential!$E$48:$AB$48,Assumptions!$E$97:$AB$97,"A")</f>
        <v>1276311.62</v>
      </c>
      <c r="E22" s="28" t="n">
        <f aca="false">SUMIFS(Residential!$E$55:$AB$55,Assumptions!$E$97:$AB$97,"A")</f>
        <v>323607.23</v>
      </c>
      <c r="F22" s="78" t="n">
        <f aca="false">IF(D22=0,0,E22/D22)</f>
        <v>0.253548761077643</v>
      </c>
      <c r="G22" s="28" t="n">
        <f aca="false">Residential!$C$48</f>
        <v>1982039.26991112</v>
      </c>
      <c r="H22" s="28" t="n">
        <f aca="false">I22-G22</f>
        <v>-1489057.40393245</v>
      </c>
      <c r="I22" s="28" t="n">
        <f aca="false">Residential!$C$55</f>
        <v>492981.865978669</v>
      </c>
      <c r="J22" s="78" t="n">
        <f aca="false">IF(G22=0,0,I22/G22)</f>
        <v>0.248724570427293</v>
      </c>
      <c r="K22" s="28" t="n">
        <f aca="false">Residential!$C$49</f>
        <v>400914.083761762</v>
      </c>
      <c r="L22" s="28" t="n">
        <f aca="false">IF($K$23=0,0,K22/$K$23)*PL!$C$33</f>
        <v>22.2652122445468</v>
      </c>
      <c r="M22" s="28" t="n">
        <f aca="false">IF($K$23=0,0,K22/$K$23)*PL!$C$34</f>
        <v>-43218.2437468309</v>
      </c>
      <c r="N22" s="28" t="n">
        <f aca="false">IF($G$23=0,0,G22/$G$23)*PL!$C$51</f>
        <v>-234074.865239671</v>
      </c>
      <c r="O22" s="28" t="n">
        <f aca="false">I22+L22+M22+N22</f>
        <v>215711.022204411</v>
      </c>
      <c r="P22" s="78" t="n">
        <f aca="false">IF(G22=0,0,O22/G22)</f>
        <v>0.108832870003673</v>
      </c>
      <c r="Q22" s="78" t="s">
        <v>630</v>
      </c>
      <c r="R22" s="78" t="n">
        <f aca="false">Assumptions!$F$116</f>
        <v>0.24</v>
      </c>
      <c r="S22" s="78" t="str">
        <f aca="false">IF(ISNUMBER(Q22),R22-Q22,"n/a")</f>
        <v>n/a</v>
      </c>
      <c r="T22" s="28" t="n">
        <v>0</v>
      </c>
      <c r="U22" s="28" t="n">
        <f aca="false">INDEX(Residential!$E$60:$AB$60,Assumptions!$C$10)</f>
        <v>-16024.0936123348</v>
      </c>
      <c r="V22" s="28" t="n">
        <f aca="false">INDEX(Residential!$E$64:$AB$64,Assumptions!$C$10)</f>
        <v>77089.86</v>
      </c>
      <c r="W22" s="28" t="n">
        <v>0</v>
      </c>
      <c r="X22" s="28" t="s">
        <v>630</v>
      </c>
    </row>
    <row r="23" customFormat="false" ht="15" hidden="false" customHeight="false" outlineLevel="0" collapsed="false">
      <c r="A23" s="79" t="s">
        <v>524</v>
      </c>
      <c r="D23" s="80" t="n">
        <f aca="false">SUM(D6:D22)</f>
        <v>5127404</v>
      </c>
      <c r="E23" s="80" t="n">
        <f aca="false">SUM(E6:E22)</f>
        <v>944578.63</v>
      </c>
      <c r="F23" s="35" t="n">
        <f aca="false">IF(D23=0,0,E23/D23)</f>
        <v>0.184221611950219</v>
      </c>
      <c r="G23" s="80" t="n">
        <f aca="false">SUM(G6:G22)</f>
        <v>9197434.24316899</v>
      </c>
      <c r="H23" s="80" t="n">
        <f aca="false">SUM(H6:H22)</f>
        <v>-7516791.08929203</v>
      </c>
      <c r="I23" s="80" t="n">
        <f aca="false">SUM(I6:I22)</f>
        <v>1680643.15387696</v>
      </c>
      <c r="J23" s="35" t="n">
        <f aca="false">IF(G23=0,0,I23/G23)</f>
        <v>0.182729564511449</v>
      </c>
      <c r="K23" s="80" t="n">
        <f aca="false">SUM(K6:K22)</f>
        <v>1579361.41081115</v>
      </c>
      <c r="L23" s="80" t="n">
        <f aca="false">SUM(L6:L22)</f>
        <v>87.7116031759397</v>
      </c>
      <c r="M23" s="80" t="n">
        <f aca="false">SUM(M6:M22)</f>
        <v>-170254</v>
      </c>
      <c r="N23" s="80" t="n">
        <f aca="false">SUM(N6:N22)</f>
        <v>-1086198.55</v>
      </c>
      <c r="O23" s="80" t="n">
        <f aca="false">SUM(O6:O22)</f>
        <v>424278.315480134</v>
      </c>
      <c r="P23" s="35" t="n">
        <f aca="false">IF(G23=0,0,O23/G23)</f>
        <v>0.0461300732642095</v>
      </c>
      <c r="T23" s="80" t="n">
        <f aca="false">SUM(T6:T22)</f>
        <v>168400</v>
      </c>
      <c r="U23" s="80" t="n">
        <f aca="false">SUM(U6:U22)</f>
        <v>705601.060264317</v>
      </c>
      <c r="V23" s="80" t="n">
        <f aca="false">SUM(V6:V22)</f>
        <v>747826.1630705</v>
      </c>
      <c r="W23" s="80" t="n">
        <f aca="false">SUM(W6:W22)</f>
        <v>106954.4872</v>
      </c>
    </row>
    <row r="24" customFormat="false" ht="15" hidden="false" customHeight="false" outlineLevel="0" collapsed="false">
      <c r="A24" s="13" t="s">
        <v>710</v>
      </c>
      <c r="O24" s="28" t="n">
        <f aca="false">PL!$C$53</f>
        <v>424278.315480134</v>
      </c>
    </row>
    <row r="25" customFormat="false" ht="15" hidden="false" customHeight="false" outlineLevel="0" collapsed="false">
      <c r="A25" s="5" t="s">
        <v>711</v>
      </c>
      <c r="O25" s="34" t="n">
        <f aca="false">ROUND(O23-O24,0)</f>
        <v>0</v>
      </c>
    </row>
    <row r="27" customFormat="false" ht="15" hidden="false" customHeight="false" outlineLevel="0" collapsed="false">
      <c r="A27" s="24" t="s">
        <v>712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720"/>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713</v>
      </c>
    </row>
    <row r="3" customFormat="false" ht="15" hidden="false" customHeight="false" outlineLevel="0" collapsed="false">
      <c r="A3" s="47" t="s">
        <v>714</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715</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716</v>
      </c>
      <c r="B9" s="56" t="s">
        <v>717</v>
      </c>
      <c r="E9" s="104" t="n">
        <f aca="false">MIN(1,MAX(0,(Assumptions!E$96-Project_Register!$AJ$7+1)/(Project_Register!$AK$7-Project_Register!$AJ$7+1)))</f>
        <v>0.75</v>
      </c>
      <c r="F9" s="104" t="n">
        <f aca="false">MIN(1,MAX(0,(Assumptions!F$96-Project_Register!$AJ$7+1)/(Project_Register!$AK$7-Project_Register!$AJ$7+1)))</f>
        <v>0.875</v>
      </c>
      <c r="G9" s="104" t="n">
        <f aca="false">MIN(1,MAX(0,(Assumptions!G$96-Project_Register!$AJ$7+1)/(Project_Register!$AK$7-Project_Register!$AJ$7+1)))</f>
        <v>1</v>
      </c>
      <c r="H9" s="104" t="n">
        <f aca="false">MIN(1,MAX(0,(Assumptions!H$96-Project_Register!$AJ$7+1)/(Project_Register!$AK$7-Project_Register!$AJ$7+1)))</f>
        <v>1</v>
      </c>
      <c r="I9" s="104" t="n">
        <f aca="false">MIN(1,MAX(0,(Assumptions!I$96-Project_Register!$AJ$7+1)/(Project_Register!$AK$7-Project_Register!$AJ$7+1)))</f>
        <v>1</v>
      </c>
      <c r="J9" s="104" t="n">
        <f aca="false">MIN(1,MAX(0,(Assumptions!J$96-Project_Register!$AJ$7+1)/(Project_Register!$AK$7-Project_Register!$AJ$7+1)))</f>
        <v>1</v>
      </c>
      <c r="K9" s="104" t="n">
        <f aca="false">MIN(1,MAX(0,(Assumptions!K$96-Project_Register!$AJ$7+1)/(Project_Register!$AK$7-Project_Register!$AJ$7+1)))</f>
        <v>1</v>
      </c>
      <c r="L9" s="104" t="n">
        <f aca="false">MIN(1,MAX(0,(Assumptions!L$96-Project_Register!$AJ$7+1)/(Project_Register!$AK$7-Project_Register!$AJ$7+1)))</f>
        <v>1</v>
      </c>
      <c r="M9" s="104" t="n">
        <f aca="false">MIN(1,MAX(0,(Assumptions!M$96-Project_Register!$AJ$7+1)/(Project_Register!$AK$7-Project_Register!$AJ$7+1)))</f>
        <v>1</v>
      </c>
      <c r="N9" s="104" t="n">
        <f aca="false">MIN(1,MAX(0,(Assumptions!N$96-Project_Register!$AJ$7+1)/(Project_Register!$AK$7-Project_Register!$AJ$7+1)))</f>
        <v>1</v>
      </c>
      <c r="O9" s="104" t="n">
        <f aca="false">MIN(1,MAX(0,(Assumptions!O$96-Project_Register!$AJ$7+1)/(Project_Register!$AK$7-Project_Register!$AJ$7+1)))</f>
        <v>1</v>
      </c>
      <c r="P9" s="104" t="n">
        <f aca="false">MIN(1,MAX(0,(Assumptions!P$96-Project_Register!$AJ$7+1)/(Project_Register!$AK$7-Project_Register!$AJ$7+1)))</f>
        <v>1</v>
      </c>
      <c r="Q9" s="104" t="n">
        <f aca="false">MIN(1,MAX(0,(Assumptions!Q$96-Project_Register!$AJ$7+1)/(Project_Register!$AK$7-Project_Register!$AJ$7+1)))</f>
        <v>1</v>
      </c>
      <c r="R9" s="104" t="n">
        <f aca="false">MIN(1,MAX(0,(Assumptions!R$96-Project_Register!$AJ$7+1)/(Project_Register!$AK$7-Project_Register!$AJ$7+1)))</f>
        <v>1</v>
      </c>
      <c r="S9" s="104" t="n">
        <f aca="false">MIN(1,MAX(0,(Assumptions!S$96-Project_Register!$AJ$7+1)/(Project_Register!$AK$7-Project_Register!$AJ$7+1)))</f>
        <v>1</v>
      </c>
      <c r="T9" s="104" t="n">
        <f aca="false">MIN(1,MAX(0,(Assumptions!T$96-Project_Register!$AJ$7+1)/(Project_Register!$AK$7-Project_Register!$AJ$7+1)))</f>
        <v>1</v>
      </c>
      <c r="U9" s="104" t="n">
        <f aca="false">MIN(1,MAX(0,(Assumptions!U$96-Project_Register!$AJ$7+1)/(Project_Register!$AK$7-Project_Register!$AJ$7+1)))</f>
        <v>1</v>
      </c>
      <c r="V9" s="104" t="n">
        <f aca="false">MIN(1,MAX(0,(Assumptions!V$96-Project_Register!$AJ$7+1)/(Project_Register!$AK$7-Project_Register!$AJ$7+1)))</f>
        <v>1</v>
      </c>
      <c r="W9" s="104" t="n">
        <f aca="false">MIN(1,MAX(0,(Assumptions!W$96-Project_Register!$AJ$7+1)/(Project_Register!$AK$7-Project_Register!$AJ$7+1)))</f>
        <v>1</v>
      </c>
      <c r="X9" s="104" t="n">
        <f aca="false">MIN(1,MAX(0,(Assumptions!X$96-Project_Register!$AJ$7+1)/(Project_Register!$AK$7-Project_Register!$AJ$7+1)))</f>
        <v>1</v>
      </c>
      <c r="Y9" s="104" t="n">
        <f aca="false">MIN(1,MAX(0,(Assumptions!Y$96-Project_Register!$AJ$7+1)/(Project_Register!$AK$7-Project_Register!$AJ$7+1)))</f>
        <v>1</v>
      </c>
      <c r="Z9" s="104" t="n">
        <f aca="false">MIN(1,MAX(0,(Assumptions!Z$96-Project_Register!$AJ$7+1)/(Project_Register!$AK$7-Project_Register!$AJ$7+1)))</f>
        <v>1</v>
      </c>
      <c r="AA9" s="104" t="n">
        <f aca="false">MIN(1,MAX(0,(Assumptions!AA$96-Project_Register!$AJ$7+1)/(Project_Register!$AK$7-Project_Register!$AJ$7+1)))</f>
        <v>1</v>
      </c>
      <c r="AB9" s="104" t="n">
        <f aca="false">MIN(1,MAX(0,(Assumptions!AB$96-Project_Register!$AJ$7+1)/(Project_Register!$AK$7-Project_Register!$AJ$7+1)))</f>
        <v>1</v>
      </c>
    </row>
    <row r="10" customFormat="false" ht="15" hidden="false" customHeight="false" outlineLevel="0" collapsed="false">
      <c r="A10" s="27" t="s">
        <v>718</v>
      </c>
      <c r="B10" s="56" t="s">
        <v>719</v>
      </c>
      <c r="E10" s="105" t="n">
        <f aca="false">3*E9^2-2*E9^3</f>
        <v>0.84375</v>
      </c>
      <c r="F10" s="105" t="n">
        <f aca="false">3*F9^2-2*F9^3</f>
        <v>0.95703125</v>
      </c>
      <c r="G10" s="105" t="n">
        <f aca="false">3*G9^2-2*G9^3</f>
        <v>1</v>
      </c>
      <c r="H10" s="105" t="n">
        <f aca="false">3*H9^2-2*H9^3</f>
        <v>1</v>
      </c>
      <c r="I10" s="105" t="n">
        <f aca="false">3*I9^2-2*I9^3</f>
        <v>1</v>
      </c>
      <c r="J10" s="105" t="n">
        <f aca="false">3*J9^2-2*J9^3</f>
        <v>1</v>
      </c>
      <c r="K10" s="105" t="n">
        <f aca="false">3*K9^2-2*K9^3</f>
        <v>1</v>
      </c>
      <c r="L10" s="105" t="n">
        <f aca="false">3*L9^2-2*L9^3</f>
        <v>1</v>
      </c>
      <c r="M10" s="105" t="n">
        <f aca="false">3*M9^2-2*M9^3</f>
        <v>1</v>
      </c>
      <c r="N10" s="105" t="n">
        <f aca="false">3*N9^2-2*N9^3</f>
        <v>1</v>
      </c>
      <c r="O10" s="105" t="n">
        <f aca="false">3*O9^2-2*O9^3</f>
        <v>1</v>
      </c>
      <c r="P10" s="105" t="n">
        <f aca="false">3*P9^2-2*P9^3</f>
        <v>1</v>
      </c>
      <c r="Q10" s="105" t="n">
        <f aca="false">3*Q9^2-2*Q9^3</f>
        <v>1</v>
      </c>
      <c r="R10" s="105" t="n">
        <f aca="false">3*R9^2-2*R9^3</f>
        <v>1</v>
      </c>
      <c r="S10" s="105" t="n">
        <f aca="false">3*S9^2-2*S9^3</f>
        <v>1</v>
      </c>
      <c r="T10" s="105" t="n">
        <f aca="false">3*T9^2-2*T9^3</f>
        <v>1</v>
      </c>
      <c r="U10" s="105" t="n">
        <f aca="false">3*U9^2-2*U9^3</f>
        <v>1</v>
      </c>
      <c r="V10" s="105" t="n">
        <f aca="false">3*V9^2-2*V9^3</f>
        <v>1</v>
      </c>
      <c r="W10" s="105" t="n">
        <f aca="false">3*W9^2-2*W9^3</f>
        <v>1</v>
      </c>
      <c r="X10" s="105" t="n">
        <f aca="false">3*X9^2-2*X9^3</f>
        <v>1</v>
      </c>
      <c r="Y10" s="105" t="n">
        <f aca="false">3*Y9^2-2*Y9^3</f>
        <v>1</v>
      </c>
      <c r="Z10" s="105" t="n">
        <f aca="false">3*Z9^2-2*Z9^3</f>
        <v>1</v>
      </c>
      <c r="AA10" s="105" t="n">
        <f aca="false">3*AA9^2-2*AA9^3</f>
        <v>1</v>
      </c>
      <c r="AB10" s="105" t="n">
        <f aca="false">3*AB9^2-2*AB9^3</f>
        <v>1</v>
      </c>
    </row>
    <row r="11" customFormat="false" ht="15" hidden="false" customHeight="false" outlineLevel="0" collapsed="false">
      <c r="A11" s="27" t="s">
        <v>720</v>
      </c>
      <c r="B11" s="56"/>
      <c r="E11" s="104" t="n">
        <f aca="false">3*MIN(1,MAX(0,(Assumptions!E$96-Project_Register!$AJ$7)/(Project_Register!$AK$7-Project_Register!$AJ$7+1)))^2-2*MIN(1,MAX(0,(Assumptions!E$96-Project_Register!$AJ$7)/(Project_Register!$AK$7-Project_Register!$AJ$7+1)))^3</f>
        <v>0.68359375</v>
      </c>
      <c r="F11" s="104" t="n">
        <f aca="false">3*MIN(1,MAX(0,(Assumptions!F$96-Project_Register!$AJ$7)/(Project_Register!$AK$7-Project_Register!$AJ$7+1)))^2-2*MIN(1,MAX(0,(Assumptions!F$96-Project_Register!$AJ$7)/(Project_Register!$AK$7-Project_Register!$AJ$7+1)))^3</f>
        <v>0.84375</v>
      </c>
      <c r="G11" s="104" t="n">
        <f aca="false">3*MIN(1,MAX(0,(Assumptions!G$96-Project_Register!$AJ$7)/(Project_Register!$AK$7-Project_Register!$AJ$7+1)))^2-2*MIN(1,MAX(0,(Assumptions!G$96-Project_Register!$AJ$7)/(Project_Register!$AK$7-Project_Register!$AJ$7+1)))^3</f>
        <v>0.95703125</v>
      </c>
      <c r="H11" s="104" t="n">
        <f aca="false">3*MIN(1,MAX(0,(Assumptions!H$96-Project_Register!$AJ$7)/(Project_Register!$AK$7-Project_Register!$AJ$7+1)))^2-2*MIN(1,MAX(0,(Assumptions!H$96-Project_Register!$AJ$7)/(Project_Register!$AK$7-Project_Register!$AJ$7+1)))^3</f>
        <v>1</v>
      </c>
      <c r="I11" s="104" t="n">
        <f aca="false">3*MIN(1,MAX(0,(Assumptions!I$96-Project_Register!$AJ$7)/(Project_Register!$AK$7-Project_Register!$AJ$7+1)))^2-2*MIN(1,MAX(0,(Assumptions!I$96-Project_Register!$AJ$7)/(Project_Register!$AK$7-Project_Register!$AJ$7+1)))^3</f>
        <v>1</v>
      </c>
      <c r="J11" s="104" t="n">
        <f aca="false">3*MIN(1,MAX(0,(Assumptions!J$96-Project_Register!$AJ$7)/(Project_Register!$AK$7-Project_Register!$AJ$7+1)))^2-2*MIN(1,MAX(0,(Assumptions!J$96-Project_Register!$AJ$7)/(Project_Register!$AK$7-Project_Register!$AJ$7+1)))^3</f>
        <v>1</v>
      </c>
      <c r="K11" s="104" t="n">
        <f aca="false">3*MIN(1,MAX(0,(Assumptions!K$96-Project_Register!$AJ$7)/(Project_Register!$AK$7-Project_Register!$AJ$7+1)))^2-2*MIN(1,MAX(0,(Assumptions!K$96-Project_Register!$AJ$7)/(Project_Register!$AK$7-Project_Register!$AJ$7+1)))^3</f>
        <v>1</v>
      </c>
      <c r="L11" s="104" t="n">
        <f aca="false">3*MIN(1,MAX(0,(Assumptions!L$96-Project_Register!$AJ$7)/(Project_Register!$AK$7-Project_Register!$AJ$7+1)))^2-2*MIN(1,MAX(0,(Assumptions!L$96-Project_Register!$AJ$7)/(Project_Register!$AK$7-Project_Register!$AJ$7+1)))^3</f>
        <v>1</v>
      </c>
      <c r="M11" s="104" t="n">
        <f aca="false">3*MIN(1,MAX(0,(Assumptions!M$96-Project_Register!$AJ$7)/(Project_Register!$AK$7-Project_Register!$AJ$7+1)))^2-2*MIN(1,MAX(0,(Assumptions!M$96-Project_Register!$AJ$7)/(Project_Register!$AK$7-Project_Register!$AJ$7+1)))^3</f>
        <v>1</v>
      </c>
      <c r="N11" s="104" t="n">
        <f aca="false">3*MIN(1,MAX(0,(Assumptions!N$96-Project_Register!$AJ$7)/(Project_Register!$AK$7-Project_Register!$AJ$7+1)))^2-2*MIN(1,MAX(0,(Assumptions!N$96-Project_Register!$AJ$7)/(Project_Register!$AK$7-Project_Register!$AJ$7+1)))^3</f>
        <v>1</v>
      </c>
      <c r="O11" s="104" t="n">
        <f aca="false">3*MIN(1,MAX(0,(Assumptions!O$96-Project_Register!$AJ$7)/(Project_Register!$AK$7-Project_Register!$AJ$7+1)))^2-2*MIN(1,MAX(0,(Assumptions!O$96-Project_Register!$AJ$7)/(Project_Register!$AK$7-Project_Register!$AJ$7+1)))^3</f>
        <v>1</v>
      </c>
      <c r="P11" s="104" t="n">
        <f aca="false">3*MIN(1,MAX(0,(Assumptions!P$96-Project_Register!$AJ$7)/(Project_Register!$AK$7-Project_Register!$AJ$7+1)))^2-2*MIN(1,MAX(0,(Assumptions!P$96-Project_Register!$AJ$7)/(Project_Register!$AK$7-Project_Register!$AJ$7+1)))^3</f>
        <v>1</v>
      </c>
      <c r="Q11" s="104" t="n">
        <f aca="false">3*MIN(1,MAX(0,(Assumptions!Q$96-Project_Register!$AJ$7)/(Project_Register!$AK$7-Project_Register!$AJ$7+1)))^2-2*MIN(1,MAX(0,(Assumptions!Q$96-Project_Register!$AJ$7)/(Project_Register!$AK$7-Project_Register!$AJ$7+1)))^3</f>
        <v>1</v>
      </c>
      <c r="R11" s="104" t="n">
        <f aca="false">3*MIN(1,MAX(0,(Assumptions!R$96-Project_Register!$AJ$7)/(Project_Register!$AK$7-Project_Register!$AJ$7+1)))^2-2*MIN(1,MAX(0,(Assumptions!R$96-Project_Register!$AJ$7)/(Project_Register!$AK$7-Project_Register!$AJ$7+1)))^3</f>
        <v>1</v>
      </c>
      <c r="S11" s="104" t="n">
        <f aca="false">3*MIN(1,MAX(0,(Assumptions!S$96-Project_Register!$AJ$7)/(Project_Register!$AK$7-Project_Register!$AJ$7+1)))^2-2*MIN(1,MAX(0,(Assumptions!S$96-Project_Register!$AJ$7)/(Project_Register!$AK$7-Project_Register!$AJ$7+1)))^3</f>
        <v>1</v>
      </c>
      <c r="T11" s="104" t="n">
        <f aca="false">3*MIN(1,MAX(0,(Assumptions!T$96-Project_Register!$AJ$7)/(Project_Register!$AK$7-Project_Register!$AJ$7+1)))^2-2*MIN(1,MAX(0,(Assumptions!T$96-Project_Register!$AJ$7)/(Project_Register!$AK$7-Project_Register!$AJ$7+1)))^3</f>
        <v>1</v>
      </c>
      <c r="U11" s="104" t="n">
        <f aca="false">3*MIN(1,MAX(0,(Assumptions!U$96-Project_Register!$AJ$7)/(Project_Register!$AK$7-Project_Register!$AJ$7+1)))^2-2*MIN(1,MAX(0,(Assumptions!U$96-Project_Register!$AJ$7)/(Project_Register!$AK$7-Project_Register!$AJ$7+1)))^3</f>
        <v>1</v>
      </c>
      <c r="V11" s="104" t="n">
        <f aca="false">3*MIN(1,MAX(0,(Assumptions!V$96-Project_Register!$AJ$7)/(Project_Register!$AK$7-Project_Register!$AJ$7+1)))^2-2*MIN(1,MAX(0,(Assumptions!V$96-Project_Register!$AJ$7)/(Project_Register!$AK$7-Project_Register!$AJ$7+1)))^3</f>
        <v>1</v>
      </c>
      <c r="W11" s="104" t="n">
        <f aca="false">3*MIN(1,MAX(0,(Assumptions!W$96-Project_Register!$AJ$7)/(Project_Register!$AK$7-Project_Register!$AJ$7+1)))^2-2*MIN(1,MAX(0,(Assumptions!W$96-Project_Register!$AJ$7)/(Project_Register!$AK$7-Project_Register!$AJ$7+1)))^3</f>
        <v>1</v>
      </c>
      <c r="X11" s="104" t="n">
        <f aca="false">3*MIN(1,MAX(0,(Assumptions!X$96-Project_Register!$AJ$7)/(Project_Register!$AK$7-Project_Register!$AJ$7+1)))^2-2*MIN(1,MAX(0,(Assumptions!X$96-Project_Register!$AJ$7)/(Project_Register!$AK$7-Project_Register!$AJ$7+1)))^3</f>
        <v>1</v>
      </c>
      <c r="Y11" s="104" t="n">
        <f aca="false">3*MIN(1,MAX(0,(Assumptions!Y$96-Project_Register!$AJ$7)/(Project_Register!$AK$7-Project_Register!$AJ$7+1)))^2-2*MIN(1,MAX(0,(Assumptions!Y$96-Project_Register!$AJ$7)/(Project_Register!$AK$7-Project_Register!$AJ$7+1)))^3</f>
        <v>1</v>
      </c>
      <c r="Z11" s="104" t="n">
        <f aca="false">3*MIN(1,MAX(0,(Assumptions!Z$96-Project_Register!$AJ$7)/(Project_Register!$AK$7-Project_Register!$AJ$7+1)))^2-2*MIN(1,MAX(0,(Assumptions!Z$96-Project_Register!$AJ$7)/(Project_Register!$AK$7-Project_Register!$AJ$7+1)))^3</f>
        <v>1</v>
      </c>
      <c r="AA11" s="104" t="n">
        <f aca="false">3*MIN(1,MAX(0,(Assumptions!AA$96-Project_Register!$AJ$7)/(Project_Register!$AK$7-Project_Register!$AJ$7+1)))^2-2*MIN(1,MAX(0,(Assumptions!AA$96-Project_Register!$AJ$7)/(Project_Register!$AK$7-Project_Register!$AJ$7+1)))^3</f>
        <v>1</v>
      </c>
      <c r="AB11" s="104" t="n">
        <f aca="false">3*MIN(1,MAX(0,(Assumptions!AB$96-Project_Register!$AJ$7)/(Project_Register!$AK$7-Project_Register!$AJ$7+1)))^2-2*MIN(1,MAX(0,(Assumptions!AB$96-Project_Register!$AJ$7)/(Project_Register!$AK$7-Project_Register!$AJ$7+1)))^3</f>
        <v>1</v>
      </c>
    </row>
    <row r="12" customFormat="false" ht="15" hidden="false" customHeight="false" outlineLevel="0" collapsed="false">
      <c r="A12" s="27" t="s">
        <v>721</v>
      </c>
      <c r="B12" s="56" t="s">
        <v>722</v>
      </c>
      <c r="C12" s="57" t="n">
        <f aca="false">SUM(E12:P12)</f>
        <v>46241.49</v>
      </c>
      <c r="D12" s="57" t="n">
        <f aca="false">SUM(Q12:AB12)</f>
        <v>0</v>
      </c>
      <c r="E12" s="58" t="n">
        <f aca="false">IF(E$5="A",Inputs_Actuals!E9,IF((Project_Register!$AT$7-Project_Register!$AQ$7)&lt;=0,0,IF(1-Project_Register!$AV$7&lt;=0.000001,IF(Assumptions!E$96=Assumptions!$C$10+1,(Project_Register!$AT$7-Project_Register!$AQ$7),0),(Project_Register!$AT$7-Project_Register!$AQ$7)*(E10-E11)/(1-Project_Register!$AV$7)))*Project_Register!$X$7)</f>
        <v>20871.48</v>
      </c>
      <c r="F12" s="58" t="n">
        <f aca="false">IF(F$5="A",Inputs_Actuals!F9,IF((Project_Register!$AT$7-Project_Register!$AQ$7)&lt;=0,0,IF(1-Project_Register!$AV$7&lt;=0.000001,IF(Assumptions!F$96=Assumptions!$C$10+1,(Project_Register!$AT$7-Project_Register!$AQ$7),0),(Project_Register!$AT$7-Project_Register!$AQ$7)*(F10-F11)/(1-Project_Register!$AV$7)))*Project_Register!$X$7)</f>
        <v>17684.27</v>
      </c>
      <c r="G12" s="58" t="n">
        <f aca="false">IF(G$5="A",Inputs_Actuals!G9,IF((Project_Register!$AT$7-Project_Register!$AQ$7)&lt;=0,0,IF(1-Project_Register!$AV$7&lt;=0.000001,IF(Assumptions!G$96=Assumptions!$C$10+1,(Project_Register!$AT$7-Project_Register!$AQ$7),0),(Project_Register!$AT$7-Project_Register!$AQ$7)*(G10-G11)/(1-Project_Register!$AV$7)))*Project_Register!$X$7)</f>
        <v>7685.74</v>
      </c>
      <c r="H12" s="58" t="n">
        <f aca="false">IF(H$5="A",Inputs_Actuals!H9,IF((Project_Register!$AT$7-Project_Register!$AQ$7)&lt;=0,0,IF(1-Project_Register!$AV$7&lt;=0.000001,IF(Assumptions!H$96=Assumptions!$C$10+1,(Project_Register!$AT$7-Project_Register!$AQ$7),0),(Project_Register!$AT$7-Project_Register!$AQ$7)*(H10-H11)/(1-Project_Register!$AV$7)))*Project_Register!$X$7)</f>
        <v>0</v>
      </c>
      <c r="I12" s="58" t="n">
        <f aca="false">IF(I$5="A",Inputs_Actuals!I9,IF((Project_Register!$AT$7-Project_Register!$AQ$7)&lt;=0,0,IF(1-Project_Register!$AV$7&lt;=0.000001,IF(Assumptions!I$96=Assumptions!$C$10+1,(Project_Register!$AT$7-Project_Register!$AQ$7),0),(Project_Register!$AT$7-Project_Register!$AQ$7)*(I10-I11)/(1-Project_Register!$AV$7)))*Project_Register!$X$7)</f>
        <v>0</v>
      </c>
      <c r="J12" s="58" t="n">
        <f aca="false">IF(J$5="A",Inputs_Actuals!J9,IF((Project_Register!$AT$7-Project_Register!$AQ$7)&lt;=0,0,IF(1-Project_Register!$AV$7&lt;=0.000001,IF(Assumptions!J$96=Assumptions!$C$10+1,(Project_Register!$AT$7-Project_Register!$AQ$7),0),(Project_Register!$AT$7-Project_Register!$AQ$7)*(J10-J11)/(1-Project_Register!$AV$7)))*Project_Register!$X$7)</f>
        <v>0</v>
      </c>
      <c r="K12" s="58" t="n">
        <f aca="false">IF(K$5="A",Inputs_Actuals!K9,IF((Project_Register!$AT$7-Project_Register!$AQ$7)&lt;=0,0,IF(1-Project_Register!$AV$7&lt;=0.000001,IF(Assumptions!K$96=Assumptions!$C$10+1,(Project_Register!$AT$7-Project_Register!$AQ$7),0),(Project_Register!$AT$7-Project_Register!$AQ$7)*(K10-K11)/(1-Project_Register!$AV$7)))*Project_Register!$X$7)</f>
        <v>0</v>
      </c>
      <c r="L12" s="58" t="n">
        <f aca="false">IF(L$5="A",Inputs_Actuals!L9,IF((Project_Register!$AT$7-Project_Register!$AQ$7)&lt;=0,0,IF(1-Project_Register!$AV$7&lt;=0.000001,IF(Assumptions!L$96=Assumptions!$C$10+1,(Project_Register!$AT$7-Project_Register!$AQ$7),0),(Project_Register!$AT$7-Project_Register!$AQ$7)*(L10-L11)/(1-Project_Register!$AV$7)))*Project_Register!$X$7)</f>
        <v>0</v>
      </c>
      <c r="M12" s="58" t="n">
        <f aca="false">IF(M$5="A",Inputs_Actuals!M9,IF((Project_Register!$AT$7-Project_Register!$AQ$7)&lt;=0,0,IF(1-Project_Register!$AV$7&lt;=0.000001,IF(Assumptions!M$96=Assumptions!$C$10+1,(Project_Register!$AT$7-Project_Register!$AQ$7),0),(Project_Register!$AT$7-Project_Register!$AQ$7)*(M10-M11)/(1-Project_Register!$AV$7)))*Project_Register!$X$7)</f>
        <v>0</v>
      </c>
      <c r="N12" s="58" t="n">
        <f aca="false">IF(N$5="A",Inputs_Actuals!N9,IF((Project_Register!$AT$7-Project_Register!$AQ$7)&lt;=0,0,IF(1-Project_Register!$AV$7&lt;=0.000001,IF(Assumptions!N$96=Assumptions!$C$10+1,(Project_Register!$AT$7-Project_Register!$AQ$7),0),(Project_Register!$AT$7-Project_Register!$AQ$7)*(N10-N11)/(1-Project_Register!$AV$7)))*Project_Register!$X$7)</f>
        <v>0</v>
      </c>
      <c r="O12" s="58" t="n">
        <f aca="false">IF(O$5="A",Inputs_Actuals!O9,IF((Project_Register!$AT$7-Project_Register!$AQ$7)&lt;=0,0,IF(1-Project_Register!$AV$7&lt;=0.000001,IF(Assumptions!O$96=Assumptions!$C$10+1,(Project_Register!$AT$7-Project_Register!$AQ$7),0),(Project_Register!$AT$7-Project_Register!$AQ$7)*(O10-O11)/(1-Project_Register!$AV$7)))*Project_Register!$X$7)</f>
        <v>0</v>
      </c>
      <c r="P12" s="58" t="n">
        <f aca="false">IF(P$5="A",Inputs_Actuals!P9,IF((Project_Register!$AT$7-Project_Register!$AQ$7)&lt;=0,0,IF(1-Project_Register!$AV$7&lt;=0.000001,IF(Assumptions!P$96=Assumptions!$C$10+1,(Project_Register!$AT$7-Project_Register!$AQ$7),0),(Project_Register!$AT$7-Project_Register!$AQ$7)*(P10-P11)/(1-Project_Register!$AV$7)))*Project_Register!$X$7)</f>
        <v>0</v>
      </c>
      <c r="Q12" s="58" t="n">
        <f aca="false">IF(Q$5="A",Inputs_Actuals!Q9,IF((Project_Register!$AT$7-Project_Register!$AQ$7)&lt;=0,0,IF(1-Project_Register!$AV$7&lt;=0.000001,IF(Assumptions!Q$96=Assumptions!$C$10+1,(Project_Register!$AT$7-Project_Register!$AQ$7),0),(Project_Register!$AT$7-Project_Register!$AQ$7)*(Q10-Q11)/(1-Project_Register!$AV$7)))*Project_Register!$X$7)</f>
        <v>0</v>
      </c>
      <c r="R12" s="58" t="n">
        <f aca="false">IF(R$5="A",Inputs_Actuals!R9,IF((Project_Register!$AT$7-Project_Register!$AQ$7)&lt;=0,0,IF(1-Project_Register!$AV$7&lt;=0.000001,IF(Assumptions!R$96=Assumptions!$C$10+1,(Project_Register!$AT$7-Project_Register!$AQ$7),0),(Project_Register!$AT$7-Project_Register!$AQ$7)*(R10-R11)/(1-Project_Register!$AV$7)))*Project_Register!$X$7)</f>
        <v>0</v>
      </c>
      <c r="S12" s="58" t="n">
        <f aca="false">IF(S$5="A",Inputs_Actuals!S9,IF((Project_Register!$AT$7-Project_Register!$AQ$7)&lt;=0,0,IF(1-Project_Register!$AV$7&lt;=0.000001,IF(Assumptions!S$96=Assumptions!$C$10+1,(Project_Register!$AT$7-Project_Register!$AQ$7),0),(Project_Register!$AT$7-Project_Register!$AQ$7)*(S10-S11)/(1-Project_Register!$AV$7)))*Project_Register!$X$7)</f>
        <v>0</v>
      </c>
      <c r="T12" s="58" t="n">
        <f aca="false">IF(T$5="A",Inputs_Actuals!T9,IF((Project_Register!$AT$7-Project_Register!$AQ$7)&lt;=0,0,IF(1-Project_Register!$AV$7&lt;=0.000001,IF(Assumptions!T$96=Assumptions!$C$10+1,(Project_Register!$AT$7-Project_Register!$AQ$7),0),(Project_Register!$AT$7-Project_Register!$AQ$7)*(T10-T11)/(1-Project_Register!$AV$7)))*Project_Register!$X$7)</f>
        <v>0</v>
      </c>
      <c r="U12" s="58" t="n">
        <f aca="false">IF(U$5="A",Inputs_Actuals!U9,IF((Project_Register!$AT$7-Project_Register!$AQ$7)&lt;=0,0,IF(1-Project_Register!$AV$7&lt;=0.000001,IF(Assumptions!U$96=Assumptions!$C$10+1,(Project_Register!$AT$7-Project_Register!$AQ$7),0),(Project_Register!$AT$7-Project_Register!$AQ$7)*(U10-U11)/(1-Project_Register!$AV$7)))*Project_Register!$X$7)</f>
        <v>0</v>
      </c>
      <c r="V12" s="58" t="n">
        <f aca="false">IF(V$5="A",Inputs_Actuals!V9,IF((Project_Register!$AT$7-Project_Register!$AQ$7)&lt;=0,0,IF(1-Project_Register!$AV$7&lt;=0.000001,IF(Assumptions!V$96=Assumptions!$C$10+1,(Project_Register!$AT$7-Project_Register!$AQ$7),0),(Project_Register!$AT$7-Project_Register!$AQ$7)*(V10-V11)/(1-Project_Register!$AV$7)))*Project_Register!$X$7)</f>
        <v>0</v>
      </c>
      <c r="W12" s="58" t="n">
        <f aca="false">IF(W$5="A",Inputs_Actuals!W9,IF((Project_Register!$AT$7-Project_Register!$AQ$7)&lt;=0,0,IF(1-Project_Register!$AV$7&lt;=0.000001,IF(Assumptions!W$96=Assumptions!$C$10+1,(Project_Register!$AT$7-Project_Register!$AQ$7),0),(Project_Register!$AT$7-Project_Register!$AQ$7)*(W10-W11)/(1-Project_Register!$AV$7)))*Project_Register!$X$7)</f>
        <v>0</v>
      </c>
      <c r="X12" s="58" t="n">
        <f aca="false">IF(X$5="A",Inputs_Actuals!X9,IF((Project_Register!$AT$7-Project_Register!$AQ$7)&lt;=0,0,IF(1-Project_Register!$AV$7&lt;=0.000001,IF(Assumptions!X$96=Assumptions!$C$10+1,(Project_Register!$AT$7-Project_Register!$AQ$7),0),(Project_Register!$AT$7-Project_Register!$AQ$7)*(X10-X11)/(1-Project_Register!$AV$7)))*Project_Register!$X$7)</f>
        <v>0</v>
      </c>
      <c r="Y12" s="58" t="n">
        <f aca="false">IF(Y$5="A",Inputs_Actuals!Y9,IF((Project_Register!$AT$7-Project_Register!$AQ$7)&lt;=0,0,IF(1-Project_Register!$AV$7&lt;=0.000001,IF(Assumptions!Y$96=Assumptions!$C$10+1,(Project_Register!$AT$7-Project_Register!$AQ$7),0),(Project_Register!$AT$7-Project_Register!$AQ$7)*(Y10-Y11)/(1-Project_Register!$AV$7)))*Project_Register!$X$7)</f>
        <v>0</v>
      </c>
      <c r="Z12" s="58" t="n">
        <f aca="false">IF(Z$5="A",Inputs_Actuals!Z9,IF((Project_Register!$AT$7-Project_Register!$AQ$7)&lt;=0,0,IF(1-Project_Register!$AV$7&lt;=0.000001,IF(Assumptions!Z$96=Assumptions!$C$10+1,(Project_Register!$AT$7-Project_Register!$AQ$7),0),(Project_Register!$AT$7-Project_Register!$AQ$7)*(Z10-Z11)/(1-Project_Register!$AV$7)))*Project_Register!$X$7)</f>
        <v>0</v>
      </c>
      <c r="AA12" s="58" t="n">
        <f aca="false">IF(AA$5="A",Inputs_Actuals!AA9,IF((Project_Register!$AT$7-Project_Register!$AQ$7)&lt;=0,0,IF(1-Project_Register!$AV$7&lt;=0.000001,IF(Assumptions!AA$96=Assumptions!$C$10+1,(Project_Register!$AT$7-Project_Register!$AQ$7),0),(Project_Register!$AT$7-Project_Register!$AQ$7)*(AA10-AA11)/(1-Project_Register!$AV$7)))*Project_Register!$X$7)</f>
        <v>0</v>
      </c>
      <c r="AB12" s="58" t="n">
        <f aca="false">IF(AB$5="A",Inputs_Actuals!AB9,IF((Project_Register!$AT$7-Project_Register!$AQ$7)&lt;=0,0,IF(1-Project_Register!$AV$7&lt;=0.000001,IF(Assumptions!AB$96=Assumptions!$C$10+1,(Project_Register!$AT$7-Project_Register!$AQ$7),0),(Project_Register!$AT$7-Project_Register!$AQ$7)*(AB10-AB11)/(1-Project_Register!$AV$7)))*Project_Register!$X$7)</f>
        <v>0</v>
      </c>
    </row>
    <row r="13" customFormat="false" ht="15" hidden="false" customHeight="false" outlineLevel="0" collapsed="false">
      <c r="A13" s="27" t="s">
        <v>723</v>
      </c>
      <c r="B13" s="56" t="s">
        <v>722</v>
      </c>
      <c r="C13" s="57" t="n">
        <f aca="false">SUM(E13:P13)</f>
        <v>139442.55</v>
      </c>
      <c r="D13" s="57" t="n">
        <f aca="false">SUM(Q13:AB13)</f>
        <v>0</v>
      </c>
      <c r="E13" s="58" t="n">
        <f aca="false">IF(E$5="A",Inputs_Actuals!E10,IF((Project_Register!$AT$7-Project_Register!$AQ$7)&lt;=0,0,IF(1-Project_Register!$AV$7&lt;=0.000001,IF(Assumptions!E$96=Assumptions!$C$10+1,(Project_Register!$AT$7-Project_Register!$AQ$7),0),(Project_Register!$AT$7-Project_Register!$AQ$7)*(E10-E11)/(1-Project_Register!$AV$7)))*Project_Register!$Y$7)</f>
        <v>61951.26</v>
      </c>
      <c r="F13" s="58" t="n">
        <f aca="false">IF(F$5="A",Inputs_Actuals!F10,IF((Project_Register!$AT$7-Project_Register!$AQ$7)&lt;=0,0,IF(1-Project_Register!$AV$7&lt;=0.000001,IF(Assumptions!F$96=Assumptions!$C$10+1,(Project_Register!$AT$7-Project_Register!$AQ$7),0),(Project_Register!$AT$7-Project_Register!$AQ$7)*(F10-F11)/(1-Project_Register!$AV$7)))*Project_Register!$Y$7)</f>
        <v>52022.57</v>
      </c>
      <c r="G13" s="58" t="n">
        <f aca="false">IF(G$5="A",Inputs_Actuals!G10,IF((Project_Register!$AT$7-Project_Register!$AQ$7)&lt;=0,0,IF(1-Project_Register!$AV$7&lt;=0.000001,IF(Assumptions!G$96=Assumptions!$C$10+1,(Project_Register!$AT$7-Project_Register!$AQ$7),0),(Project_Register!$AT$7-Project_Register!$AQ$7)*(G10-G11)/(1-Project_Register!$AV$7)))*Project_Register!$Y$7)</f>
        <v>25468.72</v>
      </c>
      <c r="H13" s="58" t="n">
        <f aca="false">IF(H$5="A",Inputs_Actuals!H10,IF((Project_Register!$AT$7-Project_Register!$AQ$7)&lt;=0,0,IF(1-Project_Register!$AV$7&lt;=0.000001,IF(Assumptions!H$96=Assumptions!$C$10+1,(Project_Register!$AT$7-Project_Register!$AQ$7),0),(Project_Register!$AT$7-Project_Register!$AQ$7)*(H10-H11)/(1-Project_Register!$AV$7)))*Project_Register!$Y$7)</f>
        <v>0</v>
      </c>
      <c r="I13" s="58" t="n">
        <f aca="false">IF(I$5="A",Inputs_Actuals!I10,IF((Project_Register!$AT$7-Project_Register!$AQ$7)&lt;=0,0,IF(1-Project_Register!$AV$7&lt;=0.000001,IF(Assumptions!I$96=Assumptions!$C$10+1,(Project_Register!$AT$7-Project_Register!$AQ$7),0),(Project_Register!$AT$7-Project_Register!$AQ$7)*(I10-I11)/(1-Project_Register!$AV$7)))*Project_Register!$Y$7)</f>
        <v>0</v>
      </c>
      <c r="J13" s="58" t="n">
        <f aca="false">IF(J$5="A",Inputs_Actuals!J10,IF((Project_Register!$AT$7-Project_Register!$AQ$7)&lt;=0,0,IF(1-Project_Register!$AV$7&lt;=0.000001,IF(Assumptions!J$96=Assumptions!$C$10+1,(Project_Register!$AT$7-Project_Register!$AQ$7),0),(Project_Register!$AT$7-Project_Register!$AQ$7)*(J10-J11)/(1-Project_Register!$AV$7)))*Project_Register!$Y$7)</f>
        <v>0</v>
      </c>
      <c r="K13" s="58" t="n">
        <f aca="false">IF(K$5="A",Inputs_Actuals!K10,IF((Project_Register!$AT$7-Project_Register!$AQ$7)&lt;=0,0,IF(1-Project_Register!$AV$7&lt;=0.000001,IF(Assumptions!K$96=Assumptions!$C$10+1,(Project_Register!$AT$7-Project_Register!$AQ$7),0),(Project_Register!$AT$7-Project_Register!$AQ$7)*(K10-K11)/(1-Project_Register!$AV$7)))*Project_Register!$Y$7)</f>
        <v>0</v>
      </c>
      <c r="L13" s="58" t="n">
        <f aca="false">IF(L$5="A",Inputs_Actuals!L10,IF((Project_Register!$AT$7-Project_Register!$AQ$7)&lt;=0,0,IF(1-Project_Register!$AV$7&lt;=0.000001,IF(Assumptions!L$96=Assumptions!$C$10+1,(Project_Register!$AT$7-Project_Register!$AQ$7),0),(Project_Register!$AT$7-Project_Register!$AQ$7)*(L10-L11)/(1-Project_Register!$AV$7)))*Project_Register!$Y$7)</f>
        <v>0</v>
      </c>
      <c r="M13" s="58" t="n">
        <f aca="false">IF(M$5="A",Inputs_Actuals!M10,IF((Project_Register!$AT$7-Project_Register!$AQ$7)&lt;=0,0,IF(1-Project_Register!$AV$7&lt;=0.000001,IF(Assumptions!M$96=Assumptions!$C$10+1,(Project_Register!$AT$7-Project_Register!$AQ$7),0),(Project_Register!$AT$7-Project_Register!$AQ$7)*(M10-M11)/(1-Project_Register!$AV$7)))*Project_Register!$Y$7)</f>
        <v>0</v>
      </c>
      <c r="N13" s="58" t="n">
        <f aca="false">IF(N$5="A",Inputs_Actuals!N10,IF((Project_Register!$AT$7-Project_Register!$AQ$7)&lt;=0,0,IF(1-Project_Register!$AV$7&lt;=0.000001,IF(Assumptions!N$96=Assumptions!$C$10+1,(Project_Register!$AT$7-Project_Register!$AQ$7),0),(Project_Register!$AT$7-Project_Register!$AQ$7)*(N10-N11)/(1-Project_Register!$AV$7)))*Project_Register!$Y$7)</f>
        <v>0</v>
      </c>
      <c r="O13" s="58" t="n">
        <f aca="false">IF(O$5="A",Inputs_Actuals!O10,IF((Project_Register!$AT$7-Project_Register!$AQ$7)&lt;=0,0,IF(1-Project_Register!$AV$7&lt;=0.000001,IF(Assumptions!O$96=Assumptions!$C$10+1,(Project_Register!$AT$7-Project_Register!$AQ$7),0),(Project_Register!$AT$7-Project_Register!$AQ$7)*(O10-O11)/(1-Project_Register!$AV$7)))*Project_Register!$Y$7)</f>
        <v>0</v>
      </c>
      <c r="P13" s="58" t="n">
        <f aca="false">IF(P$5="A",Inputs_Actuals!P10,IF((Project_Register!$AT$7-Project_Register!$AQ$7)&lt;=0,0,IF(1-Project_Register!$AV$7&lt;=0.000001,IF(Assumptions!P$96=Assumptions!$C$10+1,(Project_Register!$AT$7-Project_Register!$AQ$7),0),(Project_Register!$AT$7-Project_Register!$AQ$7)*(P10-P11)/(1-Project_Register!$AV$7)))*Project_Register!$Y$7)</f>
        <v>0</v>
      </c>
      <c r="Q13" s="58" t="n">
        <f aca="false">IF(Q$5="A",Inputs_Actuals!Q10,IF((Project_Register!$AT$7-Project_Register!$AQ$7)&lt;=0,0,IF(1-Project_Register!$AV$7&lt;=0.000001,IF(Assumptions!Q$96=Assumptions!$C$10+1,(Project_Register!$AT$7-Project_Register!$AQ$7),0),(Project_Register!$AT$7-Project_Register!$AQ$7)*(Q10-Q11)/(1-Project_Register!$AV$7)))*Project_Register!$Y$7)</f>
        <v>0</v>
      </c>
      <c r="R13" s="58" t="n">
        <f aca="false">IF(R$5="A",Inputs_Actuals!R10,IF((Project_Register!$AT$7-Project_Register!$AQ$7)&lt;=0,0,IF(1-Project_Register!$AV$7&lt;=0.000001,IF(Assumptions!R$96=Assumptions!$C$10+1,(Project_Register!$AT$7-Project_Register!$AQ$7),0),(Project_Register!$AT$7-Project_Register!$AQ$7)*(R10-R11)/(1-Project_Register!$AV$7)))*Project_Register!$Y$7)</f>
        <v>0</v>
      </c>
      <c r="S13" s="58" t="n">
        <f aca="false">IF(S$5="A",Inputs_Actuals!S10,IF((Project_Register!$AT$7-Project_Register!$AQ$7)&lt;=0,0,IF(1-Project_Register!$AV$7&lt;=0.000001,IF(Assumptions!S$96=Assumptions!$C$10+1,(Project_Register!$AT$7-Project_Register!$AQ$7),0),(Project_Register!$AT$7-Project_Register!$AQ$7)*(S10-S11)/(1-Project_Register!$AV$7)))*Project_Register!$Y$7)</f>
        <v>0</v>
      </c>
      <c r="T13" s="58" t="n">
        <f aca="false">IF(T$5="A",Inputs_Actuals!T10,IF((Project_Register!$AT$7-Project_Register!$AQ$7)&lt;=0,0,IF(1-Project_Register!$AV$7&lt;=0.000001,IF(Assumptions!T$96=Assumptions!$C$10+1,(Project_Register!$AT$7-Project_Register!$AQ$7),0),(Project_Register!$AT$7-Project_Register!$AQ$7)*(T10-T11)/(1-Project_Register!$AV$7)))*Project_Register!$Y$7)</f>
        <v>0</v>
      </c>
      <c r="U13" s="58" t="n">
        <f aca="false">IF(U$5="A",Inputs_Actuals!U10,IF((Project_Register!$AT$7-Project_Register!$AQ$7)&lt;=0,0,IF(1-Project_Register!$AV$7&lt;=0.000001,IF(Assumptions!U$96=Assumptions!$C$10+1,(Project_Register!$AT$7-Project_Register!$AQ$7),0),(Project_Register!$AT$7-Project_Register!$AQ$7)*(U10-U11)/(1-Project_Register!$AV$7)))*Project_Register!$Y$7)</f>
        <v>0</v>
      </c>
      <c r="V13" s="58" t="n">
        <f aca="false">IF(V$5="A",Inputs_Actuals!V10,IF((Project_Register!$AT$7-Project_Register!$AQ$7)&lt;=0,0,IF(1-Project_Register!$AV$7&lt;=0.000001,IF(Assumptions!V$96=Assumptions!$C$10+1,(Project_Register!$AT$7-Project_Register!$AQ$7),0),(Project_Register!$AT$7-Project_Register!$AQ$7)*(V10-V11)/(1-Project_Register!$AV$7)))*Project_Register!$Y$7)</f>
        <v>0</v>
      </c>
      <c r="W13" s="58" t="n">
        <f aca="false">IF(W$5="A",Inputs_Actuals!W10,IF((Project_Register!$AT$7-Project_Register!$AQ$7)&lt;=0,0,IF(1-Project_Register!$AV$7&lt;=0.000001,IF(Assumptions!W$96=Assumptions!$C$10+1,(Project_Register!$AT$7-Project_Register!$AQ$7),0),(Project_Register!$AT$7-Project_Register!$AQ$7)*(W10-W11)/(1-Project_Register!$AV$7)))*Project_Register!$Y$7)</f>
        <v>0</v>
      </c>
      <c r="X13" s="58" t="n">
        <f aca="false">IF(X$5="A",Inputs_Actuals!X10,IF((Project_Register!$AT$7-Project_Register!$AQ$7)&lt;=0,0,IF(1-Project_Register!$AV$7&lt;=0.000001,IF(Assumptions!X$96=Assumptions!$C$10+1,(Project_Register!$AT$7-Project_Register!$AQ$7),0),(Project_Register!$AT$7-Project_Register!$AQ$7)*(X10-X11)/(1-Project_Register!$AV$7)))*Project_Register!$Y$7)</f>
        <v>0</v>
      </c>
      <c r="Y13" s="58" t="n">
        <f aca="false">IF(Y$5="A",Inputs_Actuals!Y10,IF((Project_Register!$AT$7-Project_Register!$AQ$7)&lt;=0,0,IF(1-Project_Register!$AV$7&lt;=0.000001,IF(Assumptions!Y$96=Assumptions!$C$10+1,(Project_Register!$AT$7-Project_Register!$AQ$7),0),(Project_Register!$AT$7-Project_Register!$AQ$7)*(Y10-Y11)/(1-Project_Register!$AV$7)))*Project_Register!$Y$7)</f>
        <v>0</v>
      </c>
      <c r="Z13" s="58" t="n">
        <f aca="false">IF(Z$5="A",Inputs_Actuals!Z10,IF((Project_Register!$AT$7-Project_Register!$AQ$7)&lt;=0,0,IF(1-Project_Register!$AV$7&lt;=0.000001,IF(Assumptions!Z$96=Assumptions!$C$10+1,(Project_Register!$AT$7-Project_Register!$AQ$7),0),(Project_Register!$AT$7-Project_Register!$AQ$7)*(Z10-Z11)/(1-Project_Register!$AV$7)))*Project_Register!$Y$7)</f>
        <v>0</v>
      </c>
      <c r="AA13" s="58" t="n">
        <f aca="false">IF(AA$5="A",Inputs_Actuals!AA10,IF((Project_Register!$AT$7-Project_Register!$AQ$7)&lt;=0,0,IF(1-Project_Register!$AV$7&lt;=0.000001,IF(Assumptions!AA$96=Assumptions!$C$10+1,(Project_Register!$AT$7-Project_Register!$AQ$7),0),(Project_Register!$AT$7-Project_Register!$AQ$7)*(AA10-AA11)/(1-Project_Register!$AV$7)))*Project_Register!$Y$7)</f>
        <v>0</v>
      </c>
      <c r="AB13" s="58" t="n">
        <f aca="false">IF(AB$5="A",Inputs_Actuals!AB10,IF((Project_Register!$AT$7-Project_Register!$AQ$7)&lt;=0,0,IF(1-Project_Register!$AV$7&lt;=0.000001,IF(Assumptions!AB$96=Assumptions!$C$10+1,(Project_Register!$AT$7-Project_Register!$AQ$7),0),(Project_Register!$AT$7-Project_Register!$AQ$7)*(AB10-AB11)/(1-Project_Register!$AV$7)))*Project_Register!$Y$7)</f>
        <v>0</v>
      </c>
    </row>
    <row r="14" customFormat="false" ht="15" hidden="false" customHeight="false" outlineLevel="0" collapsed="false">
      <c r="A14" s="27" t="s">
        <v>724</v>
      </c>
      <c r="B14" s="56" t="s">
        <v>722</v>
      </c>
      <c r="C14" s="57" t="n">
        <f aca="false">SUM(E14:P14)</f>
        <v>68644.3</v>
      </c>
      <c r="D14" s="57" t="n">
        <f aca="false">SUM(Q14:AB14)</f>
        <v>0</v>
      </c>
      <c r="E14" s="58" t="n">
        <f aca="false">IF(E$5="A",Inputs_Actuals!E11,IF((Project_Register!$AT$7-Project_Register!$AQ$7)&lt;=0,0,IF(1-Project_Register!$AV$7&lt;=0.000001,IF(Assumptions!E$96=Assumptions!$C$10+1,(Project_Register!$AT$7-Project_Register!$AQ$7),0),(Project_Register!$AT$7-Project_Register!$AQ$7)*(E10-E11)/(1-Project_Register!$AV$7)))*Project_Register!$Z$7)</f>
        <v>31369.52</v>
      </c>
      <c r="F14" s="58" t="n">
        <f aca="false">IF(F$5="A",Inputs_Actuals!F11,IF((Project_Register!$AT$7-Project_Register!$AQ$7)&lt;=0,0,IF(1-Project_Register!$AV$7&lt;=0.000001,IF(Assumptions!F$96=Assumptions!$C$10+1,(Project_Register!$AT$7-Project_Register!$AQ$7),0),(Project_Register!$AT$7-Project_Register!$AQ$7)*(F10-F11)/(1-Project_Register!$AV$7)))*Project_Register!$Z$7)</f>
        <v>25055.71</v>
      </c>
      <c r="G14" s="58" t="n">
        <f aca="false">IF(G$5="A",Inputs_Actuals!G11,IF((Project_Register!$AT$7-Project_Register!$AQ$7)&lt;=0,0,IF(1-Project_Register!$AV$7&lt;=0.000001,IF(Assumptions!G$96=Assumptions!$C$10+1,(Project_Register!$AT$7-Project_Register!$AQ$7),0),(Project_Register!$AT$7-Project_Register!$AQ$7)*(G10-G11)/(1-Project_Register!$AV$7)))*Project_Register!$Z$7)</f>
        <v>12219.07</v>
      </c>
      <c r="H14" s="58" t="n">
        <f aca="false">IF(H$5="A",Inputs_Actuals!H11,IF((Project_Register!$AT$7-Project_Register!$AQ$7)&lt;=0,0,IF(1-Project_Register!$AV$7&lt;=0.000001,IF(Assumptions!H$96=Assumptions!$C$10+1,(Project_Register!$AT$7-Project_Register!$AQ$7),0),(Project_Register!$AT$7-Project_Register!$AQ$7)*(H10-H11)/(1-Project_Register!$AV$7)))*Project_Register!$Z$7)</f>
        <v>0</v>
      </c>
      <c r="I14" s="58" t="n">
        <f aca="false">IF(I$5="A",Inputs_Actuals!I11,IF((Project_Register!$AT$7-Project_Register!$AQ$7)&lt;=0,0,IF(1-Project_Register!$AV$7&lt;=0.000001,IF(Assumptions!I$96=Assumptions!$C$10+1,(Project_Register!$AT$7-Project_Register!$AQ$7),0),(Project_Register!$AT$7-Project_Register!$AQ$7)*(I10-I11)/(1-Project_Register!$AV$7)))*Project_Register!$Z$7)</f>
        <v>0</v>
      </c>
      <c r="J14" s="58" t="n">
        <f aca="false">IF(J$5="A",Inputs_Actuals!J11,IF((Project_Register!$AT$7-Project_Register!$AQ$7)&lt;=0,0,IF(1-Project_Register!$AV$7&lt;=0.000001,IF(Assumptions!J$96=Assumptions!$C$10+1,(Project_Register!$AT$7-Project_Register!$AQ$7),0),(Project_Register!$AT$7-Project_Register!$AQ$7)*(J10-J11)/(1-Project_Register!$AV$7)))*Project_Register!$Z$7)</f>
        <v>0</v>
      </c>
      <c r="K14" s="58" t="n">
        <f aca="false">IF(K$5="A",Inputs_Actuals!K11,IF((Project_Register!$AT$7-Project_Register!$AQ$7)&lt;=0,0,IF(1-Project_Register!$AV$7&lt;=0.000001,IF(Assumptions!K$96=Assumptions!$C$10+1,(Project_Register!$AT$7-Project_Register!$AQ$7),0),(Project_Register!$AT$7-Project_Register!$AQ$7)*(K10-K11)/(1-Project_Register!$AV$7)))*Project_Register!$Z$7)</f>
        <v>0</v>
      </c>
      <c r="L14" s="58" t="n">
        <f aca="false">IF(L$5="A",Inputs_Actuals!L11,IF((Project_Register!$AT$7-Project_Register!$AQ$7)&lt;=0,0,IF(1-Project_Register!$AV$7&lt;=0.000001,IF(Assumptions!L$96=Assumptions!$C$10+1,(Project_Register!$AT$7-Project_Register!$AQ$7),0),(Project_Register!$AT$7-Project_Register!$AQ$7)*(L10-L11)/(1-Project_Register!$AV$7)))*Project_Register!$Z$7)</f>
        <v>0</v>
      </c>
      <c r="M14" s="58" t="n">
        <f aca="false">IF(M$5="A",Inputs_Actuals!M11,IF((Project_Register!$AT$7-Project_Register!$AQ$7)&lt;=0,0,IF(1-Project_Register!$AV$7&lt;=0.000001,IF(Assumptions!M$96=Assumptions!$C$10+1,(Project_Register!$AT$7-Project_Register!$AQ$7),0),(Project_Register!$AT$7-Project_Register!$AQ$7)*(M10-M11)/(1-Project_Register!$AV$7)))*Project_Register!$Z$7)</f>
        <v>0</v>
      </c>
      <c r="N14" s="58" t="n">
        <f aca="false">IF(N$5="A",Inputs_Actuals!N11,IF((Project_Register!$AT$7-Project_Register!$AQ$7)&lt;=0,0,IF(1-Project_Register!$AV$7&lt;=0.000001,IF(Assumptions!N$96=Assumptions!$C$10+1,(Project_Register!$AT$7-Project_Register!$AQ$7),0),(Project_Register!$AT$7-Project_Register!$AQ$7)*(N10-N11)/(1-Project_Register!$AV$7)))*Project_Register!$Z$7)</f>
        <v>0</v>
      </c>
      <c r="O14" s="58" t="n">
        <f aca="false">IF(O$5="A",Inputs_Actuals!O11,IF((Project_Register!$AT$7-Project_Register!$AQ$7)&lt;=0,0,IF(1-Project_Register!$AV$7&lt;=0.000001,IF(Assumptions!O$96=Assumptions!$C$10+1,(Project_Register!$AT$7-Project_Register!$AQ$7),0),(Project_Register!$AT$7-Project_Register!$AQ$7)*(O10-O11)/(1-Project_Register!$AV$7)))*Project_Register!$Z$7)</f>
        <v>0</v>
      </c>
      <c r="P14" s="58" t="n">
        <f aca="false">IF(P$5="A",Inputs_Actuals!P11,IF((Project_Register!$AT$7-Project_Register!$AQ$7)&lt;=0,0,IF(1-Project_Register!$AV$7&lt;=0.000001,IF(Assumptions!P$96=Assumptions!$C$10+1,(Project_Register!$AT$7-Project_Register!$AQ$7),0),(Project_Register!$AT$7-Project_Register!$AQ$7)*(P10-P11)/(1-Project_Register!$AV$7)))*Project_Register!$Z$7)</f>
        <v>0</v>
      </c>
      <c r="Q14" s="58" t="n">
        <f aca="false">IF(Q$5="A",Inputs_Actuals!Q11,IF((Project_Register!$AT$7-Project_Register!$AQ$7)&lt;=0,0,IF(1-Project_Register!$AV$7&lt;=0.000001,IF(Assumptions!Q$96=Assumptions!$C$10+1,(Project_Register!$AT$7-Project_Register!$AQ$7),0),(Project_Register!$AT$7-Project_Register!$AQ$7)*(Q10-Q11)/(1-Project_Register!$AV$7)))*Project_Register!$Z$7)</f>
        <v>0</v>
      </c>
      <c r="R14" s="58" t="n">
        <f aca="false">IF(R$5="A",Inputs_Actuals!R11,IF((Project_Register!$AT$7-Project_Register!$AQ$7)&lt;=0,0,IF(1-Project_Register!$AV$7&lt;=0.000001,IF(Assumptions!R$96=Assumptions!$C$10+1,(Project_Register!$AT$7-Project_Register!$AQ$7),0),(Project_Register!$AT$7-Project_Register!$AQ$7)*(R10-R11)/(1-Project_Register!$AV$7)))*Project_Register!$Z$7)</f>
        <v>0</v>
      </c>
      <c r="S14" s="58" t="n">
        <f aca="false">IF(S$5="A",Inputs_Actuals!S11,IF((Project_Register!$AT$7-Project_Register!$AQ$7)&lt;=0,0,IF(1-Project_Register!$AV$7&lt;=0.000001,IF(Assumptions!S$96=Assumptions!$C$10+1,(Project_Register!$AT$7-Project_Register!$AQ$7),0),(Project_Register!$AT$7-Project_Register!$AQ$7)*(S10-S11)/(1-Project_Register!$AV$7)))*Project_Register!$Z$7)</f>
        <v>0</v>
      </c>
      <c r="T14" s="58" t="n">
        <f aca="false">IF(T$5="A",Inputs_Actuals!T11,IF((Project_Register!$AT$7-Project_Register!$AQ$7)&lt;=0,0,IF(1-Project_Register!$AV$7&lt;=0.000001,IF(Assumptions!T$96=Assumptions!$C$10+1,(Project_Register!$AT$7-Project_Register!$AQ$7),0),(Project_Register!$AT$7-Project_Register!$AQ$7)*(T10-T11)/(1-Project_Register!$AV$7)))*Project_Register!$Z$7)</f>
        <v>0</v>
      </c>
      <c r="U14" s="58" t="n">
        <f aca="false">IF(U$5="A",Inputs_Actuals!U11,IF((Project_Register!$AT$7-Project_Register!$AQ$7)&lt;=0,0,IF(1-Project_Register!$AV$7&lt;=0.000001,IF(Assumptions!U$96=Assumptions!$C$10+1,(Project_Register!$AT$7-Project_Register!$AQ$7),0),(Project_Register!$AT$7-Project_Register!$AQ$7)*(U10-U11)/(1-Project_Register!$AV$7)))*Project_Register!$Z$7)</f>
        <v>0</v>
      </c>
      <c r="V14" s="58" t="n">
        <f aca="false">IF(V$5="A",Inputs_Actuals!V11,IF((Project_Register!$AT$7-Project_Register!$AQ$7)&lt;=0,0,IF(1-Project_Register!$AV$7&lt;=0.000001,IF(Assumptions!V$96=Assumptions!$C$10+1,(Project_Register!$AT$7-Project_Register!$AQ$7),0),(Project_Register!$AT$7-Project_Register!$AQ$7)*(V10-V11)/(1-Project_Register!$AV$7)))*Project_Register!$Z$7)</f>
        <v>0</v>
      </c>
      <c r="W14" s="58" t="n">
        <f aca="false">IF(W$5="A",Inputs_Actuals!W11,IF((Project_Register!$AT$7-Project_Register!$AQ$7)&lt;=0,0,IF(1-Project_Register!$AV$7&lt;=0.000001,IF(Assumptions!W$96=Assumptions!$C$10+1,(Project_Register!$AT$7-Project_Register!$AQ$7),0),(Project_Register!$AT$7-Project_Register!$AQ$7)*(W10-W11)/(1-Project_Register!$AV$7)))*Project_Register!$Z$7)</f>
        <v>0</v>
      </c>
      <c r="X14" s="58" t="n">
        <f aca="false">IF(X$5="A",Inputs_Actuals!X11,IF((Project_Register!$AT$7-Project_Register!$AQ$7)&lt;=0,0,IF(1-Project_Register!$AV$7&lt;=0.000001,IF(Assumptions!X$96=Assumptions!$C$10+1,(Project_Register!$AT$7-Project_Register!$AQ$7),0),(Project_Register!$AT$7-Project_Register!$AQ$7)*(X10-X11)/(1-Project_Register!$AV$7)))*Project_Register!$Z$7)</f>
        <v>0</v>
      </c>
      <c r="Y14" s="58" t="n">
        <f aca="false">IF(Y$5="A",Inputs_Actuals!Y11,IF((Project_Register!$AT$7-Project_Register!$AQ$7)&lt;=0,0,IF(1-Project_Register!$AV$7&lt;=0.000001,IF(Assumptions!Y$96=Assumptions!$C$10+1,(Project_Register!$AT$7-Project_Register!$AQ$7),0),(Project_Register!$AT$7-Project_Register!$AQ$7)*(Y10-Y11)/(1-Project_Register!$AV$7)))*Project_Register!$Z$7)</f>
        <v>0</v>
      </c>
      <c r="Z14" s="58" t="n">
        <f aca="false">IF(Z$5="A",Inputs_Actuals!Z11,IF((Project_Register!$AT$7-Project_Register!$AQ$7)&lt;=0,0,IF(1-Project_Register!$AV$7&lt;=0.000001,IF(Assumptions!Z$96=Assumptions!$C$10+1,(Project_Register!$AT$7-Project_Register!$AQ$7),0),(Project_Register!$AT$7-Project_Register!$AQ$7)*(Z10-Z11)/(1-Project_Register!$AV$7)))*Project_Register!$Z$7)</f>
        <v>0</v>
      </c>
      <c r="AA14" s="58" t="n">
        <f aca="false">IF(AA$5="A",Inputs_Actuals!AA11,IF((Project_Register!$AT$7-Project_Register!$AQ$7)&lt;=0,0,IF(1-Project_Register!$AV$7&lt;=0.000001,IF(Assumptions!AA$96=Assumptions!$C$10+1,(Project_Register!$AT$7-Project_Register!$AQ$7),0),(Project_Register!$AT$7-Project_Register!$AQ$7)*(AA10-AA11)/(1-Project_Register!$AV$7)))*Project_Register!$Z$7)</f>
        <v>0</v>
      </c>
      <c r="AB14" s="58" t="n">
        <f aca="false">IF(AB$5="A",Inputs_Actuals!AB11,IF((Project_Register!$AT$7-Project_Register!$AQ$7)&lt;=0,0,IF(1-Project_Register!$AV$7&lt;=0.000001,IF(Assumptions!AB$96=Assumptions!$C$10+1,(Project_Register!$AT$7-Project_Register!$AQ$7),0),(Project_Register!$AT$7-Project_Register!$AQ$7)*(AB10-AB11)/(1-Project_Register!$AV$7)))*Project_Register!$Z$7)</f>
        <v>0</v>
      </c>
    </row>
    <row r="15" customFormat="false" ht="15" hidden="false" customHeight="false" outlineLevel="0" collapsed="false">
      <c r="A15" s="27" t="s">
        <v>725</v>
      </c>
      <c r="B15" s="56" t="s">
        <v>722</v>
      </c>
      <c r="C15" s="57" t="n">
        <f aca="false">SUM(E15:P15)</f>
        <v>8504.12</v>
      </c>
      <c r="D15" s="57" t="n">
        <f aca="false">SUM(Q15:AB15)</f>
        <v>0</v>
      </c>
      <c r="E15" s="58" t="n">
        <f aca="false">IF(E$5="A",Inputs_Actuals!E12,IF((Project_Register!$AT$7-Project_Register!$AQ$7)&lt;=0,0,IF(1-Project_Register!$AV$7&lt;=0.000001,IF(Assumptions!E$96=Assumptions!$C$10+1,(Project_Register!$AT$7-Project_Register!$AQ$7),0),(Project_Register!$AT$7-Project_Register!$AQ$7)*(E10-E11)/(1-Project_Register!$AV$7)))*Project_Register!$AA$7)</f>
        <v>3705.32</v>
      </c>
      <c r="F15" s="58" t="n">
        <f aca="false">IF(F$5="A",Inputs_Actuals!F12,IF((Project_Register!$AT$7-Project_Register!$AQ$7)&lt;=0,0,IF(1-Project_Register!$AV$7&lt;=0.000001,IF(Assumptions!F$96=Assumptions!$C$10+1,(Project_Register!$AT$7-Project_Register!$AQ$7),0),(Project_Register!$AT$7-Project_Register!$AQ$7)*(F10-F11)/(1-Project_Register!$AV$7)))*Project_Register!$AA$7)</f>
        <v>3404.59</v>
      </c>
      <c r="G15" s="58" t="n">
        <f aca="false">IF(G$5="A",Inputs_Actuals!G12,IF((Project_Register!$AT$7-Project_Register!$AQ$7)&lt;=0,0,IF(1-Project_Register!$AV$7&lt;=0.000001,IF(Assumptions!G$96=Assumptions!$C$10+1,(Project_Register!$AT$7-Project_Register!$AQ$7),0),(Project_Register!$AT$7-Project_Register!$AQ$7)*(G10-G11)/(1-Project_Register!$AV$7)))*Project_Register!$AA$7)</f>
        <v>1394.21</v>
      </c>
      <c r="H15" s="58" t="n">
        <f aca="false">IF(H$5="A",Inputs_Actuals!H12,IF((Project_Register!$AT$7-Project_Register!$AQ$7)&lt;=0,0,IF(1-Project_Register!$AV$7&lt;=0.000001,IF(Assumptions!H$96=Assumptions!$C$10+1,(Project_Register!$AT$7-Project_Register!$AQ$7),0),(Project_Register!$AT$7-Project_Register!$AQ$7)*(H10-H11)/(1-Project_Register!$AV$7)))*Project_Register!$AA$7)</f>
        <v>0</v>
      </c>
      <c r="I15" s="58" t="n">
        <f aca="false">IF(I$5="A",Inputs_Actuals!I12,IF((Project_Register!$AT$7-Project_Register!$AQ$7)&lt;=0,0,IF(1-Project_Register!$AV$7&lt;=0.000001,IF(Assumptions!I$96=Assumptions!$C$10+1,(Project_Register!$AT$7-Project_Register!$AQ$7),0),(Project_Register!$AT$7-Project_Register!$AQ$7)*(I10-I11)/(1-Project_Register!$AV$7)))*Project_Register!$AA$7)</f>
        <v>0</v>
      </c>
      <c r="J15" s="58" t="n">
        <f aca="false">IF(J$5="A",Inputs_Actuals!J12,IF((Project_Register!$AT$7-Project_Register!$AQ$7)&lt;=0,0,IF(1-Project_Register!$AV$7&lt;=0.000001,IF(Assumptions!J$96=Assumptions!$C$10+1,(Project_Register!$AT$7-Project_Register!$AQ$7),0),(Project_Register!$AT$7-Project_Register!$AQ$7)*(J10-J11)/(1-Project_Register!$AV$7)))*Project_Register!$AA$7)</f>
        <v>0</v>
      </c>
      <c r="K15" s="58" t="n">
        <f aca="false">IF(K$5="A",Inputs_Actuals!K12,IF((Project_Register!$AT$7-Project_Register!$AQ$7)&lt;=0,0,IF(1-Project_Register!$AV$7&lt;=0.000001,IF(Assumptions!K$96=Assumptions!$C$10+1,(Project_Register!$AT$7-Project_Register!$AQ$7),0),(Project_Register!$AT$7-Project_Register!$AQ$7)*(K10-K11)/(1-Project_Register!$AV$7)))*Project_Register!$AA$7)</f>
        <v>0</v>
      </c>
      <c r="L15" s="58" t="n">
        <f aca="false">IF(L$5="A",Inputs_Actuals!L12,IF((Project_Register!$AT$7-Project_Register!$AQ$7)&lt;=0,0,IF(1-Project_Register!$AV$7&lt;=0.000001,IF(Assumptions!L$96=Assumptions!$C$10+1,(Project_Register!$AT$7-Project_Register!$AQ$7),0),(Project_Register!$AT$7-Project_Register!$AQ$7)*(L10-L11)/(1-Project_Register!$AV$7)))*Project_Register!$AA$7)</f>
        <v>0</v>
      </c>
      <c r="M15" s="58" t="n">
        <f aca="false">IF(M$5="A",Inputs_Actuals!M12,IF((Project_Register!$AT$7-Project_Register!$AQ$7)&lt;=0,0,IF(1-Project_Register!$AV$7&lt;=0.000001,IF(Assumptions!M$96=Assumptions!$C$10+1,(Project_Register!$AT$7-Project_Register!$AQ$7),0),(Project_Register!$AT$7-Project_Register!$AQ$7)*(M10-M11)/(1-Project_Register!$AV$7)))*Project_Register!$AA$7)</f>
        <v>0</v>
      </c>
      <c r="N15" s="58" t="n">
        <f aca="false">IF(N$5="A",Inputs_Actuals!N12,IF((Project_Register!$AT$7-Project_Register!$AQ$7)&lt;=0,0,IF(1-Project_Register!$AV$7&lt;=0.000001,IF(Assumptions!N$96=Assumptions!$C$10+1,(Project_Register!$AT$7-Project_Register!$AQ$7),0),(Project_Register!$AT$7-Project_Register!$AQ$7)*(N10-N11)/(1-Project_Register!$AV$7)))*Project_Register!$AA$7)</f>
        <v>0</v>
      </c>
      <c r="O15" s="58" t="n">
        <f aca="false">IF(O$5="A",Inputs_Actuals!O12,IF((Project_Register!$AT$7-Project_Register!$AQ$7)&lt;=0,0,IF(1-Project_Register!$AV$7&lt;=0.000001,IF(Assumptions!O$96=Assumptions!$C$10+1,(Project_Register!$AT$7-Project_Register!$AQ$7),0),(Project_Register!$AT$7-Project_Register!$AQ$7)*(O10-O11)/(1-Project_Register!$AV$7)))*Project_Register!$AA$7)</f>
        <v>0</v>
      </c>
      <c r="P15" s="58" t="n">
        <f aca="false">IF(P$5="A",Inputs_Actuals!P12,IF((Project_Register!$AT$7-Project_Register!$AQ$7)&lt;=0,0,IF(1-Project_Register!$AV$7&lt;=0.000001,IF(Assumptions!P$96=Assumptions!$C$10+1,(Project_Register!$AT$7-Project_Register!$AQ$7),0),(Project_Register!$AT$7-Project_Register!$AQ$7)*(P10-P11)/(1-Project_Register!$AV$7)))*Project_Register!$AA$7)</f>
        <v>0</v>
      </c>
      <c r="Q15" s="58" t="n">
        <f aca="false">IF(Q$5="A",Inputs_Actuals!Q12,IF((Project_Register!$AT$7-Project_Register!$AQ$7)&lt;=0,0,IF(1-Project_Register!$AV$7&lt;=0.000001,IF(Assumptions!Q$96=Assumptions!$C$10+1,(Project_Register!$AT$7-Project_Register!$AQ$7),0),(Project_Register!$AT$7-Project_Register!$AQ$7)*(Q10-Q11)/(1-Project_Register!$AV$7)))*Project_Register!$AA$7)</f>
        <v>0</v>
      </c>
      <c r="R15" s="58" t="n">
        <f aca="false">IF(R$5="A",Inputs_Actuals!R12,IF((Project_Register!$AT$7-Project_Register!$AQ$7)&lt;=0,0,IF(1-Project_Register!$AV$7&lt;=0.000001,IF(Assumptions!R$96=Assumptions!$C$10+1,(Project_Register!$AT$7-Project_Register!$AQ$7),0),(Project_Register!$AT$7-Project_Register!$AQ$7)*(R10-R11)/(1-Project_Register!$AV$7)))*Project_Register!$AA$7)</f>
        <v>0</v>
      </c>
      <c r="S15" s="58" t="n">
        <f aca="false">IF(S$5="A",Inputs_Actuals!S12,IF((Project_Register!$AT$7-Project_Register!$AQ$7)&lt;=0,0,IF(1-Project_Register!$AV$7&lt;=0.000001,IF(Assumptions!S$96=Assumptions!$C$10+1,(Project_Register!$AT$7-Project_Register!$AQ$7),0),(Project_Register!$AT$7-Project_Register!$AQ$7)*(S10-S11)/(1-Project_Register!$AV$7)))*Project_Register!$AA$7)</f>
        <v>0</v>
      </c>
      <c r="T15" s="58" t="n">
        <f aca="false">IF(T$5="A",Inputs_Actuals!T12,IF((Project_Register!$AT$7-Project_Register!$AQ$7)&lt;=0,0,IF(1-Project_Register!$AV$7&lt;=0.000001,IF(Assumptions!T$96=Assumptions!$C$10+1,(Project_Register!$AT$7-Project_Register!$AQ$7),0),(Project_Register!$AT$7-Project_Register!$AQ$7)*(T10-T11)/(1-Project_Register!$AV$7)))*Project_Register!$AA$7)</f>
        <v>0</v>
      </c>
      <c r="U15" s="58" t="n">
        <f aca="false">IF(U$5="A",Inputs_Actuals!U12,IF((Project_Register!$AT$7-Project_Register!$AQ$7)&lt;=0,0,IF(1-Project_Register!$AV$7&lt;=0.000001,IF(Assumptions!U$96=Assumptions!$C$10+1,(Project_Register!$AT$7-Project_Register!$AQ$7),0),(Project_Register!$AT$7-Project_Register!$AQ$7)*(U10-U11)/(1-Project_Register!$AV$7)))*Project_Register!$AA$7)</f>
        <v>0</v>
      </c>
      <c r="V15" s="58" t="n">
        <f aca="false">IF(V$5="A",Inputs_Actuals!V12,IF((Project_Register!$AT$7-Project_Register!$AQ$7)&lt;=0,0,IF(1-Project_Register!$AV$7&lt;=0.000001,IF(Assumptions!V$96=Assumptions!$C$10+1,(Project_Register!$AT$7-Project_Register!$AQ$7),0),(Project_Register!$AT$7-Project_Register!$AQ$7)*(V10-V11)/(1-Project_Register!$AV$7)))*Project_Register!$AA$7)</f>
        <v>0</v>
      </c>
      <c r="W15" s="58" t="n">
        <f aca="false">IF(W$5="A",Inputs_Actuals!W12,IF((Project_Register!$AT$7-Project_Register!$AQ$7)&lt;=0,0,IF(1-Project_Register!$AV$7&lt;=0.000001,IF(Assumptions!W$96=Assumptions!$C$10+1,(Project_Register!$AT$7-Project_Register!$AQ$7),0),(Project_Register!$AT$7-Project_Register!$AQ$7)*(W10-W11)/(1-Project_Register!$AV$7)))*Project_Register!$AA$7)</f>
        <v>0</v>
      </c>
      <c r="X15" s="58" t="n">
        <f aca="false">IF(X$5="A",Inputs_Actuals!X12,IF((Project_Register!$AT$7-Project_Register!$AQ$7)&lt;=0,0,IF(1-Project_Register!$AV$7&lt;=0.000001,IF(Assumptions!X$96=Assumptions!$C$10+1,(Project_Register!$AT$7-Project_Register!$AQ$7),0),(Project_Register!$AT$7-Project_Register!$AQ$7)*(X10-X11)/(1-Project_Register!$AV$7)))*Project_Register!$AA$7)</f>
        <v>0</v>
      </c>
      <c r="Y15" s="58" t="n">
        <f aca="false">IF(Y$5="A",Inputs_Actuals!Y12,IF((Project_Register!$AT$7-Project_Register!$AQ$7)&lt;=0,0,IF(1-Project_Register!$AV$7&lt;=0.000001,IF(Assumptions!Y$96=Assumptions!$C$10+1,(Project_Register!$AT$7-Project_Register!$AQ$7),0),(Project_Register!$AT$7-Project_Register!$AQ$7)*(Y10-Y11)/(1-Project_Register!$AV$7)))*Project_Register!$AA$7)</f>
        <v>0</v>
      </c>
      <c r="Z15" s="58" t="n">
        <f aca="false">IF(Z$5="A",Inputs_Actuals!Z12,IF((Project_Register!$AT$7-Project_Register!$AQ$7)&lt;=0,0,IF(1-Project_Register!$AV$7&lt;=0.000001,IF(Assumptions!Z$96=Assumptions!$C$10+1,(Project_Register!$AT$7-Project_Register!$AQ$7),0),(Project_Register!$AT$7-Project_Register!$AQ$7)*(Z10-Z11)/(1-Project_Register!$AV$7)))*Project_Register!$AA$7)</f>
        <v>0</v>
      </c>
      <c r="AA15" s="58" t="n">
        <f aca="false">IF(AA$5="A",Inputs_Actuals!AA12,IF((Project_Register!$AT$7-Project_Register!$AQ$7)&lt;=0,0,IF(1-Project_Register!$AV$7&lt;=0.000001,IF(Assumptions!AA$96=Assumptions!$C$10+1,(Project_Register!$AT$7-Project_Register!$AQ$7),0),(Project_Register!$AT$7-Project_Register!$AQ$7)*(AA10-AA11)/(1-Project_Register!$AV$7)))*Project_Register!$AA$7)</f>
        <v>0</v>
      </c>
      <c r="AB15" s="58" t="n">
        <f aca="false">IF(AB$5="A",Inputs_Actuals!AB12,IF((Project_Register!$AT$7-Project_Register!$AQ$7)&lt;=0,0,IF(1-Project_Register!$AV$7&lt;=0.000001,IF(Assumptions!AB$96=Assumptions!$C$10+1,(Project_Register!$AT$7-Project_Register!$AQ$7),0),(Project_Register!$AT$7-Project_Register!$AQ$7)*(AB10-AB11)/(1-Project_Register!$AV$7)))*Project_Register!$AA$7)</f>
        <v>0</v>
      </c>
    </row>
    <row r="16" customFormat="false" ht="15" hidden="false" customHeight="false" outlineLevel="0" collapsed="false">
      <c r="A16" s="27" t="s">
        <v>726</v>
      </c>
      <c r="B16" s="56" t="s">
        <v>722</v>
      </c>
      <c r="C16" s="57" t="n">
        <f aca="false">SUM(E16:P16)</f>
        <v>19521.52</v>
      </c>
      <c r="D16" s="57" t="n">
        <f aca="false">SUM(Q16:AB16)</f>
        <v>0</v>
      </c>
      <c r="E16" s="58" t="n">
        <f aca="false">IF(E$5="A",Inputs_Actuals!E13,IF((Project_Register!$AT$7-Project_Register!$AQ$7)&lt;=0,0,IF(1-Project_Register!$AV$7&lt;=0.000001,IF(Assumptions!E$96=Assumptions!$C$10+1,(Project_Register!$AT$7-Project_Register!$AQ$7),0),(Project_Register!$AT$7-Project_Register!$AQ$7)*(E10-E11)/(1-Project_Register!$AV$7)))*Project_Register!$AB$7)</f>
        <v>8828.56</v>
      </c>
      <c r="F16" s="58" t="n">
        <f aca="false">IF(F$5="A",Inputs_Actuals!F13,IF((Project_Register!$AT$7-Project_Register!$AQ$7)&lt;=0,0,IF(1-Project_Register!$AV$7&lt;=0.000001,IF(Assumptions!F$96=Assumptions!$C$10+1,(Project_Register!$AT$7-Project_Register!$AQ$7),0),(Project_Register!$AT$7-Project_Register!$AQ$7)*(F10-F11)/(1-Project_Register!$AV$7)))*Project_Register!$AB$7)</f>
        <v>7071.15</v>
      </c>
      <c r="G16" s="58" t="n">
        <f aca="false">IF(G$5="A",Inputs_Actuals!G13,IF((Project_Register!$AT$7-Project_Register!$AQ$7)&lt;=0,0,IF(1-Project_Register!$AV$7&lt;=0.000001,IF(Assumptions!G$96=Assumptions!$C$10+1,(Project_Register!$AT$7-Project_Register!$AQ$7),0),(Project_Register!$AT$7-Project_Register!$AQ$7)*(G10-G11)/(1-Project_Register!$AV$7)))*Project_Register!$AB$7)</f>
        <v>3621.81</v>
      </c>
      <c r="H16" s="58" t="n">
        <f aca="false">IF(H$5="A",Inputs_Actuals!H13,IF((Project_Register!$AT$7-Project_Register!$AQ$7)&lt;=0,0,IF(1-Project_Register!$AV$7&lt;=0.000001,IF(Assumptions!H$96=Assumptions!$C$10+1,(Project_Register!$AT$7-Project_Register!$AQ$7),0),(Project_Register!$AT$7-Project_Register!$AQ$7)*(H10-H11)/(1-Project_Register!$AV$7)))*Project_Register!$AB$7)</f>
        <v>0</v>
      </c>
      <c r="I16" s="58" t="n">
        <f aca="false">IF(I$5="A",Inputs_Actuals!I13,IF((Project_Register!$AT$7-Project_Register!$AQ$7)&lt;=0,0,IF(1-Project_Register!$AV$7&lt;=0.000001,IF(Assumptions!I$96=Assumptions!$C$10+1,(Project_Register!$AT$7-Project_Register!$AQ$7),0),(Project_Register!$AT$7-Project_Register!$AQ$7)*(I10-I11)/(1-Project_Register!$AV$7)))*Project_Register!$AB$7)</f>
        <v>0</v>
      </c>
      <c r="J16" s="58" t="n">
        <f aca="false">IF(J$5="A",Inputs_Actuals!J13,IF((Project_Register!$AT$7-Project_Register!$AQ$7)&lt;=0,0,IF(1-Project_Register!$AV$7&lt;=0.000001,IF(Assumptions!J$96=Assumptions!$C$10+1,(Project_Register!$AT$7-Project_Register!$AQ$7),0),(Project_Register!$AT$7-Project_Register!$AQ$7)*(J10-J11)/(1-Project_Register!$AV$7)))*Project_Register!$AB$7)</f>
        <v>0</v>
      </c>
      <c r="K16" s="58" t="n">
        <f aca="false">IF(K$5="A",Inputs_Actuals!K13,IF((Project_Register!$AT$7-Project_Register!$AQ$7)&lt;=0,0,IF(1-Project_Register!$AV$7&lt;=0.000001,IF(Assumptions!K$96=Assumptions!$C$10+1,(Project_Register!$AT$7-Project_Register!$AQ$7),0),(Project_Register!$AT$7-Project_Register!$AQ$7)*(K10-K11)/(1-Project_Register!$AV$7)))*Project_Register!$AB$7)</f>
        <v>0</v>
      </c>
      <c r="L16" s="58" t="n">
        <f aca="false">IF(L$5="A",Inputs_Actuals!L13,IF((Project_Register!$AT$7-Project_Register!$AQ$7)&lt;=0,0,IF(1-Project_Register!$AV$7&lt;=0.000001,IF(Assumptions!L$96=Assumptions!$C$10+1,(Project_Register!$AT$7-Project_Register!$AQ$7),0),(Project_Register!$AT$7-Project_Register!$AQ$7)*(L10-L11)/(1-Project_Register!$AV$7)))*Project_Register!$AB$7)</f>
        <v>0</v>
      </c>
      <c r="M16" s="58" t="n">
        <f aca="false">IF(M$5="A",Inputs_Actuals!M13,IF((Project_Register!$AT$7-Project_Register!$AQ$7)&lt;=0,0,IF(1-Project_Register!$AV$7&lt;=0.000001,IF(Assumptions!M$96=Assumptions!$C$10+1,(Project_Register!$AT$7-Project_Register!$AQ$7),0),(Project_Register!$AT$7-Project_Register!$AQ$7)*(M10-M11)/(1-Project_Register!$AV$7)))*Project_Register!$AB$7)</f>
        <v>0</v>
      </c>
      <c r="N16" s="58" t="n">
        <f aca="false">IF(N$5="A",Inputs_Actuals!N13,IF((Project_Register!$AT$7-Project_Register!$AQ$7)&lt;=0,0,IF(1-Project_Register!$AV$7&lt;=0.000001,IF(Assumptions!N$96=Assumptions!$C$10+1,(Project_Register!$AT$7-Project_Register!$AQ$7),0),(Project_Register!$AT$7-Project_Register!$AQ$7)*(N10-N11)/(1-Project_Register!$AV$7)))*Project_Register!$AB$7)</f>
        <v>0</v>
      </c>
      <c r="O16" s="58" t="n">
        <f aca="false">IF(O$5="A",Inputs_Actuals!O13,IF((Project_Register!$AT$7-Project_Register!$AQ$7)&lt;=0,0,IF(1-Project_Register!$AV$7&lt;=0.000001,IF(Assumptions!O$96=Assumptions!$C$10+1,(Project_Register!$AT$7-Project_Register!$AQ$7),0),(Project_Register!$AT$7-Project_Register!$AQ$7)*(O10-O11)/(1-Project_Register!$AV$7)))*Project_Register!$AB$7)</f>
        <v>0</v>
      </c>
      <c r="P16" s="58" t="n">
        <f aca="false">IF(P$5="A",Inputs_Actuals!P13,IF((Project_Register!$AT$7-Project_Register!$AQ$7)&lt;=0,0,IF(1-Project_Register!$AV$7&lt;=0.000001,IF(Assumptions!P$96=Assumptions!$C$10+1,(Project_Register!$AT$7-Project_Register!$AQ$7),0),(Project_Register!$AT$7-Project_Register!$AQ$7)*(P10-P11)/(1-Project_Register!$AV$7)))*Project_Register!$AB$7)</f>
        <v>0</v>
      </c>
      <c r="Q16" s="58" t="n">
        <f aca="false">IF(Q$5="A",Inputs_Actuals!Q13,IF((Project_Register!$AT$7-Project_Register!$AQ$7)&lt;=0,0,IF(1-Project_Register!$AV$7&lt;=0.000001,IF(Assumptions!Q$96=Assumptions!$C$10+1,(Project_Register!$AT$7-Project_Register!$AQ$7),0),(Project_Register!$AT$7-Project_Register!$AQ$7)*(Q10-Q11)/(1-Project_Register!$AV$7)))*Project_Register!$AB$7)</f>
        <v>0</v>
      </c>
      <c r="R16" s="58" t="n">
        <f aca="false">IF(R$5="A",Inputs_Actuals!R13,IF((Project_Register!$AT$7-Project_Register!$AQ$7)&lt;=0,0,IF(1-Project_Register!$AV$7&lt;=0.000001,IF(Assumptions!R$96=Assumptions!$C$10+1,(Project_Register!$AT$7-Project_Register!$AQ$7),0),(Project_Register!$AT$7-Project_Register!$AQ$7)*(R10-R11)/(1-Project_Register!$AV$7)))*Project_Register!$AB$7)</f>
        <v>0</v>
      </c>
      <c r="S16" s="58" t="n">
        <f aca="false">IF(S$5="A",Inputs_Actuals!S13,IF((Project_Register!$AT$7-Project_Register!$AQ$7)&lt;=0,0,IF(1-Project_Register!$AV$7&lt;=0.000001,IF(Assumptions!S$96=Assumptions!$C$10+1,(Project_Register!$AT$7-Project_Register!$AQ$7),0),(Project_Register!$AT$7-Project_Register!$AQ$7)*(S10-S11)/(1-Project_Register!$AV$7)))*Project_Register!$AB$7)</f>
        <v>0</v>
      </c>
      <c r="T16" s="58" t="n">
        <f aca="false">IF(T$5="A",Inputs_Actuals!T13,IF((Project_Register!$AT$7-Project_Register!$AQ$7)&lt;=0,0,IF(1-Project_Register!$AV$7&lt;=0.000001,IF(Assumptions!T$96=Assumptions!$C$10+1,(Project_Register!$AT$7-Project_Register!$AQ$7),0),(Project_Register!$AT$7-Project_Register!$AQ$7)*(T10-T11)/(1-Project_Register!$AV$7)))*Project_Register!$AB$7)</f>
        <v>0</v>
      </c>
      <c r="U16" s="58" t="n">
        <f aca="false">IF(U$5="A",Inputs_Actuals!U13,IF((Project_Register!$AT$7-Project_Register!$AQ$7)&lt;=0,0,IF(1-Project_Register!$AV$7&lt;=0.000001,IF(Assumptions!U$96=Assumptions!$C$10+1,(Project_Register!$AT$7-Project_Register!$AQ$7),0),(Project_Register!$AT$7-Project_Register!$AQ$7)*(U10-U11)/(1-Project_Register!$AV$7)))*Project_Register!$AB$7)</f>
        <v>0</v>
      </c>
      <c r="V16" s="58" t="n">
        <f aca="false">IF(V$5="A",Inputs_Actuals!V13,IF((Project_Register!$AT$7-Project_Register!$AQ$7)&lt;=0,0,IF(1-Project_Register!$AV$7&lt;=0.000001,IF(Assumptions!V$96=Assumptions!$C$10+1,(Project_Register!$AT$7-Project_Register!$AQ$7),0),(Project_Register!$AT$7-Project_Register!$AQ$7)*(V10-V11)/(1-Project_Register!$AV$7)))*Project_Register!$AB$7)</f>
        <v>0</v>
      </c>
      <c r="W16" s="58" t="n">
        <f aca="false">IF(W$5="A",Inputs_Actuals!W13,IF((Project_Register!$AT$7-Project_Register!$AQ$7)&lt;=0,0,IF(1-Project_Register!$AV$7&lt;=0.000001,IF(Assumptions!W$96=Assumptions!$C$10+1,(Project_Register!$AT$7-Project_Register!$AQ$7),0),(Project_Register!$AT$7-Project_Register!$AQ$7)*(W10-W11)/(1-Project_Register!$AV$7)))*Project_Register!$AB$7)</f>
        <v>0</v>
      </c>
      <c r="X16" s="58" t="n">
        <f aca="false">IF(X$5="A",Inputs_Actuals!X13,IF((Project_Register!$AT$7-Project_Register!$AQ$7)&lt;=0,0,IF(1-Project_Register!$AV$7&lt;=0.000001,IF(Assumptions!X$96=Assumptions!$C$10+1,(Project_Register!$AT$7-Project_Register!$AQ$7),0),(Project_Register!$AT$7-Project_Register!$AQ$7)*(X10-X11)/(1-Project_Register!$AV$7)))*Project_Register!$AB$7)</f>
        <v>0</v>
      </c>
      <c r="Y16" s="58" t="n">
        <f aca="false">IF(Y$5="A",Inputs_Actuals!Y13,IF((Project_Register!$AT$7-Project_Register!$AQ$7)&lt;=0,0,IF(1-Project_Register!$AV$7&lt;=0.000001,IF(Assumptions!Y$96=Assumptions!$C$10+1,(Project_Register!$AT$7-Project_Register!$AQ$7),0),(Project_Register!$AT$7-Project_Register!$AQ$7)*(Y10-Y11)/(1-Project_Register!$AV$7)))*Project_Register!$AB$7)</f>
        <v>0</v>
      </c>
      <c r="Z16" s="58" t="n">
        <f aca="false">IF(Z$5="A",Inputs_Actuals!Z13,IF((Project_Register!$AT$7-Project_Register!$AQ$7)&lt;=0,0,IF(1-Project_Register!$AV$7&lt;=0.000001,IF(Assumptions!Z$96=Assumptions!$C$10+1,(Project_Register!$AT$7-Project_Register!$AQ$7),0),(Project_Register!$AT$7-Project_Register!$AQ$7)*(Z10-Z11)/(1-Project_Register!$AV$7)))*Project_Register!$AB$7)</f>
        <v>0</v>
      </c>
      <c r="AA16" s="58" t="n">
        <f aca="false">IF(AA$5="A",Inputs_Actuals!AA13,IF((Project_Register!$AT$7-Project_Register!$AQ$7)&lt;=0,0,IF(1-Project_Register!$AV$7&lt;=0.000001,IF(Assumptions!AA$96=Assumptions!$C$10+1,(Project_Register!$AT$7-Project_Register!$AQ$7),0),(Project_Register!$AT$7-Project_Register!$AQ$7)*(AA10-AA11)/(1-Project_Register!$AV$7)))*Project_Register!$AB$7)</f>
        <v>0</v>
      </c>
      <c r="AB16" s="58" t="n">
        <f aca="false">IF(AB$5="A",Inputs_Actuals!AB13,IF((Project_Register!$AT$7-Project_Register!$AQ$7)&lt;=0,0,IF(1-Project_Register!$AV$7&lt;=0.000001,IF(Assumptions!AB$96=Assumptions!$C$10+1,(Project_Register!$AT$7-Project_Register!$AQ$7),0),(Project_Register!$AT$7-Project_Register!$AQ$7)*(AB10-AB11)/(1-Project_Register!$AV$7)))*Project_Register!$AB$7)</f>
        <v>0</v>
      </c>
    </row>
    <row r="17" customFormat="false" ht="15" hidden="false" customHeight="false" outlineLevel="0" collapsed="false">
      <c r="A17" s="67" t="s">
        <v>727</v>
      </c>
      <c r="B17" s="68" t="s">
        <v>728</v>
      </c>
      <c r="C17" s="69" t="n">
        <f aca="false">SUM(E17:P17)</f>
        <v>282353.98</v>
      </c>
      <c r="D17" s="69" t="n">
        <f aca="false">SUM(Q17:AB17)</f>
        <v>0</v>
      </c>
      <c r="E17" s="69" t="n">
        <f aca="false">SUM(E12:E16)</f>
        <v>126726.14</v>
      </c>
      <c r="F17" s="69" t="n">
        <f aca="false">SUM(F12:F16)</f>
        <v>105238.29</v>
      </c>
      <c r="G17" s="69" t="n">
        <f aca="false">SUM(G12:G16)</f>
        <v>50389.55</v>
      </c>
      <c r="H17" s="69" t="n">
        <f aca="false">SUM(H12:H16)</f>
        <v>0</v>
      </c>
      <c r="I17" s="69" t="n">
        <f aca="false">SUM(I12:I16)</f>
        <v>0</v>
      </c>
      <c r="J17" s="69" t="n">
        <f aca="false">SUM(J12:J16)</f>
        <v>0</v>
      </c>
      <c r="K17" s="69" t="n">
        <f aca="false">SUM(K12:K16)</f>
        <v>0</v>
      </c>
      <c r="L17" s="69" t="n">
        <f aca="false">SUM(L12:L16)</f>
        <v>0</v>
      </c>
      <c r="M17" s="69" t="n">
        <f aca="false">SUM(M12:M16)</f>
        <v>0</v>
      </c>
      <c r="N17" s="69" t="n">
        <f aca="false">SUM(N12:N16)</f>
        <v>0</v>
      </c>
      <c r="O17" s="69" t="n">
        <f aca="false">SUM(O12:O16)</f>
        <v>0</v>
      </c>
      <c r="P17" s="69" t="n">
        <f aca="false">SUM(P12:P16)</f>
        <v>0</v>
      </c>
      <c r="Q17" s="69" t="n">
        <f aca="false">SUM(Q12:Q16)</f>
        <v>0</v>
      </c>
      <c r="R17" s="69" t="n">
        <f aca="false">SUM(R12:R16)</f>
        <v>0</v>
      </c>
      <c r="S17" s="69" t="n">
        <f aca="false">SUM(S12:S16)</f>
        <v>0</v>
      </c>
      <c r="T17" s="69" t="n">
        <f aca="false">SUM(T12:T16)</f>
        <v>0</v>
      </c>
      <c r="U17" s="69" t="n">
        <f aca="false">SUM(U12:U16)</f>
        <v>0</v>
      </c>
      <c r="V17" s="69" t="n">
        <f aca="false">SUM(V12:V16)</f>
        <v>0</v>
      </c>
      <c r="W17" s="69" t="n">
        <f aca="false">SUM(W12:W16)</f>
        <v>0</v>
      </c>
      <c r="X17" s="69" t="n">
        <f aca="false">SUM(X12:X16)</f>
        <v>0</v>
      </c>
      <c r="Y17" s="69" t="n">
        <f aca="false">SUM(Y12:Y16)</f>
        <v>0</v>
      </c>
      <c r="Z17" s="69" t="n">
        <f aca="false">SUM(Z12:Z16)</f>
        <v>0</v>
      </c>
      <c r="AA17" s="69" t="n">
        <f aca="false">SUM(AA12:AA16)</f>
        <v>0</v>
      </c>
      <c r="AB17" s="69" t="n">
        <f aca="false">SUM(AB12:AB16)</f>
        <v>0</v>
      </c>
    </row>
    <row r="18" customFormat="false" ht="15" hidden="false" customHeight="false" outlineLevel="0" collapsed="false">
      <c r="A18" s="27" t="s">
        <v>729</v>
      </c>
      <c r="B18" s="56" t="s">
        <v>730</v>
      </c>
      <c r="C18" s="57" t="n">
        <f aca="false">P18</f>
        <v>851000</v>
      </c>
      <c r="D18" s="57" t="n">
        <f aca="false">AB18</f>
        <v>851000</v>
      </c>
      <c r="E18" s="58" t="n">
        <f aca="false">Project_Register!$AC$7+E17</f>
        <v>695372.16</v>
      </c>
      <c r="F18" s="70" t="n">
        <f aca="false">E18+F17</f>
        <v>800610.45</v>
      </c>
      <c r="G18" s="70" t="n">
        <f aca="false">F18+G17</f>
        <v>851000</v>
      </c>
      <c r="H18" s="70" t="n">
        <f aca="false">G18+H17</f>
        <v>851000</v>
      </c>
      <c r="I18" s="70" t="n">
        <f aca="false">H18+I17</f>
        <v>851000</v>
      </c>
      <c r="J18" s="70" t="n">
        <f aca="false">I18+J17</f>
        <v>851000</v>
      </c>
      <c r="K18" s="70" t="n">
        <f aca="false">J18+K17</f>
        <v>851000</v>
      </c>
      <c r="L18" s="70" t="n">
        <f aca="false">K18+L17</f>
        <v>851000</v>
      </c>
      <c r="M18" s="70" t="n">
        <f aca="false">L18+M17</f>
        <v>851000</v>
      </c>
      <c r="N18" s="70" t="n">
        <f aca="false">M18+N17</f>
        <v>851000</v>
      </c>
      <c r="O18" s="70" t="n">
        <f aca="false">N18+O17</f>
        <v>851000</v>
      </c>
      <c r="P18" s="70" t="n">
        <f aca="false">O18+P17</f>
        <v>851000</v>
      </c>
      <c r="Q18" s="70" t="n">
        <f aca="false">P18+Q17</f>
        <v>851000</v>
      </c>
      <c r="R18" s="70" t="n">
        <f aca="false">Q18+R17</f>
        <v>851000</v>
      </c>
      <c r="S18" s="70" t="n">
        <f aca="false">R18+S17</f>
        <v>851000</v>
      </c>
      <c r="T18" s="70" t="n">
        <f aca="false">S18+T17</f>
        <v>851000</v>
      </c>
      <c r="U18" s="70" t="n">
        <f aca="false">T18+U17</f>
        <v>851000</v>
      </c>
      <c r="V18" s="70" t="n">
        <f aca="false">U18+V17</f>
        <v>851000</v>
      </c>
      <c r="W18" s="70" t="n">
        <f aca="false">V18+W17</f>
        <v>851000</v>
      </c>
      <c r="X18" s="70" t="n">
        <f aca="false">W18+X17</f>
        <v>851000</v>
      </c>
      <c r="Y18" s="70" t="n">
        <f aca="false">X18+Y17</f>
        <v>851000</v>
      </c>
      <c r="Z18" s="70" t="n">
        <f aca="false">Y18+Z17</f>
        <v>851000</v>
      </c>
      <c r="AA18" s="70" t="n">
        <f aca="false">Z18+AA17</f>
        <v>851000</v>
      </c>
      <c r="AB18" s="70" t="n">
        <f aca="false">AA18+AB17</f>
        <v>851000</v>
      </c>
    </row>
    <row r="19" customFormat="false" ht="15" hidden="false" customHeight="false" outlineLevel="0" collapsed="false">
      <c r="A19" s="27" t="s">
        <v>731</v>
      </c>
      <c r="B19" s="56" t="s">
        <v>732</v>
      </c>
      <c r="C19" s="57" t="n">
        <f aca="false">P19</f>
        <v>851000</v>
      </c>
      <c r="D19" s="57" t="n">
        <f aca="false">AB19</f>
        <v>851000</v>
      </c>
      <c r="E19" s="58" t="n">
        <f aca="false">IF(E$5="A",IF(E18+N(Inputs_Actuals!E14)&lt;=0,Project_Register!$AP$7,E18+N(Inputs_Actuals!E14)),Project_Register!$AT$7)</f>
        <v>851000</v>
      </c>
      <c r="F19" s="58" t="n">
        <f aca="false">IF(F$5="A",IF(F18+N(Inputs_Actuals!F14)&lt;=0,Project_Register!$AP$7,F18+N(Inputs_Actuals!F14)),Project_Register!$AT$7)</f>
        <v>851000</v>
      </c>
      <c r="G19" s="58" t="n">
        <f aca="false">IF(G$5="A",IF(G18+N(Inputs_Actuals!G14)&lt;=0,Project_Register!$AP$7,G18+N(Inputs_Actuals!G14)),Project_Register!$AT$7)</f>
        <v>851000</v>
      </c>
      <c r="H19" s="58" t="n">
        <f aca="false">IF(H$5="A",IF(H18+N(Inputs_Actuals!H14)&lt;=0,Project_Register!$AP$7,H18+N(Inputs_Actuals!H14)),Project_Register!$AT$7)</f>
        <v>851000</v>
      </c>
      <c r="I19" s="58" t="n">
        <f aca="false">IF(I$5="A",IF(I18+N(Inputs_Actuals!I14)&lt;=0,Project_Register!$AP$7,I18+N(Inputs_Actuals!I14)),Project_Register!$AT$7)</f>
        <v>851000</v>
      </c>
      <c r="J19" s="58" t="n">
        <f aca="false">IF(J$5="A",IF(J18+N(Inputs_Actuals!J14)&lt;=0,Project_Register!$AP$7,J18+N(Inputs_Actuals!J14)),Project_Register!$AT$7)</f>
        <v>851000</v>
      </c>
      <c r="K19" s="58" t="n">
        <f aca="false">IF(K$5="A",IF(K18+N(Inputs_Actuals!K14)&lt;=0,Project_Register!$AP$7,K18+N(Inputs_Actuals!K14)),Project_Register!$AT$7)</f>
        <v>851000</v>
      </c>
      <c r="L19" s="58" t="n">
        <f aca="false">IF(L$5="A",IF(L18+N(Inputs_Actuals!L14)&lt;=0,Project_Register!$AP$7,L18+N(Inputs_Actuals!L14)),Project_Register!$AT$7)</f>
        <v>851000</v>
      </c>
      <c r="M19" s="58" t="n">
        <f aca="false">IF(M$5="A",IF(M18+N(Inputs_Actuals!M14)&lt;=0,Project_Register!$AP$7,M18+N(Inputs_Actuals!M14)),Project_Register!$AT$7)</f>
        <v>851000</v>
      </c>
      <c r="N19" s="58" t="n">
        <f aca="false">IF(N$5="A",IF(N18+N(Inputs_Actuals!N14)&lt;=0,Project_Register!$AP$7,N18+N(Inputs_Actuals!N14)),Project_Register!$AT$7)</f>
        <v>851000</v>
      </c>
      <c r="O19" s="58" t="n">
        <f aca="false">IF(O$5="A",IF(O18+N(Inputs_Actuals!O14)&lt;=0,Project_Register!$AP$7,O18+N(Inputs_Actuals!O14)),Project_Register!$AT$7)</f>
        <v>851000</v>
      </c>
      <c r="P19" s="58" t="n">
        <f aca="false">IF(P$5="A",IF(P18+N(Inputs_Actuals!P14)&lt;=0,Project_Register!$AP$7,P18+N(Inputs_Actuals!P14)),Project_Register!$AT$7)</f>
        <v>851000</v>
      </c>
      <c r="Q19" s="58" t="n">
        <f aca="false">IF(Q$5="A",IF(Q18+N(Inputs_Actuals!Q14)&lt;=0,Project_Register!$AP$7,Q18+N(Inputs_Actuals!Q14)),Project_Register!$AT$7)</f>
        <v>851000</v>
      </c>
      <c r="R19" s="58" t="n">
        <f aca="false">IF(R$5="A",IF(R18+N(Inputs_Actuals!R14)&lt;=0,Project_Register!$AP$7,R18+N(Inputs_Actuals!R14)),Project_Register!$AT$7)</f>
        <v>851000</v>
      </c>
      <c r="S19" s="58" t="n">
        <f aca="false">IF(S$5="A",IF(S18+N(Inputs_Actuals!S14)&lt;=0,Project_Register!$AP$7,S18+N(Inputs_Actuals!S14)),Project_Register!$AT$7)</f>
        <v>851000</v>
      </c>
      <c r="T19" s="58" t="n">
        <f aca="false">IF(T$5="A",IF(T18+N(Inputs_Actuals!T14)&lt;=0,Project_Register!$AP$7,T18+N(Inputs_Actuals!T14)),Project_Register!$AT$7)</f>
        <v>851000</v>
      </c>
      <c r="U19" s="58" t="n">
        <f aca="false">IF(U$5="A",IF(U18+N(Inputs_Actuals!U14)&lt;=0,Project_Register!$AP$7,U18+N(Inputs_Actuals!U14)),Project_Register!$AT$7)</f>
        <v>851000</v>
      </c>
      <c r="V19" s="58" t="n">
        <f aca="false">IF(V$5="A",IF(V18+N(Inputs_Actuals!V14)&lt;=0,Project_Register!$AP$7,V18+N(Inputs_Actuals!V14)),Project_Register!$AT$7)</f>
        <v>851000</v>
      </c>
      <c r="W19" s="58" t="n">
        <f aca="false">IF(W$5="A",IF(W18+N(Inputs_Actuals!W14)&lt;=0,Project_Register!$AP$7,W18+N(Inputs_Actuals!W14)),Project_Register!$AT$7)</f>
        <v>851000</v>
      </c>
      <c r="X19" s="58" t="n">
        <f aca="false">IF(X$5="A",IF(X18+N(Inputs_Actuals!X14)&lt;=0,Project_Register!$AP$7,X18+N(Inputs_Actuals!X14)),Project_Register!$AT$7)</f>
        <v>851000</v>
      </c>
      <c r="Y19" s="58" t="n">
        <f aca="false">IF(Y$5="A",IF(Y18+N(Inputs_Actuals!Y14)&lt;=0,Project_Register!$AP$7,Y18+N(Inputs_Actuals!Y14)),Project_Register!$AT$7)</f>
        <v>851000</v>
      </c>
      <c r="Z19" s="58" t="n">
        <f aca="false">IF(Z$5="A",IF(Z18+N(Inputs_Actuals!Z14)&lt;=0,Project_Register!$AP$7,Z18+N(Inputs_Actuals!Z14)),Project_Register!$AT$7)</f>
        <v>851000</v>
      </c>
      <c r="AA19" s="58" t="n">
        <f aca="false">IF(AA$5="A",IF(AA18+N(Inputs_Actuals!AA14)&lt;=0,Project_Register!$AP$7,AA18+N(Inputs_Actuals!AA14)),Project_Register!$AT$7)</f>
        <v>851000</v>
      </c>
      <c r="AB19" s="58" t="n">
        <f aca="false">IF(AB$5="A",IF(AB18+N(Inputs_Actuals!AB14)&lt;=0,Project_Register!$AP$7,AB18+N(Inputs_Actuals!AB14)),Project_Register!$AT$7)</f>
        <v>851000</v>
      </c>
    </row>
    <row r="20" customFormat="false" ht="15" hidden="false" customHeight="false" outlineLevel="0" collapsed="false">
      <c r="A20" s="27" t="s">
        <v>733</v>
      </c>
      <c r="B20" s="56" t="s">
        <v>734</v>
      </c>
      <c r="C20" s="59" t="n">
        <f aca="false">P20</f>
        <v>1</v>
      </c>
      <c r="D20" s="59" t="n">
        <f aca="false">AB20</f>
        <v>1</v>
      </c>
      <c r="E20" s="60" t="n">
        <f aca="false">IF(E19&lt;=0,0,MIN(1,E18/E19))</f>
        <v>0.81712357226792</v>
      </c>
      <c r="F20" s="60" t="n">
        <f aca="false">IF(F19&lt;=0,0,MIN(1,F18/F19))</f>
        <v>0.940787837837838</v>
      </c>
      <c r="G20" s="60" t="n">
        <f aca="false">IF(G19&lt;=0,0,MIN(1,G18/G19))</f>
        <v>1</v>
      </c>
      <c r="H20" s="60" t="n">
        <f aca="false">IF(H19&lt;=0,0,MIN(1,H18/H19))</f>
        <v>1</v>
      </c>
      <c r="I20" s="60" t="n">
        <f aca="false">IF(I19&lt;=0,0,MIN(1,I18/I19))</f>
        <v>1</v>
      </c>
      <c r="J20" s="60" t="n">
        <f aca="false">IF(J19&lt;=0,0,MIN(1,J18/J19))</f>
        <v>1</v>
      </c>
      <c r="K20" s="60" t="n">
        <f aca="false">IF(K19&lt;=0,0,MIN(1,K18/K19))</f>
        <v>1</v>
      </c>
      <c r="L20" s="60" t="n">
        <f aca="false">IF(L19&lt;=0,0,MIN(1,L18/L19))</f>
        <v>1</v>
      </c>
      <c r="M20" s="60" t="n">
        <f aca="false">IF(M19&lt;=0,0,MIN(1,M18/M19))</f>
        <v>1</v>
      </c>
      <c r="N20" s="60" t="n">
        <f aca="false">IF(N19&lt;=0,0,MIN(1,N18/N19))</f>
        <v>1</v>
      </c>
      <c r="O20" s="60" t="n">
        <f aca="false">IF(O19&lt;=0,0,MIN(1,O18/O19))</f>
        <v>1</v>
      </c>
      <c r="P20" s="60" t="n">
        <f aca="false">IF(P19&lt;=0,0,MIN(1,P18/P19))</f>
        <v>1</v>
      </c>
      <c r="Q20" s="60" t="n">
        <f aca="false">IF(Q19&lt;=0,0,MIN(1,Q18/Q19))</f>
        <v>1</v>
      </c>
      <c r="R20" s="60" t="n">
        <f aca="false">IF(R19&lt;=0,0,MIN(1,R18/R19))</f>
        <v>1</v>
      </c>
      <c r="S20" s="60" t="n">
        <f aca="false">IF(S19&lt;=0,0,MIN(1,S18/S19))</f>
        <v>1</v>
      </c>
      <c r="T20" s="60" t="n">
        <f aca="false">IF(T19&lt;=0,0,MIN(1,T18/T19))</f>
        <v>1</v>
      </c>
      <c r="U20" s="60" t="n">
        <f aca="false">IF(U19&lt;=0,0,MIN(1,U18/U19))</f>
        <v>1</v>
      </c>
      <c r="V20" s="60" t="n">
        <f aca="false">IF(V19&lt;=0,0,MIN(1,V18/V19))</f>
        <v>1</v>
      </c>
      <c r="W20" s="60" t="n">
        <f aca="false">IF(W19&lt;=0,0,MIN(1,W18/W19))</f>
        <v>1</v>
      </c>
      <c r="X20" s="60" t="n">
        <f aca="false">IF(X19&lt;=0,0,MIN(1,X18/X19))</f>
        <v>1</v>
      </c>
      <c r="Y20" s="60" t="n">
        <f aca="false">IF(Y19&lt;=0,0,MIN(1,Y18/Y19))</f>
        <v>1</v>
      </c>
      <c r="Z20" s="60" t="n">
        <f aca="false">IF(Z19&lt;=0,0,MIN(1,Z18/Z19))</f>
        <v>1</v>
      </c>
      <c r="AA20" s="60" t="n">
        <f aca="false">IF(AA19&lt;=0,0,MIN(1,AA18/AA19))</f>
        <v>1</v>
      </c>
      <c r="AB20" s="60" t="n">
        <f aca="false">IF(AB19&lt;=0,0,MIN(1,AB18/AB19))</f>
        <v>1</v>
      </c>
    </row>
    <row r="21" customFormat="false" ht="15" hidden="false" customHeight="false" outlineLevel="0" collapsed="false">
      <c r="A21" s="27" t="s">
        <v>735</v>
      </c>
      <c r="B21" s="56" t="s">
        <v>736</v>
      </c>
      <c r="C21" s="57" t="n">
        <f aca="false">P21</f>
        <v>63700</v>
      </c>
      <c r="D21" s="57" t="n">
        <f aca="false">AB21</f>
        <v>63700</v>
      </c>
      <c r="E21" s="58" t="n">
        <f aca="false">SUMIFS(Variations!$H$6:$H$21,Variations!$B$6:$B$21,"CF-2501",Variations!$F$6:$F$21,"Approved",Variations!$G$6:$G$21,"&lt;="&amp;Assumptions!E$95)</f>
        <v>22400</v>
      </c>
      <c r="F21" s="58" t="n">
        <f aca="false">SUMIFS(Variations!$H$6:$H$21,Variations!$B$6:$B$21,"CF-2501",Variations!$F$6:$F$21,"Approved",Variations!$G$6:$G$21,"&lt;="&amp;Assumptions!F$95)</f>
        <v>22400</v>
      </c>
      <c r="G21" s="58" t="n">
        <f aca="false">SUMIFS(Variations!$H$6:$H$21,Variations!$B$6:$B$21,"CF-2501",Variations!$F$6:$F$21,"Approved",Variations!$G$6:$G$21,"&lt;="&amp;Assumptions!G$95)</f>
        <v>51000</v>
      </c>
      <c r="H21" s="58" t="n">
        <f aca="false">SUMIFS(Variations!$H$6:$H$21,Variations!$B$6:$B$21,"CF-2501",Variations!$F$6:$F$21,"Approved",Variations!$G$6:$G$21,"&lt;="&amp;Assumptions!H$95)</f>
        <v>51000</v>
      </c>
      <c r="I21" s="58" t="n">
        <f aca="false">SUMIFS(Variations!$H$6:$H$21,Variations!$B$6:$B$21,"CF-2501",Variations!$F$6:$F$21,"Approved",Variations!$G$6:$G$21,"&lt;="&amp;Assumptions!I$95)</f>
        <v>63700</v>
      </c>
      <c r="J21" s="58" t="n">
        <f aca="false">SUMIFS(Variations!$H$6:$H$21,Variations!$B$6:$B$21,"CF-2501",Variations!$F$6:$F$21,"Approved",Variations!$G$6:$G$21,"&lt;="&amp;Assumptions!J$95)</f>
        <v>63700</v>
      </c>
      <c r="K21" s="58" t="n">
        <f aca="false">SUMIFS(Variations!$H$6:$H$21,Variations!$B$6:$B$21,"CF-2501",Variations!$F$6:$F$21,"Approved",Variations!$G$6:$G$21,"&lt;="&amp;Assumptions!K$95)</f>
        <v>63700</v>
      </c>
      <c r="L21" s="58" t="n">
        <f aca="false">SUMIFS(Variations!$H$6:$H$21,Variations!$B$6:$B$21,"CF-2501",Variations!$F$6:$F$21,"Approved",Variations!$G$6:$G$21,"&lt;="&amp;Assumptions!L$95)</f>
        <v>63700</v>
      </c>
      <c r="M21" s="58" t="n">
        <f aca="false">SUMIFS(Variations!$H$6:$H$21,Variations!$B$6:$B$21,"CF-2501",Variations!$F$6:$F$21,"Approved",Variations!$G$6:$G$21,"&lt;="&amp;Assumptions!M$95)</f>
        <v>63700</v>
      </c>
      <c r="N21" s="58" t="n">
        <f aca="false">SUMIFS(Variations!$H$6:$H$21,Variations!$B$6:$B$21,"CF-2501",Variations!$F$6:$F$21,"Approved",Variations!$G$6:$G$21,"&lt;="&amp;Assumptions!N$95)</f>
        <v>63700</v>
      </c>
      <c r="O21" s="58" t="n">
        <f aca="false">SUMIFS(Variations!$H$6:$H$21,Variations!$B$6:$B$21,"CF-2501",Variations!$F$6:$F$21,"Approved",Variations!$G$6:$G$21,"&lt;="&amp;Assumptions!O$95)</f>
        <v>63700</v>
      </c>
      <c r="P21" s="58" t="n">
        <f aca="false">SUMIFS(Variations!$H$6:$H$21,Variations!$B$6:$B$21,"CF-2501",Variations!$F$6:$F$21,"Approved",Variations!$G$6:$G$21,"&lt;="&amp;Assumptions!P$95)</f>
        <v>63700</v>
      </c>
      <c r="Q21" s="58" t="n">
        <f aca="false">SUMIFS(Variations!$H$6:$H$21,Variations!$B$6:$B$21,"CF-2501",Variations!$F$6:$F$21,"Approved",Variations!$G$6:$G$21,"&lt;="&amp;Assumptions!Q$95)</f>
        <v>63700</v>
      </c>
      <c r="R21" s="58" t="n">
        <f aca="false">SUMIFS(Variations!$H$6:$H$21,Variations!$B$6:$B$21,"CF-2501",Variations!$F$6:$F$21,"Approved",Variations!$G$6:$G$21,"&lt;="&amp;Assumptions!R$95)</f>
        <v>63700</v>
      </c>
      <c r="S21" s="58" t="n">
        <f aca="false">SUMIFS(Variations!$H$6:$H$21,Variations!$B$6:$B$21,"CF-2501",Variations!$F$6:$F$21,"Approved",Variations!$G$6:$G$21,"&lt;="&amp;Assumptions!S$95)</f>
        <v>63700</v>
      </c>
      <c r="T21" s="58" t="n">
        <f aca="false">SUMIFS(Variations!$H$6:$H$21,Variations!$B$6:$B$21,"CF-2501",Variations!$F$6:$F$21,"Approved",Variations!$G$6:$G$21,"&lt;="&amp;Assumptions!T$95)</f>
        <v>63700</v>
      </c>
      <c r="U21" s="58" t="n">
        <f aca="false">SUMIFS(Variations!$H$6:$H$21,Variations!$B$6:$B$21,"CF-2501",Variations!$F$6:$F$21,"Approved",Variations!$G$6:$G$21,"&lt;="&amp;Assumptions!U$95)</f>
        <v>63700</v>
      </c>
      <c r="V21" s="58" t="n">
        <f aca="false">SUMIFS(Variations!$H$6:$H$21,Variations!$B$6:$B$21,"CF-2501",Variations!$F$6:$F$21,"Approved",Variations!$G$6:$G$21,"&lt;="&amp;Assumptions!V$95)</f>
        <v>63700</v>
      </c>
      <c r="W21" s="58" t="n">
        <f aca="false">SUMIFS(Variations!$H$6:$H$21,Variations!$B$6:$B$21,"CF-2501",Variations!$F$6:$F$21,"Approved",Variations!$G$6:$G$21,"&lt;="&amp;Assumptions!W$95)</f>
        <v>63700</v>
      </c>
      <c r="X21" s="58" t="n">
        <f aca="false">SUMIFS(Variations!$H$6:$H$21,Variations!$B$6:$B$21,"CF-2501",Variations!$F$6:$F$21,"Approved",Variations!$G$6:$G$21,"&lt;="&amp;Assumptions!X$95)</f>
        <v>63700</v>
      </c>
      <c r="Y21" s="58" t="n">
        <f aca="false">SUMIFS(Variations!$H$6:$H$21,Variations!$B$6:$B$21,"CF-2501",Variations!$F$6:$F$21,"Approved",Variations!$G$6:$G$21,"&lt;="&amp;Assumptions!Y$95)</f>
        <v>63700</v>
      </c>
      <c r="Z21" s="58" t="n">
        <f aca="false">SUMIFS(Variations!$H$6:$H$21,Variations!$B$6:$B$21,"CF-2501",Variations!$F$6:$F$21,"Approved",Variations!$G$6:$G$21,"&lt;="&amp;Assumptions!Z$95)</f>
        <v>63700</v>
      </c>
      <c r="AA21" s="58" t="n">
        <f aca="false">SUMIFS(Variations!$H$6:$H$21,Variations!$B$6:$B$21,"CF-2501",Variations!$F$6:$F$21,"Approved",Variations!$G$6:$G$21,"&lt;="&amp;Assumptions!AA$95)</f>
        <v>63700</v>
      </c>
      <c r="AB21" s="58" t="n">
        <f aca="false">SUMIFS(Variations!$H$6:$H$21,Variations!$B$6:$B$21,"CF-2501",Variations!$F$6:$F$21,"Approved",Variations!$G$6:$G$21,"&lt;="&amp;Assumptions!AB$95)</f>
        <v>63700</v>
      </c>
    </row>
    <row r="22" customFormat="false" ht="15" hidden="false" customHeight="false" outlineLevel="0" collapsed="false">
      <c r="A22" s="27" t="s">
        <v>737</v>
      </c>
      <c r="B22" s="56"/>
      <c r="C22" s="57" t="n">
        <f aca="false">P22</f>
        <v>0</v>
      </c>
      <c r="D22" s="57" t="n">
        <f aca="false">AB22</f>
        <v>0</v>
      </c>
      <c r="E22" s="58" t="n">
        <f aca="false">SUMIFS(Variations!$E$6:$E$21,Variations!$B$6:$B$21,"CF-2501",Variations!$D$6:$D$21,"&lt;="&amp;Assumptions!E$95,Variations!$G$6:$G$21,"&gt;"&amp;Assumptions!E$95)</f>
        <v>46700</v>
      </c>
      <c r="F22" s="58" t="n">
        <f aca="false">SUMIFS(Variations!$E$6:$E$21,Variations!$B$6:$B$21,"CF-2501",Variations!$D$6:$D$21,"&lt;="&amp;Assumptions!F$95,Variations!$G$6:$G$21,"&gt;"&amp;Assumptions!F$95)</f>
        <v>73200</v>
      </c>
      <c r="G22" s="58" t="n">
        <f aca="false">SUMIFS(Variations!$E$6:$E$21,Variations!$B$6:$B$21,"CF-2501",Variations!$D$6:$D$21,"&lt;="&amp;Assumptions!G$95,Variations!$G$6:$G$21,"&gt;"&amp;Assumptions!G$95)</f>
        <v>41400</v>
      </c>
      <c r="H22" s="58" t="n">
        <f aca="false">SUMIFS(Variations!$E$6:$E$21,Variations!$B$6:$B$21,"CF-2501",Variations!$D$6:$D$21,"&lt;="&amp;Assumptions!H$95,Variations!$G$6:$G$21,"&gt;"&amp;Assumptions!H$95)</f>
        <v>41400</v>
      </c>
      <c r="I22" s="58" t="n">
        <f aca="false">SUMIFS(Variations!$E$6:$E$21,Variations!$B$6:$B$21,"CF-2501",Variations!$D$6:$D$21,"&lt;="&amp;Assumptions!I$95,Variations!$G$6:$G$21,"&gt;"&amp;Assumptions!I$95)</f>
        <v>0</v>
      </c>
      <c r="J22" s="58" t="n">
        <f aca="false">SUMIFS(Variations!$E$6:$E$21,Variations!$B$6:$B$21,"CF-2501",Variations!$D$6:$D$21,"&lt;="&amp;Assumptions!J$95,Variations!$G$6:$G$21,"&gt;"&amp;Assumptions!J$95)</f>
        <v>0</v>
      </c>
      <c r="K22" s="58" t="n">
        <f aca="false">SUMIFS(Variations!$E$6:$E$21,Variations!$B$6:$B$21,"CF-2501",Variations!$D$6:$D$21,"&lt;="&amp;Assumptions!K$95,Variations!$G$6:$G$21,"&gt;"&amp;Assumptions!K$95)</f>
        <v>0</v>
      </c>
      <c r="L22" s="58" t="n">
        <f aca="false">SUMIFS(Variations!$E$6:$E$21,Variations!$B$6:$B$21,"CF-2501",Variations!$D$6:$D$21,"&lt;="&amp;Assumptions!L$95,Variations!$G$6:$G$21,"&gt;"&amp;Assumptions!L$95)</f>
        <v>0</v>
      </c>
      <c r="M22" s="58" t="n">
        <f aca="false">SUMIFS(Variations!$E$6:$E$21,Variations!$B$6:$B$21,"CF-2501",Variations!$D$6:$D$21,"&lt;="&amp;Assumptions!M$95,Variations!$G$6:$G$21,"&gt;"&amp;Assumptions!M$95)</f>
        <v>0</v>
      </c>
      <c r="N22" s="58" t="n">
        <f aca="false">SUMIFS(Variations!$E$6:$E$21,Variations!$B$6:$B$21,"CF-2501",Variations!$D$6:$D$21,"&lt;="&amp;Assumptions!N$95,Variations!$G$6:$G$21,"&gt;"&amp;Assumptions!N$95)</f>
        <v>0</v>
      </c>
      <c r="O22" s="58" t="n">
        <f aca="false">SUMIFS(Variations!$E$6:$E$21,Variations!$B$6:$B$21,"CF-2501",Variations!$D$6:$D$21,"&lt;="&amp;Assumptions!O$95,Variations!$G$6:$G$21,"&gt;"&amp;Assumptions!O$95)</f>
        <v>0</v>
      </c>
      <c r="P22" s="58" t="n">
        <f aca="false">SUMIFS(Variations!$E$6:$E$21,Variations!$B$6:$B$21,"CF-2501",Variations!$D$6:$D$21,"&lt;="&amp;Assumptions!P$95,Variations!$G$6:$G$21,"&gt;"&amp;Assumptions!P$95)</f>
        <v>0</v>
      </c>
      <c r="Q22" s="58" t="n">
        <f aca="false">SUMIFS(Variations!$E$6:$E$21,Variations!$B$6:$B$21,"CF-2501",Variations!$D$6:$D$21,"&lt;="&amp;Assumptions!Q$95,Variations!$G$6:$G$21,"&gt;"&amp;Assumptions!Q$95)</f>
        <v>0</v>
      </c>
      <c r="R22" s="58" t="n">
        <f aca="false">SUMIFS(Variations!$E$6:$E$21,Variations!$B$6:$B$21,"CF-2501",Variations!$D$6:$D$21,"&lt;="&amp;Assumptions!R$95,Variations!$G$6:$G$21,"&gt;"&amp;Assumptions!R$95)</f>
        <v>0</v>
      </c>
      <c r="S22" s="58" t="n">
        <f aca="false">SUMIFS(Variations!$E$6:$E$21,Variations!$B$6:$B$21,"CF-2501",Variations!$D$6:$D$21,"&lt;="&amp;Assumptions!S$95,Variations!$G$6:$G$21,"&gt;"&amp;Assumptions!S$95)</f>
        <v>0</v>
      </c>
      <c r="T22" s="58" t="n">
        <f aca="false">SUMIFS(Variations!$E$6:$E$21,Variations!$B$6:$B$21,"CF-2501",Variations!$D$6:$D$21,"&lt;="&amp;Assumptions!T$95,Variations!$G$6:$G$21,"&gt;"&amp;Assumptions!T$95)</f>
        <v>0</v>
      </c>
      <c r="U22" s="58" t="n">
        <f aca="false">SUMIFS(Variations!$E$6:$E$21,Variations!$B$6:$B$21,"CF-2501",Variations!$D$6:$D$21,"&lt;="&amp;Assumptions!U$95,Variations!$G$6:$G$21,"&gt;"&amp;Assumptions!U$95)</f>
        <v>0</v>
      </c>
      <c r="V22" s="58" t="n">
        <f aca="false">SUMIFS(Variations!$E$6:$E$21,Variations!$B$6:$B$21,"CF-2501",Variations!$D$6:$D$21,"&lt;="&amp;Assumptions!V$95,Variations!$G$6:$G$21,"&gt;"&amp;Assumptions!V$95)</f>
        <v>0</v>
      </c>
      <c r="W22" s="58" t="n">
        <f aca="false">SUMIFS(Variations!$E$6:$E$21,Variations!$B$6:$B$21,"CF-2501",Variations!$D$6:$D$21,"&lt;="&amp;Assumptions!W$95,Variations!$G$6:$G$21,"&gt;"&amp;Assumptions!W$95)</f>
        <v>0</v>
      </c>
      <c r="X22" s="58" t="n">
        <f aca="false">SUMIFS(Variations!$E$6:$E$21,Variations!$B$6:$B$21,"CF-2501",Variations!$D$6:$D$21,"&lt;="&amp;Assumptions!X$95,Variations!$G$6:$G$21,"&gt;"&amp;Assumptions!X$95)</f>
        <v>0</v>
      </c>
      <c r="Y22" s="58" t="n">
        <f aca="false">SUMIFS(Variations!$E$6:$E$21,Variations!$B$6:$B$21,"CF-2501",Variations!$D$6:$D$21,"&lt;="&amp;Assumptions!Y$95,Variations!$G$6:$G$21,"&gt;"&amp;Assumptions!Y$95)</f>
        <v>0</v>
      </c>
      <c r="Z22" s="58" t="n">
        <f aca="false">SUMIFS(Variations!$E$6:$E$21,Variations!$B$6:$B$21,"CF-2501",Variations!$D$6:$D$21,"&lt;="&amp;Assumptions!Z$95,Variations!$G$6:$G$21,"&gt;"&amp;Assumptions!Z$95)</f>
        <v>0</v>
      </c>
      <c r="AA22" s="58" t="n">
        <f aca="false">SUMIFS(Variations!$E$6:$E$21,Variations!$B$6:$B$21,"CF-2501",Variations!$D$6:$D$21,"&lt;="&amp;Assumptions!AA$95,Variations!$G$6:$G$21,"&gt;"&amp;Assumptions!AA$95)</f>
        <v>0</v>
      </c>
      <c r="AB22" s="58" t="n">
        <f aca="false">SUMIFS(Variations!$E$6:$E$21,Variations!$B$6:$B$21,"CF-2501",Variations!$D$6:$D$21,"&lt;="&amp;Assumptions!AB$95,Variations!$G$6:$G$21,"&gt;"&amp;Assumptions!AB$95)</f>
        <v>0</v>
      </c>
    </row>
    <row r="23" customFormat="false" ht="15" hidden="false" customHeight="false" outlineLevel="0" collapsed="false">
      <c r="A23" s="27" t="s">
        <v>738</v>
      </c>
      <c r="B23" s="56"/>
      <c r="C23" s="57" t="n">
        <f aca="false">P23</f>
        <v>0</v>
      </c>
      <c r="D23" s="57" t="n">
        <f aca="false">AB23</f>
        <v>0</v>
      </c>
      <c r="E23" s="58" t="n">
        <f aca="false">SUMIFS(Variations!$E$6:$E$21,Variations!$B$6:$B$21,"CF-2501",Variations!$F$6:$F$21,"Pending",Variations!$G$6:$G$21,"&lt;="&amp;Assumptions!E$95)</f>
        <v>0</v>
      </c>
      <c r="F23" s="58" t="n">
        <f aca="false">SUMIFS(Variations!$E$6:$E$21,Variations!$B$6:$B$21,"CF-2501",Variations!$F$6:$F$21,"Pending",Variations!$G$6:$G$21,"&lt;="&amp;Assumptions!F$95)</f>
        <v>0</v>
      </c>
      <c r="G23" s="58" t="n">
        <f aca="false">SUMIFS(Variations!$E$6:$E$21,Variations!$B$6:$B$21,"CF-2501",Variations!$F$6:$F$21,"Pending",Variations!$G$6:$G$21,"&lt;="&amp;Assumptions!G$95)</f>
        <v>0</v>
      </c>
      <c r="H23" s="58" t="n">
        <f aca="false">SUMIFS(Variations!$E$6:$E$21,Variations!$B$6:$B$21,"CF-2501",Variations!$F$6:$F$21,"Pending",Variations!$G$6:$G$21,"&lt;="&amp;Assumptions!H$95)</f>
        <v>0</v>
      </c>
      <c r="I23" s="58" t="n">
        <f aca="false">SUMIFS(Variations!$E$6:$E$21,Variations!$B$6:$B$21,"CF-2501",Variations!$F$6:$F$21,"Pending",Variations!$G$6:$G$21,"&lt;="&amp;Assumptions!I$95)</f>
        <v>0</v>
      </c>
      <c r="J23" s="58" t="n">
        <f aca="false">SUMIFS(Variations!$E$6:$E$21,Variations!$B$6:$B$21,"CF-2501",Variations!$F$6:$F$21,"Pending",Variations!$G$6:$G$21,"&lt;="&amp;Assumptions!J$95)</f>
        <v>0</v>
      </c>
      <c r="K23" s="58" t="n">
        <f aca="false">SUMIFS(Variations!$E$6:$E$21,Variations!$B$6:$B$21,"CF-2501",Variations!$F$6:$F$21,"Pending",Variations!$G$6:$G$21,"&lt;="&amp;Assumptions!K$95)</f>
        <v>0</v>
      </c>
      <c r="L23" s="58" t="n">
        <f aca="false">SUMIFS(Variations!$E$6:$E$21,Variations!$B$6:$B$21,"CF-2501",Variations!$F$6:$F$21,"Pending",Variations!$G$6:$G$21,"&lt;="&amp;Assumptions!L$95)</f>
        <v>0</v>
      </c>
      <c r="M23" s="58" t="n">
        <f aca="false">SUMIFS(Variations!$E$6:$E$21,Variations!$B$6:$B$21,"CF-2501",Variations!$F$6:$F$21,"Pending",Variations!$G$6:$G$21,"&lt;="&amp;Assumptions!M$95)</f>
        <v>0</v>
      </c>
      <c r="N23" s="58" t="n">
        <f aca="false">SUMIFS(Variations!$E$6:$E$21,Variations!$B$6:$B$21,"CF-2501",Variations!$F$6:$F$21,"Pending",Variations!$G$6:$G$21,"&lt;="&amp;Assumptions!N$95)</f>
        <v>0</v>
      </c>
      <c r="O23" s="58" t="n">
        <f aca="false">SUMIFS(Variations!$E$6:$E$21,Variations!$B$6:$B$21,"CF-2501",Variations!$F$6:$F$21,"Pending",Variations!$G$6:$G$21,"&lt;="&amp;Assumptions!O$95)</f>
        <v>0</v>
      </c>
      <c r="P23" s="58" t="n">
        <f aca="false">SUMIFS(Variations!$E$6:$E$21,Variations!$B$6:$B$21,"CF-2501",Variations!$F$6:$F$21,"Pending",Variations!$G$6:$G$21,"&lt;="&amp;Assumptions!P$95)</f>
        <v>0</v>
      </c>
      <c r="Q23" s="58" t="n">
        <f aca="false">SUMIFS(Variations!$E$6:$E$21,Variations!$B$6:$B$21,"CF-2501",Variations!$F$6:$F$21,"Pending",Variations!$G$6:$G$21,"&lt;="&amp;Assumptions!Q$95)</f>
        <v>0</v>
      </c>
      <c r="R23" s="58" t="n">
        <f aca="false">SUMIFS(Variations!$E$6:$E$21,Variations!$B$6:$B$21,"CF-2501",Variations!$F$6:$F$21,"Pending",Variations!$G$6:$G$21,"&lt;="&amp;Assumptions!R$95)</f>
        <v>0</v>
      </c>
      <c r="S23" s="58" t="n">
        <f aca="false">SUMIFS(Variations!$E$6:$E$21,Variations!$B$6:$B$21,"CF-2501",Variations!$F$6:$F$21,"Pending",Variations!$G$6:$G$21,"&lt;="&amp;Assumptions!S$95)</f>
        <v>0</v>
      </c>
      <c r="T23" s="58" t="n">
        <f aca="false">SUMIFS(Variations!$E$6:$E$21,Variations!$B$6:$B$21,"CF-2501",Variations!$F$6:$F$21,"Pending",Variations!$G$6:$G$21,"&lt;="&amp;Assumptions!T$95)</f>
        <v>0</v>
      </c>
      <c r="U23" s="58" t="n">
        <f aca="false">SUMIFS(Variations!$E$6:$E$21,Variations!$B$6:$B$21,"CF-2501",Variations!$F$6:$F$21,"Pending",Variations!$G$6:$G$21,"&lt;="&amp;Assumptions!U$95)</f>
        <v>0</v>
      </c>
      <c r="V23" s="58" t="n">
        <f aca="false">SUMIFS(Variations!$E$6:$E$21,Variations!$B$6:$B$21,"CF-2501",Variations!$F$6:$F$21,"Pending",Variations!$G$6:$G$21,"&lt;="&amp;Assumptions!V$95)</f>
        <v>0</v>
      </c>
      <c r="W23" s="58" t="n">
        <f aca="false">SUMIFS(Variations!$E$6:$E$21,Variations!$B$6:$B$21,"CF-2501",Variations!$F$6:$F$21,"Pending",Variations!$G$6:$G$21,"&lt;="&amp;Assumptions!W$95)</f>
        <v>0</v>
      </c>
      <c r="X23" s="58" t="n">
        <f aca="false">SUMIFS(Variations!$E$6:$E$21,Variations!$B$6:$B$21,"CF-2501",Variations!$F$6:$F$21,"Pending",Variations!$G$6:$G$21,"&lt;="&amp;Assumptions!X$95)</f>
        <v>0</v>
      </c>
      <c r="Y23" s="58" t="n">
        <f aca="false">SUMIFS(Variations!$E$6:$E$21,Variations!$B$6:$B$21,"CF-2501",Variations!$F$6:$F$21,"Pending",Variations!$G$6:$G$21,"&lt;="&amp;Assumptions!Y$95)</f>
        <v>0</v>
      </c>
      <c r="Z23" s="58" t="n">
        <f aca="false">SUMIFS(Variations!$E$6:$E$21,Variations!$B$6:$B$21,"CF-2501",Variations!$F$6:$F$21,"Pending",Variations!$G$6:$G$21,"&lt;="&amp;Assumptions!Z$95)</f>
        <v>0</v>
      </c>
      <c r="AA23" s="58" t="n">
        <f aca="false">SUMIFS(Variations!$E$6:$E$21,Variations!$B$6:$B$21,"CF-2501",Variations!$F$6:$F$21,"Pending",Variations!$G$6:$G$21,"&lt;="&amp;Assumptions!AA$95)</f>
        <v>0</v>
      </c>
      <c r="AB23" s="58" t="n">
        <f aca="false">SUMIFS(Variations!$E$6:$E$21,Variations!$B$6:$B$21,"CF-2501",Variations!$F$6:$F$21,"Pending",Variations!$G$6:$G$21,"&lt;="&amp;Assumptions!AB$95)</f>
        <v>0</v>
      </c>
    </row>
    <row r="24" customFormat="false" ht="15" hidden="false" customHeight="false" outlineLevel="0" collapsed="false">
      <c r="A24" s="27" t="s">
        <v>739</v>
      </c>
      <c r="B24" s="56" t="s">
        <v>740</v>
      </c>
      <c r="C24" s="57" t="n">
        <f aca="false">P24</f>
        <v>1043700</v>
      </c>
      <c r="D24" s="57" t="n">
        <f aca="false">AB24</f>
        <v>1043700</v>
      </c>
      <c r="E24" s="58" t="n">
        <f aca="false">Project_Register!$AO$7+E21+Assumptions!$C$74*E22+Assumptions!$F$121*E23</f>
        <v>1025750</v>
      </c>
      <c r="F24" s="58" t="n">
        <f aca="false">Project_Register!$AO$7+F21+Assumptions!$C$74*F22+Assumptions!$F$121*F23</f>
        <v>1039000</v>
      </c>
      <c r="G24" s="58" t="n">
        <f aca="false">Project_Register!$AO$7+G21+Assumptions!$C$74*G22+Assumptions!$F$121*G23</f>
        <v>1051700</v>
      </c>
      <c r="H24" s="58" t="n">
        <f aca="false">Project_Register!$AO$7+H21+Assumptions!$C$74*H22+Assumptions!$F$121*H23</f>
        <v>1051700</v>
      </c>
      <c r="I24" s="58" t="n">
        <f aca="false">Project_Register!$AO$7+I21+Assumptions!$C$74*I22+Assumptions!$F$121*I23</f>
        <v>1043700</v>
      </c>
      <c r="J24" s="58" t="n">
        <f aca="false">Project_Register!$AO$7+J21+Assumptions!$C$74*J22+Assumptions!$F$121*J23</f>
        <v>1043700</v>
      </c>
      <c r="K24" s="58" t="n">
        <f aca="false">Project_Register!$AO$7+K21+Assumptions!$C$74*K22+Assumptions!$F$121*K23</f>
        <v>1043700</v>
      </c>
      <c r="L24" s="58" t="n">
        <f aca="false">Project_Register!$AO$7+L21+Assumptions!$C$74*L22+Assumptions!$F$121*L23</f>
        <v>1043700</v>
      </c>
      <c r="M24" s="58" t="n">
        <f aca="false">Project_Register!$AO$7+M21+Assumptions!$C$74*M22+Assumptions!$F$121*M23</f>
        <v>1043700</v>
      </c>
      <c r="N24" s="58" t="n">
        <f aca="false">Project_Register!$AO$7+N21+Assumptions!$C$74*N22+Assumptions!$F$121*N23</f>
        <v>1043700</v>
      </c>
      <c r="O24" s="58" t="n">
        <f aca="false">Project_Register!$AO$7+O21+Assumptions!$C$74*O22+Assumptions!$F$121*O23</f>
        <v>1043700</v>
      </c>
      <c r="P24" s="58" t="n">
        <f aca="false">Project_Register!$AO$7+P21+Assumptions!$C$74*P22+Assumptions!$F$121*P23</f>
        <v>1043700</v>
      </c>
      <c r="Q24" s="58" t="n">
        <f aca="false">Project_Register!$AO$7+Q21+Assumptions!$C$74*Q22+Assumptions!$F$121*Q23</f>
        <v>1043700</v>
      </c>
      <c r="R24" s="58" t="n">
        <f aca="false">Project_Register!$AO$7+R21+Assumptions!$C$74*R22+Assumptions!$F$121*R23</f>
        <v>1043700</v>
      </c>
      <c r="S24" s="58" t="n">
        <f aca="false">Project_Register!$AO$7+S21+Assumptions!$C$74*S22+Assumptions!$F$121*S23</f>
        <v>1043700</v>
      </c>
      <c r="T24" s="58" t="n">
        <f aca="false">Project_Register!$AO$7+T21+Assumptions!$C$74*T22+Assumptions!$F$121*T23</f>
        <v>1043700</v>
      </c>
      <c r="U24" s="58" t="n">
        <f aca="false">Project_Register!$AO$7+U21+Assumptions!$C$74*U22+Assumptions!$F$121*U23</f>
        <v>1043700</v>
      </c>
      <c r="V24" s="58" t="n">
        <f aca="false">Project_Register!$AO$7+V21+Assumptions!$C$74*V22+Assumptions!$F$121*V23</f>
        <v>1043700</v>
      </c>
      <c r="W24" s="58" t="n">
        <f aca="false">Project_Register!$AO$7+W21+Assumptions!$C$74*W22+Assumptions!$F$121*W23</f>
        <v>1043700</v>
      </c>
      <c r="X24" s="58" t="n">
        <f aca="false">Project_Register!$AO$7+X21+Assumptions!$C$74*X22+Assumptions!$F$121*X23</f>
        <v>1043700</v>
      </c>
      <c r="Y24" s="58" t="n">
        <f aca="false">Project_Register!$AO$7+Y21+Assumptions!$C$74*Y22+Assumptions!$F$121*Y23</f>
        <v>1043700</v>
      </c>
      <c r="Z24" s="58" t="n">
        <f aca="false">Project_Register!$AO$7+Z21+Assumptions!$C$74*Z22+Assumptions!$F$121*Z23</f>
        <v>1043700</v>
      </c>
      <c r="AA24" s="58" t="n">
        <f aca="false">Project_Register!$AO$7+AA21+Assumptions!$C$74*AA22+Assumptions!$F$121*AA23</f>
        <v>1043700</v>
      </c>
      <c r="AB24" s="58" t="n">
        <f aca="false">Project_Register!$AO$7+AB21+Assumptions!$C$74*AB22+Assumptions!$F$121*AB23</f>
        <v>1043700</v>
      </c>
    </row>
    <row r="25" customFormat="false" ht="15" hidden="false" customHeight="false" outlineLevel="0" collapsed="false">
      <c r="A25" s="27" t="s">
        <v>741</v>
      </c>
      <c r="B25" s="56" t="s">
        <v>742</v>
      </c>
      <c r="C25" s="57" t="n">
        <f aca="false">P25</f>
        <v>1043700</v>
      </c>
      <c r="D25" s="57" t="n">
        <f aca="false">AB25</f>
        <v>1043700</v>
      </c>
      <c r="E25" s="58" t="n">
        <f aca="false">IF(E$5="A",Project_Register!$AD$7+Inputs_Actuals!E15,E20*E24)</f>
        <v>838164.5</v>
      </c>
      <c r="F25" s="58" t="n">
        <f aca="false">IF(F$5="A",E25+Inputs_Actuals!F15,F20*F24)</f>
        <v>977478.56</v>
      </c>
      <c r="G25" s="58" t="n">
        <f aca="false">IF(G$5="A",F25+Inputs_Actuals!G15,G20*G24)</f>
        <v>1051700</v>
      </c>
      <c r="H25" s="58" t="n">
        <f aca="false">IF(H$5="A",G25+Inputs_Actuals!H15,H20*H24)</f>
        <v>1051700</v>
      </c>
      <c r="I25" s="58" t="n">
        <f aca="false">IF(I$5="A",H25+Inputs_Actuals!I15,I20*I24)</f>
        <v>1043700</v>
      </c>
      <c r="J25" s="58" t="n">
        <f aca="false">IF(J$5="A",I25+Inputs_Actuals!J15,J20*J24)</f>
        <v>1043700</v>
      </c>
      <c r="K25" s="58" t="n">
        <f aca="false">IF(K$5="A",J25+Inputs_Actuals!K15,K20*K24)</f>
        <v>1043700</v>
      </c>
      <c r="L25" s="58" t="n">
        <f aca="false">IF(L$5="A",K25+Inputs_Actuals!L15,L20*L24)</f>
        <v>1043700</v>
      </c>
      <c r="M25" s="58" t="n">
        <f aca="false">IF(M$5="A",L25+Inputs_Actuals!M15,M20*M24)</f>
        <v>1043700</v>
      </c>
      <c r="N25" s="58" t="n">
        <f aca="false">IF(N$5="A",M25+Inputs_Actuals!N15,N20*N24)</f>
        <v>1043700</v>
      </c>
      <c r="O25" s="58" t="n">
        <f aca="false">IF(O$5="A",N25+Inputs_Actuals!O15,O20*O24)</f>
        <v>1043700</v>
      </c>
      <c r="P25" s="58" t="n">
        <f aca="false">IF(P$5="A",O25+Inputs_Actuals!P15,P20*P24)</f>
        <v>1043700</v>
      </c>
      <c r="Q25" s="58" t="n">
        <f aca="false">IF(Q$5="A",P25+Inputs_Actuals!Q15,Q20*Q24)</f>
        <v>1043700</v>
      </c>
      <c r="R25" s="58" t="n">
        <f aca="false">IF(R$5="A",Q25+Inputs_Actuals!R15,R20*R24)</f>
        <v>1043700</v>
      </c>
      <c r="S25" s="58" t="n">
        <f aca="false">IF(S$5="A",R25+Inputs_Actuals!S15,S20*S24)</f>
        <v>1043700</v>
      </c>
      <c r="T25" s="58" t="n">
        <f aca="false">IF(T$5="A",S25+Inputs_Actuals!T15,T20*T24)</f>
        <v>1043700</v>
      </c>
      <c r="U25" s="58" t="n">
        <f aca="false">IF(U$5="A",T25+Inputs_Actuals!U15,U20*U24)</f>
        <v>1043700</v>
      </c>
      <c r="V25" s="58" t="n">
        <f aca="false">IF(V$5="A",U25+Inputs_Actuals!V15,V20*V24)</f>
        <v>1043700</v>
      </c>
      <c r="W25" s="58" t="n">
        <f aca="false">IF(W$5="A",V25+Inputs_Actuals!W15,W20*W24)</f>
        <v>1043700</v>
      </c>
      <c r="X25" s="58" t="n">
        <f aca="false">IF(X$5="A",W25+Inputs_Actuals!X15,X20*X24)</f>
        <v>1043700</v>
      </c>
      <c r="Y25" s="58" t="n">
        <f aca="false">IF(Y$5="A",X25+Inputs_Actuals!Y15,Y20*Y24)</f>
        <v>1043700</v>
      </c>
      <c r="Z25" s="58" t="n">
        <f aca="false">IF(Z$5="A",Y25+Inputs_Actuals!Z15,Z20*Z24)</f>
        <v>1043700</v>
      </c>
      <c r="AA25" s="58" t="n">
        <f aca="false">IF(AA$5="A",Z25+Inputs_Actuals!AA15,AA20*AA24)</f>
        <v>1043700</v>
      </c>
      <c r="AB25" s="58" t="n">
        <f aca="false">IF(AB$5="A",AA25+Inputs_Actuals!AB15,AB20*AB24)</f>
        <v>1043700</v>
      </c>
    </row>
    <row r="26" customFormat="false" ht="15" hidden="false" customHeight="false" outlineLevel="0" collapsed="false">
      <c r="A26" s="67" t="s">
        <v>743</v>
      </c>
      <c r="B26" s="68" t="s">
        <v>744</v>
      </c>
      <c r="C26" s="69" t="n">
        <f aca="false">SUM(E26:P26)</f>
        <v>363553.44</v>
      </c>
      <c r="D26" s="69" t="n">
        <f aca="false">SUM(Q26:AB26)</f>
        <v>0</v>
      </c>
      <c r="E26" s="74" t="n">
        <f aca="false">E25-Project_Register!$AD$7</f>
        <v>158017.94</v>
      </c>
      <c r="F26" s="69" t="n">
        <f aca="false">F25-E25</f>
        <v>139314.06</v>
      </c>
      <c r="G26" s="69" t="n">
        <f aca="false">G25-F25</f>
        <v>74221.4399999999</v>
      </c>
      <c r="H26" s="69" t="n">
        <f aca="false">H25-G25</f>
        <v>0</v>
      </c>
      <c r="I26" s="69" t="n">
        <f aca="false">I25-H25</f>
        <v>-8000</v>
      </c>
      <c r="J26" s="69" t="n">
        <f aca="false">J25-I25</f>
        <v>0</v>
      </c>
      <c r="K26" s="69" t="n">
        <f aca="false">K25-J25</f>
        <v>0</v>
      </c>
      <c r="L26" s="69" t="n">
        <f aca="false">L25-K25</f>
        <v>0</v>
      </c>
      <c r="M26" s="69" t="n">
        <f aca="false">M25-L25</f>
        <v>0</v>
      </c>
      <c r="N26" s="69" t="n">
        <f aca="false">N25-M25</f>
        <v>0</v>
      </c>
      <c r="O26" s="69" t="n">
        <f aca="false">O25-N25</f>
        <v>0</v>
      </c>
      <c r="P26" s="69" t="n">
        <f aca="false">P25-O25</f>
        <v>0</v>
      </c>
      <c r="Q26" s="69" t="n">
        <f aca="false">Q25-P25</f>
        <v>0</v>
      </c>
      <c r="R26" s="69" t="n">
        <f aca="false">R25-Q25</f>
        <v>0</v>
      </c>
      <c r="S26" s="69" t="n">
        <f aca="false">S25-R25</f>
        <v>0</v>
      </c>
      <c r="T26" s="69" t="n">
        <f aca="false">T25-S25</f>
        <v>0</v>
      </c>
      <c r="U26" s="69" t="n">
        <f aca="false">U25-T25</f>
        <v>0</v>
      </c>
      <c r="V26" s="69" t="n">
        <f aca="false">V25-U25</f>
        <v>0</v>
      </c>
      <c r="W26" s="69" t="n">
        <f aca="false">W25-V25</f>
        <v>0</v>
      </c>
      <c r="X26" s="69" t="n">
        <f aca="false">X25-W25</f>
        <v>0</v>
      </c>
      <c r="Y26" s="69" t="n">
        <f aca="false">Y25-X25</f>
        <v>0</v>
      </c>
      <c r="Z26" s="69" t="n">
        <f aca="false">Z25-Y25</f>
        <v>0</v>
      </c>
      <c r="AA26" s="69" t="n">
        <f aca="false">AA25-Z25</f>
        <v>0</v>
      </c>
      <c r="AB26" s="69" t="n">
        <f aca="false">AB25-AA25</f>
        <v>0</v>
      </c>
    </row>
    <row r="27" customFormat="false" ht="15" hidden="false" customHeight="false" outlineLevel="0" collapsed="false">
      <c r="A27" s="27" t="s">
        <v>745</v>
      </c>
      <c r="B27" s="56" t="s">
        <v>746</v>
      </c>
      <c r="C27" s="57" t="n">
        <f aca="false">P27</f>
        <v>0</v>
      </c>
      <c r="D27" s="57" t="n">
        <f aca="false">AB27</f>
        <v>0</v>
      </c>
      <c r="E27" s="70" t="n">
        <f aca="false">MAX(0,E19-E24)*(1-E20)</f>
        <v>0</v>
      </c>
      <c r="F27" s="70" t="n">
        <f aca="false">MAX(0,F19-F24)*(1-F20)</f>
        <v>0</v>
      </c>
      <c r="G27" s="70" t="n">
        <f aca="false">MAX(0,G19-G24)*(1-G20)</f>
        <v>0</v>
      </c>
      <c r="H27" s="70" t="n">
        <f aca="false">MAX(0,H19-H24)*(1-H20)</f>
        <v>0</v>
      </c>
      <c r="I27" s="70" t="n">
        <f aca="false">MAX(0,I19-I24)*(1-I20)</f>
        <v>0</v>
      </c>
      <c r="J27" s="70" t="n">
        <f aca="false">MAX(0,J19-J24)*(1-J20)</f>
        <v>0</v>
      </c>
      <c r="K27" s="70" t="n">
        <f aca="false">MAX(0,K19-K24)*(1-K20)</f>
        <v>0</v>
      </c>
      <c r="L27" s="70" t="n">
        <f aca="false">MAX(0,L19-L24)*(1-L20)</f>
        <v>0</v>
      </c>
      <c r="M27" s="70" t="n">
        <f aca="false">MAX(0,M19-M24)*(1-M20)</f>
        <v>0</v>
      </c>
      <c r="N27" s="70" t="n">
        <f aca="false">MAX(0,N19-N24)*(1-N20)</f>
        <v>0</v>
      </c>
      <c r="O27" s="70" t="n">
        <f aca="false">MAX(0,O19-O24)*(1-O20)</f>
        <v>0</v>
      </c>
      <c r="P27" s="70" t="n">
        <f aca="false">MAX(0,P19-P24)*(1-P20)</f>
        <v>0</v>
      </c>
      <c r="Q27" s="70" t="n">
        <f aca="false">MAX(0,Q19-Q24)*(1-Q20)</f>
        <v>0</v>
      </c>
      <c r="R27" s="70" t="n">
        <f aca="false">MAX(0,R19-R24)*(1-R20)</f>
        <v>0</v>
      </c>
      <c r="S27" s="70" t="n">
        <f aca="false">MAX(0,S19-S24)*(1-S20)</f>
        <v>0</v>
      </c>
      <c r="T27" s="70" t="n">
        <f aca="false">MAX(0,T19-T24)*(1-T20)</f>
        <v>0</v>
      </c>
      <c r="U27" s="70" t="n">
        <f aca="false">MAX(0,U19-U24)*(1-U20)</f>
        <v>0</v>
      </c>
      <c r="V27" s="70" t="n">
        <f aca="false">MAX(0,V19-V24)*(1-V20)</f>
        <v>0</v>
      </c>
      <c r="W27" s="70" t="n">
        <f aca="false">MAX(0,W19-W24)*(1-W20)</f>
        <v>0</v>
      </c>
      <c r="X27" s="70" t="n">
        <f aca="false">MAX(0,X19-X24)*(1-X20)</f>
        <v>0</v>
      </c>
      <c r="Y27" s="70" t="n">
        <f aca="false">MAX(0,Y19-Y24)*(1-Y20)</f>
        <v>0</v>
      </c>
      <c r="Z27" s="70" t="n">
        <f aca="false">MAX(0,Z19-Z24)*(1-Z20)</f>
        <v>0</v>
      </c>
      <c r="AA27" s="70" t="n">
        <f aca="false">MAX(0,AA19-AA24)*(1-AA20)</f>
        <v>0</v>
      </c>
      <c r="AB27" s="70" t="n">
        <f aca="false">MAX(0,AB19-AB24)*(1-AB20)</f>
        <v>0</v>
      </c>
    </row>
    <row r="28" customFormat="false" ht="15" hidden="false" customHeight="false" outlineLevel="0" collapsed="false">
      <c r="A28" s="27" t="s">
        <v>747</v>
      </c>
      <c r="B28" s="56"/>
      <c r="C28" s="57" t="n">
        <f aca="false">SUM(E28:P28)</f>
        <v>0</v>
      </c>
      <c r="D28" s="57" t="n">
        <f aca="false">SUM(Q28:AB28)</f>
        <v>0</v>
      </c>
      <c r="E28" s="70" t="n">
        <f aca="false">-(E27-0)</f>
        <v>-0</v>
      </c>
      <c r="F28" s="70" t="n">
        <f aca="false">-(F27-E27)</f>
        <v>-0</v>
      </c>
      <c r="G28" s="70" t="n">
        <f aca="false">-(G27-F27)</f>
        <v>-0</v>
      </c>
      <c r="H28" s="70" t="n">
        <f aca="false">-(H27-G27)</f>
        <v>-0</v>
      </c>
      <c r="I28" s="70" t="n">
        <f aca="false">-(I27-H27)</f>
        <v>-0</v>
      </c>
      <c r="J28" s="70" t="n">
        <f aca="false">-(J27-I27)</f>
        <v>-0</v>
      </c>
      <c r="K28" s="70" t="n">
        <f aca="false">-(K27-J27)</f>
        <v>-0</v>
      </c>
      <c r="L28" s="70" t="n">
        <f aca="false">-(L27-K27)</f>
        <v>-0</v>
      </c>
      <c r="M28" s="70" t="n">
        <f aca="false">-(M27-L27)</f>
        <v>-0</v>
      </c>
      <c r="N28" s="70" t="n">
        <f aca="false">-(N27-M27)</f>
        <v>-0</v>
      </c>
      <c r="O28" s="70" t="n">
        <f aca="false">-(O27-N27)</f>
        <v>-0</v>
      </c>
      <c r="P28" s="70" t="n">
        <f aca="false">-(P27-O27)</f>
        <v>-0</v>
      </c>
      <c r="Q28" s="70" t="n">
        <f aca="false">-(Q27-P27)</f>
        <v>-0</v>
      </c>
      <c r="R28" s="70" t="n">
        <f aca="false">-(R27-Q27)</f>
        <v>-0</v>
      </c>
      <c r="S28" s="70" t="n">
        <f aca="false">-(S27-R27)</f>
        <v>-0</v>
      </c>
      <c r="T28" s="70" t="n">
        <f aca="false">-(T27-S27)</f>
        <v>-0</v>
      </c>
      <c r="U28" s="70" t="n">
        <f aca="false">-(U27-T27)</f>
        <v>-0</v>
      </c>
      <c r="V28" s="70" t="n">
        <f aca="false">-(V27-U27)</f>
        <v>-0</v>
      </c>
      <c r="W28" s="70" t="n">
        <f aca="false">-(W27-V27)</f>
        <v>-0</v>
      </c>
      <c r="X28" s="70" t="n">
        <f aca="false">-(X27-W27)</f>
        <v>-0</v>
      </c>
      <c r="Y28" s="70" t="n">
        <f aca="false">-(Y27-X27)</f>
        <v>-0</v>
      </c>
      <c r="Z28" s="70" t="n">
        <f aca="false">-(Z27-Y27)</f>
        <v>-0</v>
      </c>
      <c r="AA28" s="70" t="n">
        <f aca="false">-(AA27-Z27)</f>
        <v>-0</v>
      </c>
      <c r="AB28" s="70" t="n">
        <f aca="false">-(AB27-AA27)</f>
        <v>-0</v>
      </c>
    </row>
    <row r="29" customFormat="false" ht="15" hidden="false" customHeight="false" outlineLevel="0" collapsed="false">
      <c r="A29" s="67" t="s">
        <v>748</v>
      </c>
      <c r="B29" s="68" t="s">
        <v>749</v>
      </c>
      <c r="C29" s="69" t="n">
        <f aca="false">SUM(E29:P29)</f>
        <v>81199.46</v>
      </c>
      <c r="D29" s="69" t="n">
        <f aca="false">SUM(Q29:AB29)</f>
        <v>0</v>
      </c>
      <c r="E29" s="69" t="n">
        <f aca="false">E26-E17+E28</f>
        <v>31291.7999999999</v>
      </c>
      <c r="F29" s="69" t="n">
        <f aca="false">F26-F17+F28</f>
        <v>34075.7700000001</v>
      </c>
      <c r="G29" s="69" t="n">
        <f aca="false">G26-G17+G28</f>
        <v>23831.89</v>
      </c>
      <c r="H29" s="69" t="n">
        <f aca="false">H26-H17+H28</f>
        <v>0</v>
      </c>
      <c r="I29" s="69" t="n">
        <f aca="false">I26-I17+I28</f>
        <v>-8000</v>
      </c>
      <c r="J29" s="69" t="n">
        <f aca="false">J26-J17+J28</f>
        <v>0</v>
      </c>
      <c r="K29" s="69" t="n">
        <f aca="false">K26-K17+K28</f>
        <v>0</v>
      </c>
      <c r="L29" s="69" t="n">
        <f aca="false">L26-L17+L28</f>
        <v>0</v>
      </c>
      <c r="M29" s="69" t="n">
        <f aca="false">M26-M17+M28</f>
        <v>0</v>
      </c>
      <c r="N29" s="69" t="n">
        <f aca="false">N26-N17+N28</f>
        <v>0</v>
      </c>
      <c r="O29" s="69" t="n">
        <f aca="false">O26-O17+O28</f>
        <v>0</v>
      </c>
      <c r="P29" s="69" t="n">
        <f aca="false">P26-P17+P28</f>
        <v>0</v>
      </c>
      <c r="Q29" s="69" t="n">
        <f aca="false">Q26-Q17+Q28</f>
        <v>0</v>
      </c>
      <c r="R29" s="69" t="n">
        <f aca="false">R26-R17+R28</f>
        <v>0</v>
      </c>
      <c r="S29" s="69" t="n">
        <f aca="false">S26-S17+S28</f>
        <v>0</v>
      </c>
      <c r="T29" s="69" t="n">
        <f aca="false">T26-T17+T28</f>
        <v>0</v>
      </c>
      <c r="U29" s="69" t="n">
        <f aca="false">U26-U17+U28</f>
        <v>0</v>
      </c>
      <c r="V29" s="69" t="n">
        <f aca="false">V26-V17+V28</f>
        <v>0</v>
      </c>
      <c r="W29" s="69" t="n">
        <f aca="false">W26-W17+W28</f>
        <v>0</v>
      </c>
      <c r="X29" s="69" t="n">
        <f aca="false">X26-X17+X28</f>
        <v>0</v>
      </c>
      <c r="Y29" s="69" t="n">
        <f aca="false">Y26-Y17+Y28</f>
        <v>0</v>
      </c>
      <c r="Z29" s="69" t="n">
        <f aca="false">Z26-Z17+Z28</f>
        <v>0</v>
      </c>
      <c r="AA29" s="69" t="n">
        <f aca="false">AA26-AA17+AA28</f>
        <v>0</v>
      </c>
      <c r="AB29" s="69" t="n">
        <f aca="false">AB26-AB17+AB28</f>
        <v>0</v>
      </c>
    </row>
    <row r="30" customFormat="false" ht="15" hidden="false" customHeight="false" outlineLevel="0" collapsed="false">
      <c r="A30" s="27" t="s">
        <v>750</v>
      </c>
      <c r="B30" s="56"/>
      <c r="C30" s="57" t="n">
        <f aca="false">P30</f>
        <v>1043700</v>
      </c>
      <c r="D30" s="57" t="n">
        <f aca="false">AB30</f>
        <v>1043700</v>
      </c>
      <c r="E30" s="58" t="n">
        <f aca="false">Project_Register!$AO$7+E21+Assumptions!$F$121*E23</f>
        <v>1002400</v>
      </c>
      <c r="F30" s="58" t="n">
        <f aca="false">Project_Register!$AO$7+F21+Assumptions!$F$121*F23</f>
        <v>1002400</v>
      </c>
      <c r="G30" s="58" t="n">
        <f aca="false">Project_Register!$AO$7+G21+Assumptions!$F$121*G23</f>
        <v>1031000</v>
      </c>
      <c r="H30" s="58" t="n">
        <f aca="false">Project_Register!$AO$7+H21+Assumptions!$F$121*H23</f>
        <v>1031000</v>
      </c>
      <c r="I30" s="58" t="n">
        <f aca="false">Project_Register!$AO$7+I21+Assumptions!$F$121*I23</f>
        <v>1043700</v>
      </c>
      <c r="J30" s="58" t="n">
        <f aca="false">Project_Register!$AO$7+J21+Assumptions!$F$121*J23</f>
        <v>1043700</v>
      </c>
      <c r="K30" s="58" t="n">
        <f aca="false">Project_Register!$AO$7+K21+Assumptions!$F$121*K23</f>
        <v>1043700</v>
      </c>
      <c r="L30" s="58" t="n">
        <f aca="false">Project_Register!$AO$7+L21+Assumptions!$F$121*L23</f>
        <v>1043700</v>
      </c>
      <c r="M30" s="58" t="n">
        <f aca="false">Project_Register!$AO$7+M21+Assumptions!$F$121*M23</f>
        <v>1043700</v>
      </c>
      <c r="N30" s="58" t="n">
        <f aca="false">Project_Register!$AO$7+N21+Assumptions!$F$121*N23</f>
        <v>1043700</v>
      </c>
      <c r="O30" s="58" t="n">
        <f aca="false">Project_Register!$AO$7+O21+Assumptions!$F$121*O23</f>
        <v>1043700</v>
      </c>
      <c r="P30" s="58" t="n">
        <f aca="false">Project_Register!$AO$7+P21+Assumptions!$F$121*P23</f>
        <v>1043700</v>
      </c>
      <c r="Q30" s="58" t="n">
        <f aca="false">Project_Register!$AO$7+Q21+Assumptions!$F$121*Q23</f>
        <v>1043700</v>
      </c>
      <c r="R30" s="58" t="n">
        <f aca="false">Project_Register!$AO$7+R21+Assumptions!$F$121*R23</f>
        <v>1043700</v>
      </c>
      <c r="S30" s="58" t="n">
        <f aca="false">Project_Register!$AO$7+S21+Assumptions!$F$121*S23</f>
        <v>1043700</v>
      </c>
      <c r="T30" s="58" t="n">
        <f aca="false">Project_Register!$AO$7+T21+Assumptions!$F$121*T23</f>
        <v>1043700</v>
      </c>
      <c r="U30" s="58" t="n">
        <f aca="false">Project_Register!$AO$7+U21+Assumptions!$F$121*U23</f>
        <v>1043700</v>
      </c>
      <c r="V30" s="58" t="n">
        <f aca="false">Project_Register!$AO$7+V21+Assumptions!$F$121*V23</f>
        <v>1043700</v>
      </c>
      <c r="W30" s="58" t="n">
        <f aca="false">Project_Register!$AO$7+W21+Assumptions!$F$121*W23</f>
        <v>1043700</v>
      </c>
      <c r="X30" s="58" t="n">
        <f aca="false">Project_Register!$AO$7+X21+Assumptions!$F$121*X23</f>
        <v>1043700</v>
      </c>
      <c r="Y30" s="58" t="n">
        <f aca="false">Project_Register!$AO$7+Y21+Assumptions!$F$121*Y23</f>
        <v>1043700</v>
      </c>
      <c r="Z30" s="58" t="n">
        <f aca="false">Project_Register!$AO$7+Z21+Assumptions!$F$121*Z23</f>
        <v>1043700</v>
      </c>
      <c r="AA30" s="58" t="n">
        <f aca="false">Project_Register!$AO$7+AA21+Assumptions!$F$121*AA23</f>
        <v>1043700</v>
      </c>
      <c r="AB30" s="58" t="n">
        <f aca="false">Project_Register!$AO$7+AB21+Assumptions!$F$121*AB23</f>
        <v>1043700</v>
      </c>
    </row>
    <row r="31" customFormat="false" ht="15" hidden="false" customHeight="false" outlineLevel="0" collapsed="false">
      <c r="A31" s="27" t="s">
        <v>751</v>
      </c>
      <c r="B31" s="56" t="s">
        <v>752</v>
      </c>
      <c r="C31" s="57" t="n">
        <f aca="false">P31</f>
        <v>1043700</v>
      </c>
      <c r="D31" s="57" t="n">
        <f aca="false">AB31</f>
        <v>1043700</v>
      </c>
      <c r="E31" s="58" t="n">
        <f aca="false">IF(E$5="A",Project_Register!$AE$7+Inputs_Actuals!E16,IF(Assumptions!E$96&gt;=Project_Register!$AM$7,E30,MIN(E30,MAX(Project_Register!$AE$7,0*E30))))</f>
        <v>676972.41</v>
      </c>
      <c r="F31" s="58" t="n">
        <f aca="false">IF(F$5="A",E31+Inputs_Actuals!F16,IF(Assumptions!F$96&gt;=Project_Register!$AM$7,F30,MIN(F30,MAX(E31,E20*F30))))</f>
        <v>819084.67</v>
      </c>
      <c r="G31" s="58" t="n">
        <f aca="false">IF(G$5="A",F31+Inputs_Actuals!G16,IF(Assumptions!G$96&gt;=Project_Register!$AM$7,G30,MIN(G30,MAX(F31,F20*G30))))</f>
        <v>969952.26</v>
      </c>
      <c r="H31" s="58" t="n">
        <f aca="false">IF(H$5="A",G31+Inputs_Actuals!H16,IF(Assumptions!H$96&gt;=Project_Register!$AM$7,H30,MIN(H30,MAX(G31,G20*H30))))</f>
        <v>1031000</v>
      </c>
      <c r="I31" s="58" t="n">
        <f aca="false">IF(I$5="A",H31+Inputs_Actuals!I16,IF(Assumptions!I$96&gt;=Project_Register!$AM$7,I30,MIN(I30,MAX(H31,H20*I30))))</f>
        <v>1043700</v>
      </c>
      <c r="J31" s="58" t="n">
        <f aca="false">IF(J$5="A",I31+Inputs_Actuals!J16,IF(Assumptions!J$96&gt;=Project_Register!$AM$7,J30,MIN(J30,MAX(I31,I20*J30))))</f>
        <v>1043700</v>
      </c>
      <c r="K31" s="58" t="n">
        <f aca="false">IF(K$5="A",J31+Inputs_Actuals!K16,IF(Assumptions!K$96&gt;=Project_Register!$AM$7,K30,MIN(K30,MAX(J31,J20*K30))))</f>
        <v>1043700</v>
      </c>
      <c r="L31" s="58" t="n">
        <f aca="false">IF(L$5="A",K31+Inputs_Actuals!L16,IF(Assumptions!L$96&gt;=Project_Register!$AM$7,L30,MIN(L30,MAX(K31,K20*L30))))</f>
        <v>1043700</v>
      </c>
      <c r="M31" s="58" t="n">
        <f aca="false">IF(M$5="A",L31+Inputs_Actuals!M16,IF(Assumptions!M$96&gt;=Project_Register!$AM$7,M30,MIN(M30,MAX(L31,L20*M30))))</f>
        <v>1043700</v>
      </c>
      <c r="N31" s="58" t="n">
        <f aca="false">IF(N$5="A",M31+Inputs_Actuals!N16,IF(Assumptions!N$96&gt;=Project_Register!$AM$7,N30,MIN(N30,MAX(M31,M20*N30))))</f>
        <v>1043700</v>
      </c>
      <c r="O31" s="58" t="n">
        <f aca="false">IF(O$5="A",N31+Inputs_Actuals!O16,IF(Assumptions!O$96&gt;=Project_Register!$AM$7,O30,MIN(O30,MAX(N31,N20*O30))))</f>
        <v>1043700</v>
      </c>
      <c r="P31" s="58" t="n">
        <f aca="false">IF(P$5="A",O31+Inputs_Actuals!P16,IF(Assumptions!P$96&gt;=Project_Register!$AM$7,P30,MIN(P30,MAX(O31,O20*P30))))</f>
        <v>1043700</v>
      </c>
      <c r="Q31" s="58" t="n">
        <f aca="false">IF(Q$5="A",P31+Inputs_Actuals!Q16,IF(Assumptions!Q$96&gt;=Project_Register!$AM$7,Q30,MIN(Q30,MAX(P31,P20*Q30))))</f>
        <v>1043700</v>
      </c>
      <c r="R31" s="58" t="n">
        <f aca="false">IF(R$5="A",Q31+Inputs_Actuals!R16,IF(Assumptions!R$96&gt;=Project_Register!$AM$7,R30,MIN(R30,MAX(Q31,Q20*R30))))</f>
        <v>1043700</v>
      </c>
      <c r="S31" s="58" t="n">
        <f aca="false">IF(S$5="A",R31+Inputs_Actuals!S16,IF(Assumptions!S$96&gt;=Project_Register!$AM$7,S30,MIN(S30,MAX(R31,R20*S30))))</f>
        <v>1043700</v>
      </c>
      <c r="T31" s="58" t="n">
        <f aca="false">IF(T$5="A",S31+Inputs_Actuals!T16,IF(Assumptions!T$96&gt;=Project_Register!$AM$7,T30,MIN(T30,MAX(S31,S20*T30))))</f>
        <v>1043700</v>
      </c>
      <c r="U31" s="58" t="n">
        <f aca="false">IF(U$5="A",T31+Inputs_Actuals!U16,IF(Assumptions!U$96&gt;=Project_Register!$AM$7,U30,MIN(U30,MAX(T31,T20*U30))))</f>
        <v>1043700</v>
      </c>
      <c r="V31" s="58" t="n">
        <f aca="false">IF(V$5="A",U31+Inputs_Actuals!V16,IF(Assumptions!V$96&gt;=Project_Register!$AM$7,V30,MIN(V30,MAX(U31,U20*V30))))</f>
        <v>1043700</v>
      </c>
      <c r="W31" s="58" t="n">
        <f aca="false">IF(W$5="A",V31+Inputs_Actuals!W16,IF(Assumptions!W$96&gt;=Project_Register!$AM$7,W30,MIN(W30,MAX(V31,V20*W30))))</f>
        <v>1043700</v>
      </c>
      <c r="X31" s="58" t="n">
        <f aca="false">IF(X$5="A",W31+Inputs_Actuals!X16,IF(Assumptions!X$96&gt;=Project_Register!$AM$7,X30,MIN(X30,MAX(W31,W20*X30))))</f>
        <v>1043700</v>
      </c>
      <c r="Y31" s="58" t="n">
        <f aca="false">IF(Y$5="A",X31+Inputs_Actuals!Y16,IF(Assumptions!Y$96&gt;=Project_Register!$AM$7,Y30,MIN(Y30,MAX(X31,X20*Y30))))</f>
        <v>1043700</v>
      </c>
      <c r="Z31" s="58" t="n">
        <f aca="false">IF(Z$5="A",Y31+Inputs_Actuals!Z16,IF(Assumptions!Z$96&gt;=Project_Register!$AM$7,Z30,MIN(Z30,MAX(Y31,Y20*Z30))))</f>
        <v>1043700</v>
      </c>
      <c r="AA31" s="58" t="n">
        <f aca="false">IF(AA$5="A",Z31+Inputs_Actuals!AA16,IF(Assumptions!AA$96&gt;=Project_Register!$AM$7,AA30,MIN(AA30,MAX(Z31,Z20*AA30))))</f>
        <v>1043700</v>
      </c>
      <c r="AB31" s="58" t="n">
        <f aca="false">IF(AB$5="A",AA31+Inputs_Actuals!AB16,IF(Assumptions!AB$96&gt;=Project_Register!$AM$7,AB30,MIN(AB30,MAX(AA31,AA20*AB30))))</f>
        <v>1043700</v>
      </c>
    </row>
    <row r="32" customFormat="false" ht="15" hidden="false" customHeight="false" outlineLevel="0" collapsed="false">
      <c r="A32" s="27" t="s">
        <v>753</v>
      </c>
      <c r="B32" s="56"/>
      <c r="C32" s="57" t="n">
        <f aca="false">SUM(E32:P32)</f>
        <v>541726.44</v>
      </c>
      <c r="D32" s="57" t="n">
        <f aca="false">SUM(Q32:AB32)</f>
        <v>0</v>
      </c>
      <c r="E32" s="58" t="n">
        <f aca="false">E31-Project_Register!$AE$7</f>
        <v>174998.85</v>
      </c>
      <c r="F32" s="70" t="n">
        <f aca="false">F31-E31</f>
        <v>142112.26</v>
      </c>
      <c r="G32" s="70" t="n">
        <f aca="false">G31-F31</f>
        <v>150867.59</v>
      </c>
      <c r="H32" s="70" t="n">
        <f aca="false">H31-G31</f>
        <v>61047.74</v>
      </c>
      <c r="I32" s="70" t="n">
        <f aca="false">I31-H31</f>
        <v>12700</v>
      </c>
      <c r="J32" s="70" t="n">
        <f aca="false">J31-I31</f>
        <v>0</v>
      </c>
      <c r="K32" s="70" t="n">
        <f aca="false">K31-J31</f>
        <v>0</v>
      </c>
      <c r="L32" s="70" t="n">
        <f aca="false">L31-K31</f>
        <v>0</v>
      </c>
      <c r="M32" s="70" t="n">
        <f aca="false">M31-L31</f>
        <v>0</v>
      </c>
      <c r="N32" s="70" t="n">
        <f aca="false">N31-M31</f>
        <v>0</v>
      </c>
      <c r="O32" s="70" t="n">
        <f aca="false">O31-N31</f>
        <v>0</v>
      </c>
      <c r="P32" s="70" t="n">
        <f aca="false">P31-O31</f>
        <v>0</v>
      </c>
      <c r="Q32" s="70" t="n">
        <f aca="false">Q31-P31</f>
        <v>0</v>
      </c>
      <c r="R32" s="70" t="n">
        <f aca="false">R31-Q31</f>
        <v>0</v>
      </c>
      <c r="S32" s="70" t="n">
        <f aca="false">S31-R31</f>
        <v>0</v>
      </c>
      <c r="T32" s="70" t="n">
        <f aca="false">T31-S31</f>
        <v>0</v>
      </c>
      <c r="U32" s="70" t="n">
        <f aca="false">U31-T31</f>
        <v>0</v>
      </c>
      <c r="V32" s="70" t="n">
        <f aca="false">V31-U31</f>
        <v>0</v>
      </c>
      <c r="W32" s="70" t="n">
        <f aca="false">W31-V31</f>
        <v>0</v>
      </c>
      <c r="X32" s="70" t="n">
        <f aca="false">X31-W31</f>
        <v>0</v>
      </c>
      <c r="Y32" s="70" t="n">
        <f aca="false">Y31-X31</f>
        <v>0</v>
      </c>
      <c r="Z32" s="70" t="n">
        <f aca="false">Z31-Y31</f>
        <v>0</v>
      </c>
      <c r="AA32" s="70" t="n">
        <f aca="false">AA31-Z31</f>
        <v>0</v>
      </c>
      <c r="AB32" s="70" t="n">
        <f aca="false">AB31-AA31</f>
        <v>0</v>
      </c>
    </row>
    <row r="33" customFormat="false" ht="15" hidden="false" customHeight="false" outlineLevel="0" collapsed="false">
      <c r="A33" s="27" t="s">
        <v>754</v>
      </c>
      <c r="B33" s="56" t="s">
        <v>755</v>
      </c>
      <c r="C33" s="57" t="n">
        <f aca="false">P33</f>
        <v>26092.5</v>
      </c>
      <c r="D33" s="57" t="n">
        <f aca="false">AB33</f>
        <v>0</v>
      </c>
      <c r="E33" s="58" t="n">
        <f aca="false">Project_Register!$Q$7*E31*(1-Project_Register!$R$7*(Assumptions!E$96&gt;=Project_Register!$AK$7+1)-(1-Project_Register!$R$7)*(Assumptions!E$96&gt;=Project_Register!$AN$7))</f>
        <v>33848.6205</v>
      </c>
      <c r="F33" s="58" t="n">
        <f aca="false">Project_Register!$Q$7*F31*(1-Project_Register!$R$7*(Assumptions!F$96&gt;=Project_Register!$AK$7+1)-(1-Project_Register!$R$7)*(Assumptions!F$96&gt;=Project_Register!$AN$7))</f>
        <v>40954.2335</v>
      </c>
      <c r="G33" s="58" t="n">
        <f aca="false">Project_Register!$Q$7*G31*(1-Project_Register!$R$7*(Assumptions!G$96&gt;=Project_Register!$AK$7+1)-(1-Project_Register!$R$7)*(Assumptions!G$96&gt;=Project_Register!$AN$7))</f>
        <v>48497.613</v>
      </c>
      <c r="H33" s="58" t="n">
        <f aca="false">Project_Register!$Q$7*H31*(1-Project_Register!$R$7*(Assumptions!H$96&gt;=Project_Register!$AK$7+1)-(1-Project_Register!$R$7)*(Assumptions!H$96&gt;=Project_Register!$AN$7))</f>
        <v>25775</v>
      </c>
      <c r="I33" s="58" t="n">
        <f aca="false">Project_Register!$Q$7*I31*(1-Project_Register!$R$7*(Assumptions!I$96&gt;=Project_Register!$AK$7+1)-(1-Project_Register!$R$7)*(Assumptions!I$96&gt;=Project_Register!$AN$7))</f>
        <v>26092.5</v>
      </c>
      <c r="J33" s="58" t="n">
        <f aca="false">Project_Register!$Q$7*J31*(1-Project_Register!$R$7*(Assumptions!J$96&gt;=Project_Register!$AK$7+1)-(1-Project_Register!$R$7)*(Assumptions!J$96&gt;=Project_Register!$AN$7))</f>
        <v>26092.5</v>
      </c>
      <c r="K33" s="58" t="n">
        <f aca="false">Project_Register!$Q$7*K31*(1-Project_Register!$R$7*(Assumptions!K$96&gt;=Project_Register!$AK$7+1)-(1-Project_Register!$R$7)*(Assumptions!K$96&gt;=Project_Register!$AN$7))</f>
        <v>26092.5</v>
      </c>
      <c r="L33" s="58" t="n">
        <f aca="false">Project_Register!$Q$7*L31*(1-Project_Register!$R$7*(Assumptions!L$96&gt;=Project_Register!$AK$7+1)-(1-Project_Register!$R$7)*(Assumptions!L$96&gt;=Project_Register!$AN$7))</f>
        <v>26092.5</v>
      </c>
      <c r="M33" s="58" t="n">
        <f aca="false">Project_Register!$Q$7*M31*(1-Project_Register!$R$7*(Assumptions!M$96&gt;=Project_Register!$AK$7+1)-(1-Project_Register!$R$7)*(Assumptions!M$96&gt;=Project_Register!$AN$7))</f>
        <v>26092.5</v>
      </c>
      <c r="N33" s="58" t="n">
        <f aca="false">Project_Register!$Q$7*N31*(1-Project_Register!$R$7*(Assumptions!N$96&gt;=Project_Register!$AK$7+1)-(1-Project_Register!$R$7)*(Assumptions!N$96&gt;=Project_Register!$AN$7))</f>
        <v>26092.5</v>
      </c>
      <c r="O33" s="58" t="n">
        <f aca="false">Project_Register!$Q$7*O31*(1-Project_Register!$R$7*(Assumptions!O$96&gt;=Project_Register!$AK$7+1)-(1-Project_Register!$R$7)*(Assumptions!O$96&gt;=Project_Register!$AN$7))</f>
        <v>26092.5</v>
      </c>
      <c r="P33" s="58" t="n">
        <f aca="false">Project_Register!$Q$7*P31*(1-Project_Register!$R$7*(Assumptions!P$96&gt;=Project_Register!$AK$7+1)-(1-Project_Register!$R$7)*(Assumptions!P$96&gt;=Project_Register!$AN$7))</f>
        <v>26092.5</v>
      </c>
      <c r="Q33" s="58" t="n">
        <f aca="false">Project_Register!$Q$7*Q31*(1-Project_Register!$R$7*(Assumptions!Q$96&gt;=Project_Register!$AK$7+1)-(1-Project_Register!$R$7)*(Assumptions!Q$96&gt;=Project_Register!$AN$7))</f>
        <v>26092.5</v>
      </c>
      <c r="R33" s="58" t="n">
        <f aca="false">Project_Register!$Q$7*R31*(1-Project_Register!$R$7*(Assumptions!R$96&gt;=Project_Register!$AK$7+1)-(1-Project_Register!$R$7)*(Assumptions!R$96&gt;=Project_Register!$AN$7))</f>
        <v>26092.5</v>
      </c>
      <c r="S33" s="58" t="n">
        <f aca="false">Project_Register!$Q$7*S31*(1-Project_Register!$R$7*(Assumptions!S$96&gt;=Project_Register!$AK$7+1)-(1-Project_Register!$R$7)*(Assumptions!S$96&gt;=Project_Register!$AN$7))</f>
        <v>26092.5</v>
      </c>
      <c r="T33" s="58" t="n">
        <f aca="false">Project_Register!$Q$7*T31*(1-Project_Register!$R$7*(Assumptions!T$96&gt;=Project_Register!$AK$7+1)-(1-Project_Register!$R$7)*(Assumptions!T$96&gt;=Project_Register!$AN$7))</f>
        <v>0</v>
      </c>
      <c r="U33" s="58" t="n">
        <f aca="false">Project_Register!$Q$7*U31*(1-Project_Register!$R$7*(Assumptions!U$96&gt;=Project_Register!$AK$7+1)-(1-Project_Register!$R$7)*(Assumptions!U$96&gt;=Project_Register!$AN$7))</f>
        <v>0</v>
      </c>
      <c r="V33" s="58" t="n">
        <f aca="false">Project_Register!$Q$7*V31*(1-Project_Register!$R$7*(Assumptions!V$96&gt;=Project_Register!$AK$7+1)-(1-Project_Register!$R$7)*(Assumptions!V$96&gt;=Project_Register!$AN$7))</f>
        <v>0</v>
      </c>
      <c r="W33" s="58" t="n">
        <f aca="false">Project_Register!$Q$7*W31*(1-Project_Register!$R$7*(Assumptions!W$96&gt;=Project_Register!$AK$7+1)-(1-Project_Register!$R$7)*(Assumptions!W$96&gt;=Project_Register!$AN$7))</f>
        <v>0</v>
      </c>
      <c r="X33" s="58" t="n">
        <f aca="false">Project_Register!$Q$7*X31*(1-Project_Register!$R$7*(Assumptions!X$96&gt;=Project_Register!$AK$7+1)-(1-Project_Register!$R$7)*(Assumptions!X$96&gt;=Project_Register!$AN$7))</f>
        <v>0</v>
      </c>
      <c r="Y33" s="58" t="n">
        <f aca="false">Project_Register!$Q$7*Y31*(1-Project_Register!$R$7*(Assumptions!Y$96&gt;=Project_Register!$AK$7+1)-(1-Project_Register!$R$7)*(Assumptions!Y$96&gt;=Project_Register!$AN$7))</f>
        <v>0</v>
      </c>
      <c r="Z33" s="58" t="n">
        <f aca="false">Project_Register!$Q$7*Z31*(1-Project_Register!$R$7*(Assumptions!Z$96&gt;=Project_Register!$AK$7+1)-(1-Project_Register!$R$7)*(Assumptions!Z$96&gt;=Project_Register!$AN$7))</f>
        <v>0</v>
      </c>
      <c r="AA33" s="58" t="n">
        <f aca="false">Project_Register!$Q$7*AA31*(1-Project_Register!$R$7*(Assumptions!AA$96&gt;=Project_Register!$AK$7+1)-(1-Project_Register!$R$7)*(Assumptions!AA$96&gt;=Project_Register!$AN$7))</f>
        <v>0</v>
      </c>
      <c r="AB33" s="58" t="n">
        <f aca="false">Project_Register!$Q$7*AB31*(1-Project_Register!$R$7*(Assumptions!AB$96&gt;=Project_Register!$AK$7+1)-(1-Project_Register!$R$7)*(Assumptions!AB$96&gt;=Project_Register!$AN$7))</f>
        <v>0</v>
      </c>
    </row>
    <row r="34" customFormat="false" ht="15" hidden="false" customHeight="false" outlineLevel="0" collapsed="false">
      <c r="A34" s="27" t="s">
        <v>756</v>
      </c>
      <c r="B34" s="56"/>
      <c r="C34" s="57" t="n">
        <f aca="false">SUM(E34:P34)</f>
        <v>993.822</v>
      </c>
      <c r="D34" s="57" t="n">
        <f aca="false">SUM(Q34:AB34)</f>
        <v>-26092.5</v>
      </c>
      <c r="E34" s="58" t="n">
        <f aca="false">E33-Project_Register!$AW$7</f>
        <v>8749.94250000001</v>
      </c>
      <c r="F34" s="70" t="n">
        <f aca="false">F33-E33</f>
        <v>7105.613</v>
      </c>
      <c r="G34" s="70" t="n">
        <f aca="false">G33-F33</f>
        <v>7543.3795</v>
      </c>
      <c r="H34" s="70" t="n">
        <f aca="false">H33-G33</f>
        <v>-22722.613</v>
      </c>
      <c r="I34" s="70" t="n">
        <f aca="false">I33-H33</f>
        <v>317.5</v>
      </c>
      <c r="J34" s="70" t="n">
        <f aca="false">J33-I33</f>
        <v>0</v>
      </c>
      <c r="K34" s="70" t="n">
        <f aca="false">K33-J33</f>
        <v>0</v>
      </c>
      <c r="L34" s="70" t="n">
        <f aca="false">L33-K33</f>
        <v>0</v>
      </c>
      <c r="M34" s="70" t="n">
        <f aca="false">M33-L33</f>
        <v>0</v>
      </c>
      <c r="N34" s="70" t="n">
        <f aca="false">N33-M33</f>
        <v>0</v>
      </c>
      <c r="O34" s="70" t="n">
        <f aca="false">O33-N33</f>
        <v>0</v>
      </c>
      <c r="P34" s="70" t="n">
        <f aca="false">P33-O33</f>
        <v>0</v>
      </c>
      <c r="Q34" s="70" t="n">
        <f aca="false">Q33-P33</f>
        <v>0</v>
      </c>
      <c r="R34" s="70" t="n">
        <f aca="false">R33-Q33</f>
        <v>0</v>
      </c>
      <c r="S34" s="70" t="n">
        <f aca="false">S33-R33</f>
        <v>0</v>
      </c>
      <c r="T34" s="70" t="n">
        <f aca="false">T33-S33</f>
        <v>-26092.5</v>
      </c>
      <c r="U34" s="70" t="n">
        <f aca="false">U33-T33</f>
        <v>0</v>
      </c>
      <c r="V34" s="70" t="n">
        <f aca="false">V33-U33</f>
        <v>0</v>
      </c>
      <c r="W34" s="70" t="n">
        <f aca="false">W33-V33</f>
        <v>0</v>
      </c>
      <c r="X34" s="70" t="n">
        <f aca="false">X33-W33</f>
        <v>0</v>
      </c>
      <c r="Y34" s="70" t="n">
        <f aca="false">Y33-X33</f>
        <v>0</v>
      </c>
      <c r="Z34" s="70" t="n">
        <f aca="false">Z33-Y33</f>
        <v>0</v>
      </c>
      <c r="AA34" s="70" t="n">
        <f aca="false">AA33-Z33</f>
        <v>0</v>
      </c>
      <c r="AB34" s="70" t="n">
        <f aca="false">AB33-AA33</f>
        <v>0</v>
      </c>
    </row>
    <row r="35" customFormat="false" ht="15" hidden="false" customHeight="false" outlineLevel="0" collapsed="false">
      <c r="A35" s="27" t="s">
        <v>757</v>
      </c>
      <c r="B35" s="56"/>
      <c r="C35" s="57" t="n">
        <f aca="false">SUM(E35:P35)</f>
        <v>540732.618</v>
      </c>
      <c r="D35" s="57" t="n">
        <f aca="false">SUM(Q35:AB35)</f>
        <v>26092.5</v>
      </c>
      <c r="E35" s="70" t="n">
        <f aca="false">E32-E34</f>
        <v>166248.9075</v>
      </c>
      <c r="F35" s="70" t="n">
        <f aca="false">F32-F34</f>
        <v>135006.647</v>
      </c>
      <c r="G35" s="70" t="n">
        <f aca="false">G32-G34</f>
        <v>143324.2105</v>
      </c>
      <c r="H35" s="70" t="n">
        <f aca="false">H32-H34</f>
        <v>83770.353</v>
      </c>
      <c r="I35" s="70" t="n">
        <f aca="false">I32-I34</f>
        <v>12382.5</v>
      </c>
      <c r="J35" s="70" t="n">
        <f aca="false">J32-J34</f>
        <v>0</v>
      </c>
      <c r="K35" s="70" t="n">
        <f aca="false">K32-K34</f>
        <v>0</v>
      </c>
      <c r="L35" s="70" t="n">
        <f aca="false">L32-L34</f>
        <v>0</v>
      </c>
      <c r="M35" s="70" t="n">
        <f aca="false">M32-M34</f>
        <v>0</v>
      </c>
      <c r="N35" s="70" t="n">
        <f aca="false">N32-N34</f>
        <v>0</v>
      </c>
      <c r="O35" s="70" t="n">
        <f aca="false">O32-O34</f>
        <v>0</v>
      </c>
      <c r="P35" s="70" t="n">
        <f aca="false">P32-P34</f>
        <v>0</v>
      </c>
      <c r="Q35" s="70" t="n">
        <f aca="false">Q32-Q34</f>
        <v>0</v>
      </c>
      <c r="R35" s="70" t="n">
        <f aca="false">R32-R34</f>
        <v>0</v>
      </c>
      <c r="S35" s="70" t="n">
        <f aca="false">S32-S34</f>
        <v>0</v>
      </c>
      <c r="T35" s="70" t="n">
        <f aca="false">T32-T34</f>
        <v>26092.5</v>
      </c>
      <c r="U35" s="70" t="n">
        <f aca="false">U32-U34</f>
        <v>0</v>
      </c>
      <c r="V35" s="70" t="n">
        <f aca="false">V32-V34</f>
        <v>0</v>
      </c>
      <c r="W35" s="70" t="n">
        <f aca="false">W32-W34</f>
        <v>0</v>
      </c>
      <c r="X35" s="70" t="n">
        <f aca="false">X32-X34</f>
        <v>0</v>
      </c>
      <c r="Y35" s="70" t="n">
        <f aca="false">Y32-Y34</f>
        <v>0</v>
      </c>
      <c r="Z35" s="70" t="n">
        <f aca="false">Z32-Z34</f>
        <v>0</v>
      </c>
      <c r="AA35" s="70" t="n">
        <f aca="false">AA32-AA34</f>
        <v>0</v>
      </c>
      <c r="AB35" s="70" t="n">
        <f aca="false">AB32-AB34</f>
        <v>0</v>
      </c>
    </row>
    <row r="36" customFormat="false" ht="15" hidden="false" customHeight="false" outlineLevel="0" collapsed="false">
      <c r="A36" s="27" t="s">
        <v>758</v>
      </c>
      <c r="B36" s="56" t="s">
        <v>759</v>
      </c>
      <c r="C36" s="57" t="n">
        <f aca="false">SUM(E36:P36)</f>
        <v>72998.90343</v>
      </c>
      <c r="D36" s="57" t="n">
        <f aca="false">SUM(Q36:AB36)</f>
        <v>3522.4875</v>
      </c>
      <c r="E36" s="58" t="n">
        <f aca="false">E35*Project_Register!$W$7</f>
        <v>22443.6025125</v>
      </c>
      <c r="F36" s="58" t="n">
        <f aca="false">F35*Project_Register!$W$7</f>
        <v>18225.897345</v>
      </c>
      <c r="G36" s="58" t="n">
        <f aca="false">G35*Project_Register!$W$7</f>
        <v>19348.7684175</v>
      </c>
      <c r="H36" s="58" t="n">
        <f aca="false">H35*Project_Register!$W$7</f>
        <v>11308.997655</v>
      </c>
      <c r="I36" s="58" t="n">
        <f aca="false">I35*Project_Register!$W$7</f>
        <v>1671.6375</v>
      </c>
      <c r="J36" s="58" t="n">
        <f aca="false">J35*Project_Register!$W$7</f>
        <v>0</v>
      </c>
      <c r="K36" s="58" t="n">
        <f aca="false">K35*Project_Register!$W$7</f>
        <v>0</v>
      </c>
      <c r="L36" s="58" t="n">
        <f aca="false">L35*Project_Register!$W$7</f>
        <v>0</v>
      </c>
      <c r="M36" s="58" t="n">
        <f aca="false">M35*Project_Register!$W$7</f>
        <v>0</v>
      </c>
      <c r="N36" s="58" t="n">
        <f aca="false">N35*Project_Register!$W$7</f>
        <v>0</v>
      </c>
      <c r="O36" s="58" t="n">
        <f aca="false">O35*Project_Register!$W$7</f>
        <v>0</v>
      </c>
      <c r="P36" s="58" t="n">
        <f aca="false">P35*Project_Register!$W$7</f>
        <v>0</v>
      </c>
      <c r="Q36" s="58" t="n">
        <f aca="false">Q35*Project_Register!$W$7</f>
        <v>0</v>
      </c>
      <c r="R36" s="58" t="n">
        <f aca="false">R35*Project_Register!$W$7</f>
        <v>0</v>
      </c>
      <c r="S36" s="58" t="n">
        <f aca="false">S35*Project_Register!$W$7</f>
        <v>0</v>
      </c>
      <c r="T36" s="58" t="n">
        <f aca="false">T35*Project_Register!$W$7</f>
        <v>3522.4875</v>
      </c>
      <c r="U36" s="58" t="n">
        <f aca="false">U35*Project_Register!$W$7</f>
        <v>0</v>
      </c>
      <c r="V36" s="58" t="n">
        <f aca="false">V35*Project_Register!$W$7</f>
        <v>0</v>
      </c>
      <c r="W36" s="58" t="n">
        <f aca="false">W35*Project_Register!$W$7</f>
        <v>0</v>
      </c>
      <c r="X36" s="58" t="n">
        <f aca="false">X35*Project_Register!$W$7</f>
        <v>0</v>
      </c>
      <c r="Y36" s="58" t="n">
        <f aca="false">Y35*Project_Register!$W$7</f>
        <v>0</v>
      </c>
      <c r="Z36" s="58" t="n">
        <f aca="false">Z35*Project_Register!$W$7</f>
        <v>0</v>
      </c>
      <c r="AA36" s="58" t="n">
        <f aca="false">AA35*Project_Register!$W$7</f>
        <v>0</v>
      </c>
      <c r="AB36" s="58" t="n">
        <f aca="false">AB35*Project_Register!$W$7</f>
        <v>0</v>
      </c>
    </row>
    <row r="37" customFormat="false" ht="15" hidden="false" customHeight="false" outlineLevel="0" collapsed="false">
      <c r="A37" s="27" t="s">
        <v>760</v>
      </c>
      <c r="B37" s="56"/>
      <c r="C37" s="57" t="n">
        <f aca="false">SUM(E37:P37)</f>
        <v>613731.52143</v>
      </c>
      <c r="D37" s="57" t="n">
        <f aca="false">SUM(Q37:AB37)</f>
        <v>29614.9875</v>
      </c>
      <c r="E37" s="70" t="n">
        <f aca="false">E35+E36</f>
        <v>188692.5100125</v>
      </c>
      <c r="F37" s="70" t="n">
        <f aca="false">F35+F36</f>
        <v>153232.544345</v>
      </c>
      <c r="G37" s="70" t="n">
        <f aca="false">G35+G36</f>
        <v>162672.9789175</v>
      </c>
      <c r="H37" s="70" t="n">
        <f aca="false">H35+H36</f>
        <v>95079.350655</v>
      </c>
      <c r="I37" s="70" t="n">
        <f aca="false">I35+I36</f>
        <v>14054.1375</v>
      </c>
      <c r="J37" s="70" t="n">
        <f aca="false">J35+J36</f>
        <v>0</v>
      </c>
      <c r="K37" s="70" t="n">
        <f aca="false">K35+K36</f>
        <v>0</v>
      </c>
      <c r="L37" s="70" t="n">
        <f aca="false">L35+L36</f>
        <v>0</v>
      </c>
      <c r="M37" s="70" t="n">
        <f aca="false">M35+M36</f>
        <v>0</v>
      </c>
      <c r="N37" s="70" t="n">
        <f aca="false">N35+N36</f>
        <v>0</v>
      </c>
      <c r="O37" s="70" t="n">
        <f aca="false">O35+O36</f>
        <v>0</v>
      </c>
      <c r="P37" s="70" t="n">
        <f aca="false">P35+P36</f>
        <v>0</v>
      </c>
      <c r="Q37" s="70" t="n">
        <f aca="false">Q35+Q36</f>
        <v>0</v>
      </c>
      <c r="R37" s="70" t="n">
        <f aca="false">R35+R36</f>
        <v>0</v>
      </c>
      <c r="S37" s="70" t="n">
        <f aca="false">S35+S36</f>
        <v>0</v>
      </c>
      <c r="T37" s="70" t="n">
        <f aca="false">T35+T36</f>
        <v>29614.9875</v>
      </c>
      <c r="U37" s="70" t="n">
        <f aca="false">U35+U36</f>
        <v>0</v>
      </c>
      <c r="V37" s="70" t="n">
        <f aca="false">V35+V36</f>
        <v>0</v>
      </c>
      <c r="W37" s="70" t="n">
        <f aca="false">W35+W36</f>
        <v>0</v>
      </c>
      <c r="X37" s="70" t="n">
        <f aca="false">X35+X36</f>
        <v>0</v>
      </c>
      <c r="Y37" s="70" t="n">
        <f aca="false">Y35+Y36</f>
        <v>0</v>
      </c>
      <c r="Z37" s="70" t="n">
        <f aca="false">Z35+Z36</f>
        <v>0</v>
      </c>
      <c r="AA37" s="70" t="n">
        <f aca="false">AA35+AA36</f>
        <v>0</v>
      </c>
      <c r="AB37" s="70" t="n">
        <f aca="false">AB35+AB36</f>
        <v>0</v>
      </c>
    </row>
    <row r="38" customFormat="false" ht="15" hidden="false" customHeight="false" outlineLevel="0" collapsed="false">
      <c r="A38" s="27" t="s">
        <v>761</v>
      </c>
      <c r="B38" s="56" t="s">
        <v>762</v>
      </c>
      <c r="C38" s="57" t="n">
        <f aca="false">SUM(E38:P38)</f>
        <v>834128.26143</v>
      </c>
      <c r="D38" s="57" t="n">
        <f aca="false">SUM(Q38:AB38)</f>
        <v>29614.9875</v>
      </c>
      <c r="E38" s="58" t="n">
        <f aca="false">IF(E$5="A",Inputs_Actuals!E17,Project_Register!$AF$7+E37-(E37*MIN(1,Project_Register!$AY$7/30)+0*MIN(1,MAX(0,(Project_Register!$AY$7-30)/30))))</f>
        <v>217597.9</v>
      </c>
      <c r="F38" s="58" t="n">
        <f aca="false">IF(F$5="A",Inputs_Actuals!F17,E39+F37-(F37*MIN(1,Project_Register!$AY$7/30)+E37*MIN(1,MAX(0,(Project_Register!$AY$7-30)/30))))</f>
        <v>205867.58</v>
      </c>
      <c r="G38" s="58" t="n">
        <f aca="false">IF(G$5="A",Inputs_Actuals!G17,F39+G37-(G37*MIN(1,Project_Register!$AY$7/30)+F37*MIN(1,MAX(0,(Project_Register!$AY$7-30)/30))))</f>
        <v>125893.45</v>
      </c>
      <c r="H38" s="58" t="n">
        <f aca="false">IF(H$5="A",Inputs_Actuals!H17,G39+H37-(H37*MIN(1,Project_Register!$AY$7/30)+G37*MIN(1,MAX(0,(Project_Register!$AY$7-30)/30))))</f>
        <v>155017.36</v>
      </c>
      <c r="I38" s="58" t="n">
        <f aca="false">IF(I$5="A",Inputs_Actuals!I17,H39+I37-(I37*MIN(1,Project_Register!$AY$7/30)+H37*MIN(1,MAX(0,(Project_Register!$AY$7-30)/30))))</f>
        <v>115232.36</v>
      </c>
      <c r="J38" s="58" t="n">
        <f aca="false">IF(J$5="A",Inputs_Actuals!J17,I39+J37-(J37*MIN(1,Project_Register!$AY$7/30)+I37*MIN(1,MAX(0,(Project_Register!$AY$7-30)/30))))</f>
        <v>14519.61</v>
      </c>
      <c r="K38" s="58" t="n">
        <f aca="false">IF(K$5="A",Inputs_Actuals!K17,J39+K37-(K37*MIN(1,Project_Register!$AY$7/30)+J37*MIN(1,MAX(0,(Project_Register!$AY$7-30)/30))))</f>
        <v>0</v>
      </c>
      <c r="L38" s="58" t="n">
        <f aca="false">IF(L$5="A",Inputs_Actuals!L17,K39+L37-(L37*MIN(1,Project_Register!$AY$7/30)+K37*MIN(1,MAX(0,(Project_Register!$AY$7-30)/30))))</f>
        <v>0</v>
      </c>
      <c r="M38" s="58" t="n">
        <f aca="false">IF(M$5="A",Inputs_Actuals!M17,L39+M37-(M37*MIN(1,Project_Register!$AY$7/30)+L37*MIN(1,MAX(0,(Project_Register!$AY$7-30)/30))))</f>
        <v>0.00142999996023718</v>
      </c>
      <c r="N38" s="58" t="n">
        <f aca="false">IF(N$5="A",Inputs_Actuals!N17,M39+N37-(N37*MIN(1,Project_Register!$AY$7/30)+M37*MIN(1,MAX(0,(Project_Register!$AY$7-30)/30))))</f>
        <v>0</v>
      </c>
      <c r="O38" s="58" t="n">
        <f aca="false">IF(O$5="A",Inputs_Actuals!O17,N39+O37-(O37*MIN(1,Project_Register!$AY$7/30)+N37*MIN(1,MAX(0,(Project_Register!$AY$7-30)/30))))</f>
        <v>0</v>
      </c>
      <c r="P38" s="58" t="n">
        <f aca="false">IF(P$5="A",Inputs_Actuals!P17,O39+P37-(P37*MIN(1,Project_Register!$AY$7/30)+O37*MIN(1,MAX(0,(Project_Register!$AY$7-30)/30))))</f>
        <v>0</v>
      </c>
      <c r="Q38" s="58" t="n">
        <f aca="false">IF(Q$5="A",Inputs_Actuals!Q17,P39+Q37-(Q37*MIN(1,Project_Register!$AY$7/30)+P37*MIN(1,MAX(0,(Project_Register!$AY$7-30)/30))))</f>
        <v>0</v>
      </c>
      <c r="R38" s="58" t="n">
        <f aca="false">IF(R$5="A",Inputs_Actuals!R17,Q39+R37-(R37*MIN(1,Project_Register!$AY$7/30)+Q37*MIN(1,MAX(0,(Project_Register!$AY$7-30)/30))))</f>
        <v>0</v>
      </c>
      <c r="S38" s="58" t="n">
        <f aca="false">IF(S$5="A",Inputs_Actuals!S17,R39+S37-(S37*MIN(1,Project_Register!$AY$7/30)+R37*MIN(1,MAX(0,(Project_Register!$AY$7-30)/30))))</f>
        <v>0</v>
      </c>
      <c r="T38" s="58" t="n">
        <f aca="false">IF(T$5="A",Inputs_Actuals!T17,S39+T37-(T37*MIN(1,Project_Register!$AY$7/30)+S37*MIN(1,MAX(0,(Project_Register!$AY$7-30)/30))))</f>
        <v>0</v>
      </c>
      <c r="U38" s="58" t="n">
        <f aca="false">IF(U$5="A",Inputs_Actuals!U17,T39+U37-(U37*MIN(1,Project_Register!$AY$7/30)+T37*MIN(1,MAX(0,(Project_Register!$AY$7-30)/30))))</f>
        <v>29614.9875</v>
      </c>
      <c r="V38" s="58" t="n">
        <f aca="false">IF(V$5="A",Inputs_Actuals!V17,U39+V37-(V37*MIN(1,Project_Register!$AY$7/30)+U37*MIN(1,MAX(0,(Project_Register!$AY$7-30)/30))))</f>
        <v>0</v>
      </c>
      <c r="W38" s="58" t="n">
        <f aca="false">IF(W$5="A",Inputs_Actuals!W17,V39+W37-(W37*MIN(1,Project_Register!$AY$7/30)+V37*MIN(1,MAX(0,(Project_Register!$AY$7-30)/30))))</f>
        <v>0</v>
      </c>
      <c r="X38" s="58" t="n">
        <f aca="false">IF(X$5="A",Inputs_Actuals!X17,W39+X37-(X37*MIN(1,Project_Register!$AY$7/30)+W37*MIN(1,MAX(0,(Project_Register!$AY$7-30)/30))))</f>
        <v>0</v>
      </c>
      <c r="Y38" s="58" t="n">
        <f aca="false">IF(Y$5="A",Inputs_Actuals!Y17,X39+Y37-(Y37*MIN(1,Project_Register!$AY$7/30)+X37*MIN(1,MAX(0,(Project_Register!$AY$7-30)/30))))</f>
        <v>0</v>
      </c>
      <c r="Z38" s="58" t="n">
        <f aca="false">IF(Z$5="A",Inputs_Actuals!Z17,Y39+Z37-(Z37*MIN(1,Project_Register!$AY$7/30)+Y37*MIN(1,MAX(0,(Project_Register!$AY$7-30)/30))))</f>
        <v>0</v>
      </c>
      <c r="AA38" s="58" t="n">
        <f aca="false">IF(AA$5="A",Inputs_Actuals!AA17,Z39+AA37-(AA37*MIN(1,Project_Register!$AY$7/30)+Z37*MIN(1,MAX(0,(Project_Register!$AY$7-30)/30))))</f>
        <v>0</v>
      </c>
      <c r="AB38" s="58" t="n">
        <f aca="false">IF(AB$5="A",Inputs_Actuals!AB17,AA39+AB37-(AB37*MIN(1,Project_Register!$AY$7/30)+AA37*MIN(1,MAX(0,(Project_Register!$AY$7-30)/30))))</f>
        <v>0</v>
      </c>
    </row>
    <row r="39" customFormat="false" ht="15" hidden="false" customHeight="false" outlineLevel="0" collapsed="false">
      <c r="A39" s="27" t="s">
        <v>763</v>
      </c>
      <c r="B39" s="56" t="s">
        <v>764</v>
      </c>
      <c r="C39" s="57" t="n">
        <f aca="false">P39</f>
        <v>0</v>
      </c>
      <c r="D39" s="57" t="n">
        <f aca="false">AB39</f>
        <v>0</v>
      </c>
      <c r="E39" s="58" t="n">
        <f aca="false">Project_Register!$AF$7+E37-E38</f>
        <v>191491.3500125</v>
      </c>
      <c r="F39" s="70" t="n">
        <f aca="false">E39+F37-F38</f>
        <v>138856.3143575</v>
      </c>
      <c r="G39" s="70" t="n">
        <f aca="false">F39+G37-G38</f>
        <v>175635.843275</v>
      </c>
      <c r="H39" s="70" t="n">
        <f aca="false">G39+H37-H38</f>
        <v>115697.83393</v>
      </c>
      <c r="I39" s="70" t="n">
        <f aca="false">H39+I37-I38</f>
        <v>14519.61143</v>
      </c>
      <c r="J39" s="70" t="n">
        <f aca="false">I39+J37-J38</f>
        <v>0.00142999996023718</v>
      </c>
      <c r="K39" s="70" t="n">
        <f aca="false">J39+K37-K38</f>
        <v>0.00142999996023718</v>
      </c>
      <c r="L39" s="70" t="n">
        <f aca="false">K39+L37-L38</f>
        <v>0.00142999996023718</v>
      </c>
      <c r="M39" s="70" t="n">
        <f aca="false">L39+M37-M38</f>
        <v>0</v>
      </c>
      <c r="N39" s="70" t="n">
        <f aca="false">M39+N37-N38</f>
        <v>0</v>
      </c>
      <c r="O39" s="70" t="n">
        <f aca="false">N39+O37-O38</f>
        <v>0</v>
      </c>
      <c r="P39" s="70" t="n">
        <f aca="false">O39+P37-P38</f>
        <v>0</v>
      </c>
      <c r="Q39" s="70" t="n">
        <f aca="false">P39+Q37-Q38</f>
        <v>0</v>
      </c>
      <c r="R39" s="70" t="n">
        <f aca="false">Q39+R37-R38</f>
        <v>0</v>
      </c>
      <c r="S39" s="70" t="n">
        <f aca="false">R39+S37-S38</f>
        <v>0</v>
      </c>
      <c r="T39" s="70" t="n">
        <f aca="false">S39+T37-T38</f>
        <v>29614.9875</v>
      </c>
      <c r="U39" s="70" t="n">
        <f aca="false">T39+U37-U38</f>
        <v>0</v>
      </c>
      <c r="V39" s="70" t="n">
        <f aca="false">U39+V37-V38</f>
        <v>0</v>
      </c>
      <c r="W39" s="70" t="n">
        <f aca="false">V39+W37-W38</f>
        <v>0</v>
      </c>
      <c r="X39" s="70" t="n">
        <f aca="false">W39+X37-X38</f>
        <v>0</v>
      </c>
      <c r="Y39" s="70" t="n">
        <f aca="false">X39+Y37-Y38</f>
        <v>0</v>
      </c>
      <c r="Z39" s="70" t="n">
        <f aca="false">Y39+Z37-Z38</f>
        <v>0</v>
      </c>
      <c r="AA39" s="70" t="n">
        <f aca="false">Z39+AA37-AA38</f>
        <v>0</v>
      </c>
      <c r="AB39" s="70" t="n">
        <f aca="false">AA39+AB37-AB38</f>
        <v>0</v>
      </c>
    </row>
    <row r="40" customFormat="false" ht="15" hidden="false" customHeight="false" outlineLevel="0" collapsed="false">
      <c r="A40" s="27" t="s">
        <v>765</v>
      </c>
      <c r="B40" s="56" t="s">
        <v>766</v>
      </c>
      <c r="C40" s="57" t="n">
        <f aca="false">P40</f>
        <v>0</v>
      </c>
      <c r="D40" s="57" t="n">
        <f aca="false">AB40</f>
        <v>0</v>
      </c>
      <c r="E40" s="70" t="n">
        <f aca="false">E25-E31</f>
        <v>161192.09</v>
      </c>
      <c r="F40" s="70" t="n">
        <f aca="false">F25-F31</f>
        <v>158393.89</v>
      </c>
      <c r="G40" s="70" t="n">
        <f aca="false">G25-G31</f>
        <v>81747.74</v>
      </c>
      <c r="H40" s="70" t="n">
        <f aca="false">H25-H31</f>
        <v>20700</v>
      </c>
      <c r="I40" s="70" t="n">
        <f aca="false">I25-I31</f>
        <v>0</v>
      </c>
      <c r="J40" s="70" t="n">
        <f aca="false">J25-J31</f>
        <v>0</v>
      </c>
      <c r="K40" s="70" t="n">
        <f aca="false">K25-K31</f>
        <v>0</v>
      </c>
      <c r="L40" s="70" t="n">
        <f aca="false">L25-L31</f>
        <v>0</v>
      </c>
      <c r="M40" s="70" t="n">
        <f aca="false">M25-M31</f>
        <v>0</v>
      </c>
      <c r="N40" s="70" t="n">
        <f aca="false">N25-N31</f>
        <v>0</v>
      </c>
      <c r="O40" s="70" t="n">
        <f aca="false">O25-O31</f>
        <v>0</v>
      </c>
      <c r="P40" s="70" t="n">
        <f aca="false">P25-P31</f>
        <v>0</v>
      </c>
      <c r="Q40" s="70" t="n">
        <f aca="false">Q25-Q31</f>
        <v>0</v>
      </c>
      <c r="R40" s="70" t="n">
        <f aca="false">R25-R31</f>
        <v>0</v>
      </c>
      <c r="S40" s="70" t="n">
        <f aca="false">S25-S31</f>
        <v>0</v>
      </c>
      <c r="T40" s="70" t="n">
        <f aca="false">T25-T31</f>
        <v>0</v>
      </c>
      <c r="U40" s="70" t="n">
        <f aca="false">U25-U31</f>
        <v>0</v>
      </c>
      <c r="V40" s="70" t="n">
        <f aca="false">V25-V31</f>
        <v>0</v>
      </c>
      <c r="W40" s="70" t="n">
        <f aca="false">W25-W31</f>
        <v>0</v>
      </c>
      <c r="X40" s="70" t="n">
        <f aca="false">X25-X31</f>
        <v>0</v>
      </c>
      <c r="Y40" s="70" t="n">
        <f aca="false">Y25-Y31</f>
        <v>0</v>
      </c>
      <c r="Z40" s="70" t="n">
        <f aca="false">Z25-Z31</f>
        <v>0</v>
      </c>
      <c r="AA40" s="70" t="n">
        <f aca="false">AA25-AA31</f>
        <v>0</v>
      </c>
      <c r="AB40" s="70" t="n">
        <f aca="false">AB25-AB31</f>
        <v>0</v>
      </c>
    </row>
    <row r="41" customFormat="false" ht="15" hidden="false" customHeight="false" outlineLevel="0" collapsed="false">
      <c r="A41" s="27" t="s">
        <v>767</v>
      </c>
      <c r="B41" s="56"/>
      <c r="C41" s="57" t="n">
        <f aca="false">P41</f>
        <v>0</v>
      </c>
      <c r="D41" s="57" t="n">
        <f aca="false">AB41</f>
        <v>0</v>
      </c>
      <c r="E41" s="70" t="n">
        <f aca="false">MAX(0,E40)</f>
        <v>161192.09</v>
      </c>
      <c r="F41" s="70" t="n">
        <f aca="false">MAX(0,F40)</f>
        <v>158393.89</v>
      </c>
      <c r="G41" s="70" t="n">
        <f aca="false">MAX(0,G40)</f>
        <v>81747.74</v>
      </c>
      <c r="H41" s="70" t="n">
        <f aca="false">MAX(0,H40)</f>
        <v>20700</v>
      </c>
      <c r="I41" s="70" t="n">
        <f aca="false">MAX(0,I40)</f>
        <v>0</v>
      </c>
      <c r="J41" s="70" t="n">
        <f aca="false">MAX(0,J40)</f>
        <v>0</v>
      </c>
      <c r="K41" s="70" t="n">
        <f aca="false">MAX(0,K40)</f>
        <v>0</v>
      </c>
      <c r="L41" s="70" t="n">
        <f aca="false">MAX(0,L40)</f>
        <v>0</v>
      </c>
      <c r="M41" s="70" t="n">
        <f aca="false">MAX(0,M40)</f>
        <v>0</v>
      </c>
      <c r="N41" s="70" t="n">
        <f aca="false">MAX(0,N40)</f>
        <v>0</v>
      </c>
      <c r="O41" s="70" t="n">
        <f aca="false">MAX(0,O40)</f>
        <v>0</v>
      </c>
      <c r="P41" s="70" t="n">
        <f aca="false">MAX(0,P40)</f>
        <v>0</v>
      </c>
      <c r="Q41" s="70" t="n">
        <f aca="false">MAX(0,Q40)</f>
        <v>0</v>
      </c>
      <c r="R41" s="70" t="n">
        <f aca="false">MAX(0,R40)</f>
        <v>0</v>
      </c>
      <c r="S41" s="70" t="n">
        <f aca="false">MAX(0,S40)</f>
        <v>0</v>
      </c>
      <c r="T41" s="70" t="n">
        <f aca="false">MAX(0,T40)</f>
        <v>0</v>
      </c>
      <c r="U41" s="70" t="n">
        <f aca="false">MAX(0,U40)</f>
        <v>0</v>
      </c>
      <c r="V41" s="70" t="n">
        <f aca="false">MAX(0,V40)</f>
        <v>0</v>
      </c>
      <c r="W41" s="70" t="n">
        <f aca="false">MAX(0,W40)</f>
        <v>0</v>
      </c>
      <c r="X41" s="70" t="n">
        <f aca="false">MAX(0,X40)</f>
        <v>0</v>
      </c>
      <c r="Y41" s="70" t="n">
        <f aca="false">MAX(0,Y40)</f>
        <v>0</v>
      </c>
      <c r="Z41" s="70" t="n">
        <f aca="false">MAX(0,Z40)</f>
        <v>0</v>
      </c>
      <c r="AA41" s="70" t="n">
        <f aca="false">MAX(0,AA40)</f>
        <v>0</v>
      </c>
      <c r="AB41" s="70" t="n">
        <f aca="false">MAX(0,AB40)</f>
        <v>0</v>
      </c>
    </row>
    <row r="42" customFormat="false" ht="15" hidden="false" customHeight="false" outlineLevel="0" collapsed="false">
      <c r="A42" s="27" t="s">
        <v>768</v>
      </c>
      <c r="B42" s="56"/>
      <c r="C42" s="57" t="n">
        <f aca="false">P42</f>
        <v>-0</v>
      </c>
      <c r="D42" s="57" t="n">
        <f aca="false">AB42</f>
        <v>-0</v>
      </c>
      <c r="E42" s="70" t="n">
        <f aca="false">MAX(0,-E40)</f>
        <v>0</v>
      </c>
      <c r="F42" s="70" t="n">
        <f aca="false">MAX(0,-F40)</f>
        <v>0</v>
      </c>
      <c r="G42" s="70" t="n">
        <f aca="false">MAX(0,-G40)</f>
        <v>0</v>
      </c>
      <c r="H42" s="70" t="n">
        <f aca="false">MAX(0,-H40)</f>
        <v>0</v>
      </c>
      <c r="I42" s="70" t="n">
        <f aca="false">MAX(0,-I40)</f>
        <v>-0</v>
      </c>
      <c r="J42" s="70" t="n">
        <f aca="false">MAX(0,-J40)</f>
        <v>-0</v>
      </c>
      <c r="K42" s="70" t="n">
        <f aca="false">MAX(0,-K40)</f>
        <v>-0</v>
      </c>
      <c r="L42" s="70" t="n">
        <f aca="false">MAX(0,-L40)</f>
        <v>-0</v>
      </c>
      <c r="M42" s="70" t="n">
        <f aca="false">MAX(0,-M40)</f>
        <v>-0</v>
      </c>
      <c r="N42" s="70" t="n">
        <f aca="false">MAX(0,-N40)</f>
        <v>-0</v>
      </c>
      <c r="O42" s="70" t="n">
        <f aca="false">MAX(0,-O40)</f>
        <v>-0</v>
      </c>
      <c r="P42" s="70" t="n">
        <f aca="false">MAX(0,-P40)</f>
        <v>-0</v>
      </c>
      <c r="Q42" s="70" t="n">
        <f aca="false">MAX(0,-Q40)</f>
        <v>-0</v>
      </c>
      <c r="R42" s="70" t="n">
        <f aca="false">MAX(0,-R40)</f>
        <v>-0</v>
      </c>
      <c r="S42" s="70" t="n">
        <f aca="false">MAX(0,-S40)</f>
        <v>-0</v>
      </c>
      <c r="T42" s="70" t="n">
        <f aca="false">MAX(0,-T40)</f>
        <v>-0</v>
      </c>
      <c r="U42" s="70" t="n">
        <f aca="false">MAX(0,-U40)</f>
        <v>-0</v>
      </c>
      <c r="V42" s="70" t="n">
        <f aca="false">MAX(0,-V40)</f>
        <v>-0</v>
      </c>
      <c r="W42" s="70" t="n">
        <f aca="false">MAX(0,-W40)</f>
        <v>-0</v>
      </c>
      <c r="X42" s="70" t="n">
        <f aca="false">MAX(0,-X40)</f>
        <v>-0</v>
      </c>
      <c r="Y42" s="70" t="n">
        <f aca="false">MAX(0,-Y40)</f>
        <v>-0</v>
      </c>
      <c r="Z42" s="70" t="n">
        <f aca="false">MAX(0,-Z40)</f>
        <v>-0</v>
      </c>
      <c r="AA42" s="70" t="n">
        <f aca="false">MAX(0,-AA40)</f>
        <v>-0</v>
      </c>
      <c r="AB42" s="70" t="n">
        <f aca="false">MAX(0,-AB40)</f>
        <v>-0</v>
      </c>
    </row>
    <row r="43" customFormat="false" ht="15" hidden="false" customHeight="false" outlineLevel="0" collapsed="false">
      <c r="A43" s="27" t="s">
        <v>769</v>
      </c>
      <c r="B43" s="56"/>
      <c r="C43" s="57" t="n">
        <f aca="false">P43</f>
        <v>415048.62</v>
      </c>
      <c r="D43" s="57" t="n">
        <f aca="false">AB43</f>
        <v>415048.62</v>
      </c>
      <c r="E43" s="58" t="n">
        <f aca="false">Project_Register!$AG$7+E13</f>
        <v>337557.33</v>
      </c>
      <c r="F43" s="70" t="n">
        <f aca="false">E43+F13</f>
        <v>389579.9</v>
      </c>
      <c r="G43" s="70" t="n">
        <f aca="false">F43+G13</f>
        <v>415048.62</v>
      </c>
      <c r="H43" s="70" t="n">
        <f aca="false">G43+H13</f>
        <v>415048.62</v>
      </c>
      <c r="I43" s="70" t="n">
        <f aca="false">H43+I13</f>
        <v>415048.62</v>
      </c>
      <c r="J43" s="70" t="n">
        <f aca="false">I43+J13</f>
        <v>415048.62</v>
      </c>
      <c r="K43" s="70" t="n">
        <f aca="false">J43+K13</f>
        <v>415048.62</v>
      </c>
      <c r="L43" s="70" t="n">
        <f aca="false">K43+L13</f>
        <v>415048.62</v>
      </c>
      <c r="M43" s="70" t="n">
        <f aca="false">L43+M13</f>
        <v>415048.62</v>
      </c>
      <c r="N43" s="70" t="n">
        <f aca="false">M43+N13</f>
        <v>415048.62</v>
      </c>
      <c r="O43" s="70" t="n">
        <f aca="false">N43+O13</f>
        <v>415048.62</v>
      </c>
      <c r="P43" s="70" t="n">
        <f aca="false">O43+P13</f>
        <v>415048.62</v>
      </c>
      <c r="Q43" s="70" t="n">
        <f aca="false">P43+Q13</f>
        <v>415048.62</v>
      </c>
      <c r="R43" s="70" t="n">
        <f aca="false">Q43+R13</f>
        <v>415048.62</v>
      </c>
      <c r="S43" s="70" t="n">
        <f aca="false">R43+S13</f>
        <v>415048.62</v>
      </c>
      <c r="T43" s="70" t="n">
        <f aca="false">S43+T13</f>
        <v>415048.62</v>
      </c>
      <c r="U43" s="70" t="n">
        <f aca="false">T43+U13</f>
        <v>415048.62</v>
      </c>
      <c r="V43" s="70" t="n">
        <f aca="false">U43+V13</f>
        <v>415048.62</v>
      </c>
      <c r="W43" s="70" t="n">
        <f aca="false">V43+W13</f>
        <v>415048.62</v>
      </c>
      <c r="X43" s="70" t="n">
        <f aca="false">W43+X13</f>
        <v>415048.62</v>
      </c>
      <c r="Y43" s="70" t="n">
        <f aca="false">X43+Y13</f>
        <v>415048.62</v>
      </c>
      <c r="Z43" s="70" t="n">
        <f aca="false">Y43+Z13</f>
        <v>415048.62</v>
      </c>
      <c r="AA43" s="70" t="n">
        <f aca="false">Z43+AA13</f>
        <v>415048.62</v>
      </c>
      <c r="AB43" s="70" t="n">
        <f aca="false">AA43+AB13</f>
        <v>415048.62</v>
      </c>
    </row>
    <row r="44" customFormat="false" ht="15" hidden="false" customHeight="false" outlineLevel="0" collapsed="false">
      <c r="A44" s="27" t="s">
        <v>770</v>
      </c>
      <c r="B44" s="56"/>
      <c r="C44" s="57" t="n">
        <f aca="false">P44</f>
        <v>10376.2155</v>
      </c>
      <c r="D44" s="57" t="n">
        <f aca="false">AB44</f>
        <v>0</v>
      </c>
      <c r="E44" s="58" t="n">
        <f aca="false">Project_Register!$U$7*E43*(1-Project_Register!$R$7*(Assumptions!E$96&gt;=Project_Register!$AK$7+1)-(1-Project_Register!$R$7)*(Assumptions!E$96&gt;=Project_Register!$AN$7))</f>
        <v>16877.8665</v>
      </c>
      <c r="F44" s="58" t="n">
        <f aca="false">Project_Register!$U$7*F43*(1-Project_Register!$R$7*(Assumptions!F$96&gt;=Project_Register!$AK$7+1)-(1-Project_Register!$R$7)*(Assumptions!F$96&gt;=Project_Register!$AN$7))</f>
        <v>19478.995</v>
      </c>
      <c r="G44" s="58" t="n">
        <f aca="false">Project_Register!$U$7*G43*(1-Project_Register!$R$7*(Assumptions!G$96&gt;=Project_Register!$AK$7+1)-(1-Project_Register!$R$7)*(Assumptions!G$96&gt;=Project_Register!$AN$7))</f>
        <v>20752.431</v>
      </c>
      <c r="H44" s="58" t="n">
        <f aca="false">Project_Register!$U$7*H43*(1-Project_Register!$R$7*(Assumptions!H$96&gt;=Project_Register!$AK$7+1)-(1-Project_Register!$R$7)*(Assumptions!H$96&gt;=Project_Register!$AN$7))</f>
        <v>10376.2155</v>
      </c>
      <c r="I44" s="58" t="n">
        <f aca="false">Project_Register!$U$7*I43*(1-Project_Register!$R$7*(Assumptions!I$96&gt;=Project_Register!$AK$7+1)-(1-Project_Register!$R$7)*(Assumptions!I$96&gt;=Project_Register!$AN$7))</f>
        <v>10376.2155</v>
      </c>
      <c r="J44" s="58" t="n">
        <f aca="false">Project_Register!$U$7*J43*(1-Project_Register!$R$7*(Assumptions!J$96&gt;=Project_Register!$AK$7+1)-(1-Project_Register!$R$7)*(Assumptions!J$96&gt;=Project_Register!$AN$7))</f>
        <v>10376.2155</v>
      </c>
      <c r="K44" s="58" t="n">
        <f aca="false">Project_Register!$U$7*K43*(1-Project_Register!$R$7*(Assumptions!K$96&gt;=Project_Register!$AK$7+1)-(1-Project_Register!$R$7)*(Assumptions!K$96&gt;=Project_Register!$AN$7))</f>
        <v>10376.2155</v>
      </c>
      <c r="L44" s="58" t="n">
        <f aca="false">Project_Register!$U$7*L43*(1-Project_Register!$R$7*(Assumptions!L$96&gt;=Project_Register!$AK$7+1)-(1-Project_Register!$R$7)*(Assumptions!L$96&gt;=Project_Register!$AN$7))</f>
        <v>10376.2155</v>
      </c>
      <c r="M44" s="58" t="n">
        <f aca="false">Project_Register!$U$7*M43*(1-Project_Register!$R$7*(Assumptions!M$96&gt;=Project_Register!$AK$7+1)-(1-Project_Register!$R$7)*(Assumptions!M$96&gt;=Project_Register!$AN$7))</f>
        <v>10376.2155</v>
      </c>
      <c r="N44" s="58" t="n">
        <f aca="false">Project_Register!$U$7*N43*(1-Project_Register!$R$7*(Assumptions!N$96&gt;=Project_Register!$AK$7+1)-(1-Project_Register!$R$7)*(Assumptions!N$96&gt;=Project_Register!$AN$7))</f>
        <v>10376.2155</v>
      </c>
      <c r="O44" s="58" t="n">
        <f aca="false">Project_Register!$U$7*O43*(1-Project_Register!$R$7*(Assumptions!O$96&gt;=Project_Register!$AK$7+1)-(1-Project_Register!$R$7)*(Assumptions!O$96&gt;=Project_Register!$AN$7))</f>
        <v>10376.2155</v>
      </c>
      <c r="P44" s="58" t="n">
        <f aca="false">Project_Register!$U$7*P43*(1-Project_Register!$R$7*(Assumptions!P$96&gt;=Project_Register!$AK$7+1)-(1-Project_Register!$R$7)*(Assumptions!P$96&gt;=Project_Register!$AN$7))</f>
        <v>10376.2155</v>
      </c>
      <c r="Q44" s="58" t="n">
        <f aca="false">Project_Register!$U$7*Q43*(1-Project_Register!$R$7*(Assumptions!Q$96&gt;=Project_Register!$AK$7+1)-(1-Project_Register!$R$7)*(Assumptions!Q$96&gt;=Project_Register!$AN$7))</f>
        <v>10376.2155</v>
      </c>
      <c r="R44" s="58" t="n">
        <f aca="false">Project_Register!$U$7*R43*(1-Project_Register!$R$7*(Assumptions!R$96&gt;=Project_Register!$AK$7+1)-(1-Project_Register!$R$7)*(Assumptions!R$96&gt;=Project_Register!$AN$7))</f>
        <v>10376.2155</v>
      </c>
      <c r="S44" s="58" t="n">
        <f aca="false">Project_Register!$U$7*S43*(1-Project_Register!$R$7*(Assumptions!S$96&gt;=Project_Register!$AK$7+1)-(1-Project_Register!$R$7)*(Assumptions!S$96&gt;=Project_Register!$AN$7))</f>
        <v>10376.2155</v>
      </c>
      <c r="T44" s="58" t="n">
        <f aca="false">Project_Register!$U$7*T43*(1-Project_Register!$R$7*(Assumptions!T$96&gt;=Project_Register!$AK$7+1)-(1-Project_Register!$R$7)*(Assumptions!T$96&gt;=Project_Register!$AN$7))</f>
        <v>0</v>
      </c>
      <c r="U44" s="58" t="n">
        <f aca="false">Project_Register!$U$7*U43*(1-Project_Register!$R$7*(Assumptions!U$96&gt;=Project_Register!$AK$7+1)-(1-Project_Register!$R$7)*(Assumptions!U$96&gt;=Project_Register!$AN$7))</f>
        <v>0</v>
      </c>
      <c r="V44" s="58" t="n">
        <f aca="false">Project_Register!$U$7*V43*(1-Project_Register!$R$7*(Assumptions!V$96&gt;=Project_Register!$AK$7+1)-(1-Project_Register!$R$7)*(Assumptions!V$96&gt;=Project_Register!$AN$7))</f>
        <v>0</v>
      </c>
      <c r="W44" s="58" t="n">
        <f aca="false">Project_Register!$U$7*W43*(1-Project_Register!$R$7*(Assumptions!W$96&gt;=Project_Register!$AK$7+1)-(1-Project_Register!$R$7)*(Assumptions!W$96&gt;=Project_Register!$AN$7))</f>
        <v>0</v>
      </c>
      <c r="X44" s="58" t="n">
        <f aca="false">Project_Register!$U$7*X43*(1-Project_Register!$R$7*(Assumptions!X$96&gt;=Project_Register!$AK$7+1)-(1-Project_Register!$R$7)*(Assumptions!X$96&gt;=Project_Register!$AN$7))</f>
        <v>0</v>
      </c>
      <c r="Y44" s="58" t="n">
        <f aca="false">Project_Register!$U$7*Y43*(1-Project_Register!$R$7*(Assumptions!Y$96&gt;=Project_Register!$AK$7+1)-(1-Project_Register!$R$7)*(Assumptions!Y$96&gt;=Project_Register!$AN$7))</f>
        <v>0</v>
      </c>
      <c r="Z44" s="58" t="n">
        <f aca="false">Project_Register!$U$7*Z43*(1-Project_Register!$R$7*(Assumptions!Z$96&gt;=Project_Register!$AK$7+1)-(1-Project_Register!$R$7)*(Assumptions!Z$96&gt;=Project_Register!$AN$7))</f>
        <v>0</v>
      </c>
      <c r="AA44" s="58" t="n">
        <f aca="false">Project_Register!$U$7*AA43*(1-Project_Register!$R$7*(Assumptions!AA$96&gt;=Project_Register!$AK$7+1)-(1-Project_Register!$R$7)*(Assumptions!AA$96&gt;=Project_Register!$AN$7))</f>
        <v>0</v>
      </c>
      <c r="AB44" s="58" t="n">
        <f aca="false">Project_Register!$U$7*AB43*(1-Project_Register!$R$7*(Assumptions!AB$96&gt;=Project_Register!$AK$7+1)-(1-Project_Register!$R$7)*(Assumptions!AB$96&gt;=Project_Register!$AN$7))</f>
        <v>0</v>
      </c>
    </row>
    <row r="45" customFormat="false" ht="15" hidden="false" customHeight="false" outlineLevel="0" collapsed="false">
      <c r="A45" s="27" t="s">
        <v>771</v>
      </c>
      <c r="B45" s="56"/>
      <c r="C45" s="57" t="n">
        <f aca="false">SUM(E45:P45)</f>
        <v>-3404.088</v>
      </c>
      <c r="D45" s="57" t="n">
        <f aca="false">SUM(Q45:AB45)</f>
        <v>-10376.2155</v>
      </c>
      <c r="E45" s="58" t="n">
        <f aca="false">E44-Project_Register!$AX$7</f>
        <v>3097.563</v>
      </c>
      <c r="F45" s="70" t="n">
        <f aca="false">F44-E44</f>
        <v>2601.1285</v>
      </c>
      <c r="G45" s="70" t="n">
        <f aca="false">G44-F44</f>
        <v>1273.436</v>
      </c>
      <c r="H45" s="70" t="n">
        <f aca="false">H44-G44</f>
        <v>-10376.2155</v>
      </c>
      <c r="I45" s="70" t="n">
        <f aca="false">I44-H44</f>
        <v>0</v>
      </c>
      <c r="J45" s="70" t="n">
        <f aca="false">J44-I44</f>
        <v>0</v>
      </c>
      <c r="K45" s="70" t="n">
        <f aca="false">K44-J44</f>
        <v>0</v>
      </c>
      <c r="L45" s="70" t="n">
        <f aca="false">L44-K44</f>
        <v>0</v>
      </c>
      <c r="M45" s="70" t="n">
        <f aca="false">M44-L44</f>
        <v>0</v>
      </c>
      <c r="N45" s="70" t="n">
        <f aca="false">N44-M44</f>
        <v>0</v>
      </c>
      <c r="O45" s="70" t="n">
        <f aca="false">O44-N44</f>
        <v>0</v>
      </c>
      <c r="P45" s="70" t="n">
        <f aca="false">P44-O44</f>
        <v>0</v>
      </c>
      <c r="Q45" s="70" t="n">
        <f aca="false">Q44-P44</f>
        <v>0</v>
      </c>
      <c r="R45" s="70" t="n">
        <f aca="false">R44-Q44</f>
        <v>0</v>
      </c>
      <c r="S45" s="70" t="n">
        <f aca="false">S44-R44</f>
        <v>0</v>
      </c>
      <c r="T45" s="70" t="n">
        <f aca="false">T44-S44</f>
        <v>-10376.2155</v>
      </c>
      <c r="U45" s="70" t="n">
        <f aca="false">U44-T44</f>
        <v>0</v>
      </c>
      <c r="V45" s="70" t="n">
        <f aca="false">V44-U44</f>
        <v>0</v>
      </c>
      <c r="W45" s="70" t="n">
        <f aca="false">W44-V44</f>
        <v>0</v>
      </c>
      <c r="X45" s="70" t="n">
        <f aca="false">X44-W44</f>
        <v>0</v>
      </c>
      <c r="Y45" s="70" t="n">
        <f aca="false">Y44-X44</f>
        <v>0</v>
      </c>
      <c r="Z45" s="70" t="n">
        <f aca="false">Z44-Y44</f>
        <v>0</v>
      </c>
      <c r="AA45" s="70" t="n">
        <f aca="false">AA44-Z44</f>
        <v>0</v>
      </c>
      <c r="AB45" s="70" t="n">
        <f aca="false">AB44-AA44</f>
        <v>0</v>
      </c>
    </row>
    <row r="46" customFormat="false" ht="15" hidden="false" customHeight="false" outlineLevel="0" collapsed="false">
      <c r="A46" s="27" t="s">
        <v>772</v>
      </c>
      <c r="B46" s="56" t="s">
        <v>773</v>
      </c>
      <c r="C46" s="57" t="n">
        <f aca="false">P46</f>
        <v>0</v>
      </c>
      <c r="D46" s="57" t="n">
        <f aca="false">AB46</f>
        <v>0</v>
      </c>
      <c r="E46" s="58" t="n">
        <f aca="false">Project_Register!$V$7*Project_Register!$AO$7*(Assumptions!E$96&gt;=Project_Register!$AL$7)*(Assumptions!E$96&lt;=Project_Register!$AK$7)</f>
        <v>98000</v>
      </c>
      <c r="F46" s="58" t="n">
        <f aca="false">Project_Register!$V$7*Project_Register!$AO$7*(Assumptions!F$96&gt;=Project_Register!$AL$7)*(Assumptions!F$96&lt;=Project_Register!$AK$7)</f>
        <v>98000</v>
      </c>
      <c r="G46" s="58" t="n">
        <f aca="false">Project_Register!$V$7*Project_Register!$AO$7*(Assumptions!G$96&gt;=Project_Register!$AL$7)*(Assumptions!G$96&lt;=Project_Register!$AK$7)</f>
        <v>98000</v>
      </c>
      <c r="H46" s="58" t="n">
        <f aca="false">Project_Register!$V$7*Project_Register!$AO$7*(Assumptions!H$96&gt;=Project_Register!$AL$7)*(Assumptions!H$96&lt;=Project_Register!$AK$7)</f>
        <v>0</v>
      </c>
      <c r="I46" s="58" t="n">
        <f aca="false">Project_Register!$V$7*Project_Register!$AO$7*(Assumptions!I$96&gt;=Project_Register!$AL$7)*(Assumptions!I$96&lt;=Project_Register!$AK$7)</f>
        <v>0</v>
      </c>
      <c r="J46" s="58" t="n">
        <f aca="false">Project_Register!$V$7*Project_Register!$AO$7*(Assumptions!J$96&gt;=Project_Register!$AL$7)*(Assumptions!J$96&lt;=Project_Register!$AK$7)</f>
        <v>0</v>
      </c>
      <c r="K46" s="58" t="n">
        <f aca="false">Project_Register!$V$7*Project_Register!$AO$7*(Assumptions!K$96&gt;=Project_Register!$AL$7)*(Assumptions!K$96&lt;=Project_Register!$AK$7)</f>
        <v>0</v>
      </c>
      <c r="L46" s="58" t="n">
        <f aca="false">Project_Register!$V$7*Project_Register!$AO$7*(Assumptions!L$96&gt;=Project_Register!$AL$7)*(Assumptions!L$96&lt;=Project_Register!$AK$7)</f>
        <v>0</v>
      </c>
      <c r="M46" s="58" t="n">
        <f aca="false">Project_Register!$V$7*Project_Register!$AO$7*(Assumptions!M$96&gt;=Project_Register!$AL$7)*(Assumptions!M$96&lt;=Project_Register!$AK$7)</f>
        <v>0</v>
      </c>
      <c r="N46" s="58" t="n">
        <f aca="false">Project_Register!$V$7*Project_Register!$AO$7*(Assumptions!N$96&gt;=Project_Register!$AL$7)*(Assumptions!N$96&lt;=Project_Register!$AK$7)</f>
        <v>0</v>
      </c>
      <c r="O46" s="58" t="n">
        <f aca="false">Project_Register!$V$7*Project_Register!$AO$7*(Assumptions!O$96&gt;=Project_Register!$AL$7)*(Assumptions!O$96&lt;=Project_Register!$AK$7)</f>
        <v>0</v>
      </c>
      <c r="P46" s="58" t="n">
        <f aca="false">Project_Register!$V$7*Project_Register!$AO$7*(Assumptions!P$96&gt;=Project_Register!$AL$7)*(Assumptions!P$96&lt;=Project_Register!$AK$7)</f>
        <v>0</v>
      </c>
      <c r="Q46" s="58" t="n">
        <f aca="false">Project_Register!$V$7*Project_Register!$AO$7*(Assumptions!Q$96&gt;=Project_Register!$AL$7)*(Assumptions!Q$96&lt;=Project_Register!$AK$7)</f>
        <v>0</v>
      </c>
      <c r="R46" s="58" t="n">
        <f aca="false">Project_Register!$V$7*Project_Register!$AO$7*(Assumptions!R$96&gt;=Project_Register!$AL$7)*(Assumptions!R$96&lt;=Project_Register!$AK$7)</f>
        <v>0</v>
      </c>
      <c r="S46" s="58" t="n">
        <f aca="false">Project_Register!$V$7*Project_Register!$AO$7*(Assumptions!S$96&gt;=Project_Register!$AL$7)*(Assumptions!S$96&lt;=Project_Register!$AK$7)</f>
        <v>0</v>
      </c>
      <c r="T46" s="58" t="n">
        <f aca="false">Project_Register!$V$7*Project_Register!$AO$7*(Assumptions!T$96&gt;=Project_Register!$AL$7)*(Assumptions!T$96&lt;=Project_Register!$AK$7)</f>
        <v>0</v>
      </c>
      <c r="U46" s="58" t="n">
        <f aca="false">Project_Register!$V$7*Project_Register!$AO$7*(Assumptions!U$96&gt;=Project_Register!$AL$7)*(Assumptions!U$96&lt;=Project_Register!$AK$7)</f>
        <v>0</v>
      </c>
      <c r="V46" s="58" t="n">
        <f aca="false">Project_Register!$V$7*Project_Register!$AO$7*(Assumptions!V$96&gt;=Project_Register!$AL$7)*(Assumptions!V$96&lt;=Project_Register!$AK$7)</f>
        <v>0</v>
      </c>
      <c r="W46" s="58" t="n">
        <f aca="false">Project_Register!$V$7*Project_Register!$AO$7*(Assumptions!W$96&gt;=Project_Register!$AL$7)*(Assumptions!W$96&lt;=Project_Register!$AK$7)</f>
        <v>0</v>
      </c>
      <c r="X46" s="58" t="n">
        <f aca="false">Project_Register!$V$7*Project_Register!$AO$7*(Assumptions!X$96&gt;=Project_Register!$AL$7)*(Assumptions!X$96&lt;=Project_Register!$AK$7)</f>
        <v>0</v>
      </c>
      <c r="Y46" s="58" t="n">
        <f aca="false">Project_Register!$V$7*Project_Register!$AO$7*(Assumptions!Y$96&gt;=Project_Register!$AL$7)*(Assumptions!Y$96&lt;=Project_Register!$AK$7)</f>
        <v>0</v>
      </c>
      <c r="Z46" s="58" t="n">
        <f aca="false">Project_Register!$V$7*Project_Register!$AO$7*(Assumptions!Z$96&gt;=Project_Register!$AL$7)*(Assumptions!Z$96&lt;=Project_Register!$AK$7)</f>
        <v>0</v>
      </c>
      <c r="AA46" s="58" t="n">
        <f aca="false">Project_Register!$V$7*Project_Register!$AO$7*(Assumptions!AA$96&gt;=Project_Register!$AL$7)*(Assumptions!AA$96&lt;=Project_Register!$AK$7)</f>
        <v>0</v>
      </c>
      <c r="AB46" s="58" t="n">
        <f aca="false">Project_Register!$V$7*Project_Register!$AO$7*(Assumptions!AB$96&gt;=Project_Register!$AL$7)*(Assumptions!AB$96&lt;=Project_Register!$AK$7)</f>
        <v>0</v>
      </c>
    </row>
    <row r="47" customFormat="false" ht="15" hidden="false" customHeight="false" outlineLevel="0" collapsed="false">
      <c r="A47" s="27" t="s">
        <v>774</v>
      </c>
      <c r="B47" s="56"/>
      <c r="C47" s="57" t="n">
        <f aca="false">P47</f>
        <v>0</v>
      </c>
      <c r="D47" s="57" t="n">
        <f aca="false">AB47</f>
        <v>0</v>
      </c>
      <c r="E47" s="58" t="n">
        <f aca="false">IF(OR(Project_Register!$E$7="Pipeline",Assumptions!E$96&gt;=Project_Register!$AL$7),MAX(0,E24-E25),0)</f>
        <v>187585.5</v>
      </c>
      <c r="F47" s="58" t="n">
        <f aca="false">IF(OR(Project_Register!$E$7="Pipeline",Assumptions!F$96&gt;=Project_Register!$AL$7),MAX(0,F24-F25),0)</f>
        <v>61521.4399999999</v>
      </c>
      <c r="G47" s="58" t="n">
        <f aca="false">IF(OR(Project_Register!$E$7="Pipeline",Assumptions!G$96&gt;=Project_Register!$AL$7),MAX(0,G24-G25),0)</f>
        <v>0</v>
      </c>
      <c r="H47" s="58" t="n">
        <f aca="false">IF(OR(Project_Register!$E$7="Pipeline",Assumptions!H$96&gt;=Project_Register!$AL$7),MAX(0,H24-H25),0)</f>
        <v>0</v>
      </c>
      <c r="I47" s="58" t="n">
        <f aca="false">IF(OR(Project_Register!$E$7="Pipeline",Assumptions!I$96&gt;=Project_Register!$AL$7),MAX(0,I24-I25),0)</f>
        <v>0</v>
      </c>
      <c r="J47" s="58" t="n">
        <f aca="false">IF(OR(Project_Register!$E$7="Pipeline",Assumptions!J$96&gt;=Project_Register!$AL$7),MAX(0,J24-J25),0)</f>
        <v>0</v>
      </c>
      <c r="K47" s="58" t="n">
        <f aca="false">IF(OR(Project_Register!$E$7="Pipeline",Assumptions!K$96&gt;=Project_Register!$AL$7),MAX(0,K24-K25),0)</f>
        <v>0</v>
      </c>
      <c r="L47" s="58" t="n">
        <f aca="false">IF(OR(Project_Register!$E$7="Pipeline",Assumptions!L$96&gt;=Project_Register!$AL$7),MAX(0,L24-L25),0)</f>
        <v>0</v>
      </c>
      <c r="M47" s="58" t="n">
        <f aca="false">IF(OR(Project_Register!$E$7="Pipeline",Assumptions!M$96&gt;=Project_Register!$AL$7),MAX(0,M24-M25),0)</f>
        <v>0</v>
      </c>
      <c r="N47" s="58" t="n">
        <f aca="false">IF(OR(Project_Register!$E$7="Pipeline",Assumptions!N$96&gt;=Project_Register!$AL$7),MAX(0,N24-N25),0)</f>
        <v>0</v>
      </c>
      <c r="O47" s="58" t="n">
        <f aca="false">IF(OR(Project_Register!$E$7="Pipeline",Assumptions!O$96&gt;=Project_Register!$AL$7),MAX(0,O24-O25),0)</f>
        <v>0</v>
      </c>
      <c r="P47" s="58" t="n">
        <f aca="false">IF(OR(Project_Register!$E$7="Pipeline",Assumptions!P$96&gt;=Project_Register!$AL$7),MAX(0,P24-P25),0)</f>
        <v>0</v>
      </c>
      <c r="Q47" s="58" t="n">
        <f aca="false">IF(OR(Project_Register!$E$7="Pipeline",Assumptions!Q$96&gt;=Project_Register!$AL$7),MAX(0,Q24-Q25),0)</f>
        <v>0</v>
      </c>
      <c r="R47" s="58" t="n">
        <f aca="false">IF(OR(Project_Register!$E$7="Pipeline",Assumptions!R$96&gt;=Project_Register!$AL$7),MAX(0,R24-R25),0)</f>
        <v>0</v>
      </c>
      <c r="S47" s="58" t="n">
        <f aca="false">IF(OR(Project_Register!$E$7="Pipeline",Assumptions!S$96&gt;=Project_Register!$AL$7),MAX(0,S24-S25),0)</f>
        <v>0</v>
      </c>
      <c r="T47" s="58" t="n">
        <f aca="false">IF(OR(Project_Register!$E$7="Pipeline",Assumptions!T$96&gt;=Project_Register!$AL$7),MAX(0,T24-T25),0)</f>
        <v>0</v>
      </c>
      <c r="U47" s="58" t="n">
        <f aca="false">IF(OR(Project_Register!$E$7="Pipeline",Assumptions!U$96&gt;=Project_Register!$AL$7),MAX(0,U24-U25),0)</f>
        <v>0</v>
      </c>
      <c r="V47" s="58" t="n">
        <f aca="false">IF(OR(Project_Register!$E$7="Pipeline",Assumptions!V$96&gt;=Project_Register!$AL$7),MAX(0,V24-V25),0)</f>
        <v>0</v>
      </c>
      <c r="W47" s="58" t="n">
        <f aca="false">IF(OR(Project_Register!$E$7="Pipeline",Assumptions!W$96&gt;=Project_Register!$AL$7),MAX(0,W24-W25),0)</f>
        <v>0</v>
      </c>
      <c r="X47" s="58" t="n">
        <f aca="false">IF(OR(Project_Register!$E$7="Pipeline",Assumptions!X$96&gt;=Project_Register!$AL$7),MAX(0,X24-X25),0)</f>
        <v>0</v>
      </c>
      <c r="Y47" s="58" t="n">
        <f aca="false">IF(OR(Project_Register!$E$7="Pipeline",Assumptions!Y$96&gt;=Project_Register!$AL$7),MAX(0,Y24-Y25),0)</f>
        <v>0</v>
      </c>
      <c r="Z47" s="58" t="n">
        <f aca="false">IF(OR(Project_Register!$E$7="Pipeline",Assumptions!Z$96&gt;=Project_Register!$AL$7),MAX(0,Z24-Z25),0)</f>
        <v>0</v>
      </c>
      <c r="AA47" s="58" t="n">
        <f aca="false">IF(OR(Project_Register!$E$7="Pipeline",Assumptions!AA$96&gt;=Project_Register!$AL$7),MAX(0,AA24-AA25),0)</f>
        <v>0</v>
      </c>
      <c r="AB47" s="58" t="n">
        <f aca="false">IF(OR(Project_Register!$E$7="Pipeline",Assumptions!AB$96&gt;=Project_Register!$AL$7),MAX(0,AB24-AB25),0)</f>
        <v>0</v>
      </c>
    </row>
    <row r="48" customFormat="false" ht="15" hidden="false" customHeight="false" outlineLevel="0" collapsed="false">
      <c r="A48" s="27" t="s">
        <v>775</v>
      </c>
      <c r="B48" s="56"/>
      <c r="C48" s="57" t="n">
        <f aca="false">SUM(E48:P48)</f>
        <v>0</v>
      </c>
      <c r="D48" s="57" t="n">
        <f aca="false">SUM(Q48:AB48)</f>
        <v>0</v>
      </c>
      <c r="E48" s="58" t="n">
        <f aca="false">IF(Assumptions!E$96=Project_Register!$AL$7,Project_Register!$AO$7,0)</f>
        <v>0</v>
      </c>
      <c r="F48" s="58" t="n">
        <f aca="false">IF(Assumptions!F$96=Project_Register!$AL$7,Project_Register!$AO$7,0)</f>
        <v>0</v>
      </c>
      <c r="G48" s="58" t="n">
        <f aca="false">IF(Assumptions!G$96=Project_Register!$AL$7,Project_Register!$AO$7,0)</f>
        <v>0</v>
      </c>
      <c r="H48" s="58" t="n">
        <f aca="false">IF(Assumptions!H$96=Project_Register!$AL$7,Project_Register!$AO$7,0)</f>
        <v>0</v>
      </c>
      <c r="I48" s="58" t="n">
        <f aca="false">IF(Assumptions!I$96=Project_Register!$AL$7,Project_Register!$AO$7,0)</f>
        <v>0</v>
      </c>
      <c r="J48" s="58" t="n">
        <f aca="false">IF(Assumptions!J$96=Project_Register!$AL$7,Project_Register!$AO$7,0)</f>
        <v>0</v>
      </c>
      <c r="K48" s="58" t="n">
        <f aca="false">IF(Assumptions!K$96=Project_Register!$AL$7,Project_Register!$AO$7,0)</f>
        <v>0</v>
      </c>
      <c r="L48" s="58" t="n">
        <f aca="false">IF(Assumptions!L$96=Project_Register!$AL$7,Project_Register!$AO$7,0)</f>
        <v>0</v>
      </c>
      <c r="M48" s="58" t="n">
        <f aca="false">IF(Assumptions!M$96=Project_Register!$AL$7,Project_Register!$AO$7,0)</f>
        <v>0</v>
      </c>
      <c r="N48" s="58" t="n">
        <f aca="false">IF(Assumptions!N$96=Project_Register!$AL$7,Project_Register!$AO$7,0)</f>
        <v>0</v>
      </c>
      <c r="O48" s="58" t="n">
        <f aca="false">IF(Assumptions!O$96=Project_Register!$AL$7,Project_Register!$AO$7,0)</f>
        <v>0</v>
      </c>
      <c r="P48" s="58" t="n">
        <f aca="false">IF(Assumptions!P$96=Project_Register!$AL$7,Project_Register!$AO$7,0)</f>
        <v>0</v>
      </c>
      <c r="Q48" s="58" t="n">
        <f aca="false">IF(Assumptions!Q$96=Project_Register!$AL$7,Project_Register!$AO$7,0)</f>
        <v>0</v>
      </c>
      <c r="R48" s="58" t="n">
        <f aca="false">IF(Assumptions!R$96=Project_Register!$AL$7,Project_Register!$AO$7,0)</f>
        <v>0</v>
      </c>
      <c r="S48" s="58" t="n">
        <f aca="false">IF(Assumptions!S$96=Project_Register!$AL$7,Project_Register!$AO$7,0)</f>
        <v>0</v>
      </c>
      <c r="T48" s="58" t="n">
        <f aca="false">IF(Assumptions!T$96=Project_Register!$AL$7,Project_Register!$AO$7,0)</f>
        <v>0</v>
      </c>
      <c r="U48" s="58" t="n">
        <f aca="false">IF(Assumptions!U$96=Project_Register!$AL$7,Project_Register!$AO$7,0)</f>
        <v>0</v>
      </c>
      <c r="V48" s="58" t="n">
        <f aca="false">IF(Assumptions!V$96=Project_Register!$AL$7,Project_Register!$AO$7,0)</f>
        <v>0</v>
      </c>
      <c r="W48" s="58" t="n">
        <f aca="false">IF(Assumptions!W$96=Project_Register!$AL$7,Project_Register!$AO$7,0)</f>
        <v>0</v>
      </c>
      <c r="X48" s="58" t="n">
        <f aca="false">IF(Assumptions!X$96=Project_Register!$AL$7,Project_Register!$AO$7,0)</f>
        <v>0</v>
      </c>
      <c r="Y48" s="58" t="n">
        <f aca="false">IF(Assumptions!Y$96=Project_Register!$AL$7,Project_Register!$AO$7,0)</f>
        <v>0</v>
      </c>
      <c r="Z48" s="58" t="n">
        <f aca="false">IF(Assumptions!Z$96=Project_Register!$AL$7,Project_Register!$AO$7,0)</f>
        <v>0</v>
      </c>
      <c r="AA48" s="58" t="n">
        <f aca="false">IF(Assumptions!AA$96=Project_Register!$AL$7,Project_Register!$AO$7,0)</f>
        <v>0</v>
      </c>
      <c r="AB48" s="58" t="n">
        <f aca="false">IF(Assumptions!AB$96=Project_Register!$AL$7,Project_Register!$AO$7,0)</f>
        <v>0</v>
      </c>
    </row>
    <row r="49" customFormat="false" ht="15" hidden="false" customHeight="false" outlineLevel="0" collapsed="false">
      <c r="A49" s="27" t="s">
        <v>776</v>
      </c>
      <c r="B49" s="56" t="s">
        <v>777</v>
      </c>
      <c r="E49" s="70" t="n">
        <f aca="false">IF(E$5="A",ROUND(E25-E20*E24,0),0)</f>
        <v>-0</v>
      </c>
      <c r="F49" s="70" t="n">
        <f aca="false">IF(F$5="A",ROUND(F25-F20*F24,0),0)</f>
        <v>-0</v>
      </c>
      <c r="G49" s="70" t="n">
        <f aca="false">IF(G$5="A",ROUND(G25-G20*G24,0),0)</f>
        <v>0</v>
      </c>
      <c r="H49" s="70" t="n">
        <f aca="false">IF(H$5="A",ROUND(H25-H20*H24,0),0)</f>
        <v>0</v>
      </c>
      <c r="I49" s="70" t="n">
        <f aca="false">IF(I$5="A",ROUND(I25-I20*I24,0),0)</f>
        <v>0</v>
      </c>
      <c r="J49" s="70" t="n">
        <f aca="false">IF(J$5="A",ROUND(J25-J20*J24,0),0)</f>
        <v>0</v>
      </c>
      <c r="K49" s="70" t="n">
        <f aca="false">IF(K$5="A",ROUND(K25-K20*K24,0),0)</f>
        <v>0</v>
      </c>
      <c r="L49" s="70" t="n">
        <f aca="false">IF(L$5="A",ROUND(L25-L20*L24,0),0)</f>
        <v>0</v>
      </c>
      <c r="M49" s="70" t="n">
        <f aca="false">IF(M$5="A",ROUND(M25-M20*M24,0),0)</f>
        <v>0</v>
      </c>
      <c r="N49" s="70" t="n">
        <f aca="false">IF(N$5="A",ROUND(N25-N20*N24,0),0)</f>
        <v>0</v>
      </c>
      <c r="O49" s="70" t="n">
        <f aca="false">IF(O$5="A",ROUND(O25-O20*O24,0),0)</f>
        <v>0</v>
      </c>
      <c r="P49" s="70" t="n">
        <f aca="false">IF(P$5="A",ROUND(P25-P20*P24,0),0)</f>
        <v>0</v>
      </c>
      <c r="Q49" s="70" t="n">
        <f aca="false">IF(Q$5="A",ROUND(Q25-Q20*Q24,0),0)</f>
        <v>0</v>
      </c>
      <c r="R49" s="70" t="n">
        <f aca="false">IF(R$5="A",ROUND(R25-R20*R24,0),0)</f>
        <v>0</v>
      </c>
      <c r="S49" s="70" t="n">
        <f aca="false">IF(S$5="A",ROUND(S25-S20*S24,0),0)</f>
        <v>0</v>
      </c>
      <c r="T49" s="70" t="n">
        <f aca="false">IF(T$5="A",ROUND(T25-T20*T24,0),0)</f>
        <v>0</v>
      </c>
      <c r="U49" s="70" t="n">
        <f aca="false">IF(U$5="A",ROUND(U25-U20*U24,0),0)</f>
        <v>0</v>
      </c>
      <c r="V49" s="70" t="n">
        <f aca="false">IF(V$5="A",ROUND(V25-V20*V24,0),0)</f>
        <v>0</v>
      </c>
      <c r="W49" s="70" t="n">
        <f aca="false">IF(W$5="A",ROUND(W25-W20*W24,0),0)</f>
        <v>0</v>
      </c>
      <c r="X49" s="70" t="n">
        <f aca="false">IF(X$5="A",ROUND(X25-X20*X24,0),0)</f>
        <v>0</v>
      </c>
      <c r="Y49" s="70" t="n">
        <f aca="false">IF(Y$5="A",ROUND(Y25-Y20*Y24,0),0)</f>
        <v>0</v>
      </c>
      <c r="Z49" s="70" t="n">
        <f aca="false">IF(Z$5="A",ROUND(Z25-Z20*Z24,0),0)</f>
        <v>0</v>
      </c>
      <c r="AA49" s="70" t="n">
        <f aca="false">IF(AA$5="A",ROUND(AA25-AA20*AA24,0),0)</f>
        <v>0</v>
      </c>
      <c r="AB49" s="70" t="n">
        <f aca="false">IF(AB$5="A",ROUND(AB25-AB20*AB24,0),0)</f>
        <v>0</v>
      </c>
    </row>
    <row r="51" customFormat="false" ht="15" hidden="false" customHeight="false" outlineLevel="0" collapsed="false">
      <c r="A51" s="21" t="s">
        <v>778</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row>
    <row r="52" customFormat="false" ht="15" hidden="false" customHeight="false" outlineLevel="0" collapsed="false">
      <c r="A52" s="27" t="s">
        <v>716</v>
      </c>
      <c r="B52" s="56" t="s">
        <v>717</v>
      </c>
      <c r="E52" s="104" t="n">
        <f aca="false">MIN(1,MAX(0,(Assumptions!E$96-Project_Register!$AJ$8+1)/(Project_Register!$AK$8-Project_Register!$AJ$8+1)))</f>
        <v>0.625</v>
      </c>
      <c r="F52" s="104" t="n">
        <f aca="false">MIN(1,MAX(0,(Assumptions!F$96-Project_Register!$AJ$8+1)/(Project_Register!$AK$8-Project_Register!$AJ$8+1)))</f>
        <v>0.75</v>
      </c>
      <c r="G52" s="104" t="n">
        <f aca="false">MIN(1,MAX(0,(Assumptions!G$96-Project_Register!$AJ$8+1)/(Project_Register!$AK$8-Project_Register!$AJ$8+1)))</f>
        <v>0.875</v>
      </c>
      <c r="H52" s="104" t="n">
        <f aca="false">MIN(1,MAX(0,(Assumptions!H$96-Project_Register!$AJ$8+1)/(Project_Register!$AK$8-Project_Register!$AJ$8+1)))</f>
        <v>1</v>
      </c>
      <c r="I52" s="104" t="n">
        <f aca="false">MIN(1,MAX(0,(Assumptions!I$96-Project_Register!$AJ$8+1)/(Project_Register!$AK$8-Project_Register!$AJ$8+1)))</f>
        <v>1</v>
      </c>
      <c r="J52" s="104" t="n">
        <f aca="false">MIN(1,MAX(0,(Assumptions!J$96-Project_Register!$AJ$8+1)/(Project_Register!$AK$8-Project_Register!$AJ$8+1)))</f>
        <v>1</v>
      </c>
      <c r="K52" s="104" t="n">
        <f aca="false">MIN(1,MAX(0,(Assumptions!K$96-Project_Register!$AJ$8+1)/(Project_Register!$AK$8-Project_Register!$AJ$8+1)))</f>
        <v>1</v>
      </c>
      <c r="L52" s="104" t="n">
        <f aca="false">MIN(1,MAX(0,(Assumptions!L$96-Project_Register!$AJ$8+1)/(Project_Register!$AK$8-Project_Register!$AJ$8+1)))</f>
        <v>1</v>
      </c>
      <c r="M52" s="104" t="n">
        <f aca="false">MIN(1,MAX(0,(Assumptions!M$96-Project_Register!$AJ$8+1)/(Project_Register!$AK$8-Project_Register!$AJ$8+1)))</f>
        <v>1</v>
      </c>
      <c r="N52" s="104" t="n">
        <f aca="false">MIN(1,MAX(0,(Assumptions!N$96-Project_Register!$AJ$8+1)/(Project_Register!$AK$8-Project_Register!$AJ$8+1)))</f>
        <v>1</v>
      </c>
      <c r="O52" s="104" t="n">
        <f aca="false">MIN(1,MAX(0,(Assumptions!O$96-Project_Register!$AJ$8+1)/(Project_Register!$AK$8-Project_Register!$AJ$8+1)))</f>
        <v>1</v>
      </c>
      <c r="P52" s="104" t="n">
        <f aca="false">MIN(1,MAX(0,(Assumptions!P$96-Project_Register!$AJ$8+1)/(Project_Register!$AK$8-Project_Register!$AJ$8+1)))</f>
        <v>1</v>
      </c>
      <c r="Q52" s="104" t="n">
        <f aca="false">MIN(1,MAX(0,(Assumptions!Q$96-Project_Register!$AJ$8+1)/(Project_Register!$AK$8-Project_Register!$AJ$8+1)))</f>
        <v>1</v>
      </c>
      <c r="R52" s="104" t="n">
        <f aca="false">MIN(1,MAX(0,(Assumptions!R$96-Project_Register!$AJ$8+1)/(Project_Register!$AK$8-Project_Register!$AJ$8+1)))</f>
        <v>1</v>
      </c>
      <c r="S52" s="104" t="n">
        <f aca="false">MIN(1,MAX(0,(Assumptions!S$96-Project_Register!$AJ$8+1)/(Project_Register!$AK$8-Project_Register!$AJ$8+1)))</f>
        <v>1</v>
      </c>
      <c r="T52" s="104" t="n">
        <f aca="false">MIN(1,MAX(0,(Assumptions!T$96-Project_Register!$AJ$8+1)/(Project_Register!$AK$8-Project_Register!$AJ$8+1)))</f>
        <v>1</v>
      </c>
      <c r="U52" s="104" t="n">
        <f aca="false">MIN(1,MAX(0,(Assumptions!U$96-Project_Register!$AJ$8+1)/(Project_Register!$AK$8-Project_Register!$AJ$8+1)))</f>
        <v>1</v>
      </c>
      <c r="V52" s="104" t="n">
        <f aca="false">MIN(1,MAX(0,(Assumptions!V$96-Project_Register!$AJ$8+1)/(Project_Register!$AK$8-Project_Register!$AJ$8+1)))</f>
        <v>1</v>
      </c>
      <c r="W52" s="104" t="n">
        <f aca="false">MIN(1,MAX(0,(Assumptions!W$96-Project_Register!$AJ$8+1)/(Project_Register!$AK$8-Project_Register!$AJ$8+1)))</f>
        <v>1</v>
      </c>
      <c r="X52" s="104" t="n">
        <f aca="false">MIN(1,MAX(0,(Assumptions!X$96-Project_Register!$AJ$8+1)/(Project_Register!$AK$8-Project_Register!$AJ$8+1)))</f>
        <v>1</v>
      </c>
      <c r="Y52" s="104" t="n">
        <f aca="false">MIN(1,MAX(0,(Assumptions!Y$96-Project_Register!$AJ$8+1)/(Project_Register!$AK$8-Project_Register!$AJ$8+1)))</f>
        <v>1</v>
      </c>
      <c r="Z52" s="104" t="n">
        <f aca="false">MIN(1,MAX(0,(Assumptions!Z$96-Project_Register!$AJ$8+1)/(Project_Register!$AK$8-Project_Register!$AJ$8+1)))</f>
        <v>1</v>
      </c>
      <c r="AA52" s="104" t="n">
        <f aca="false">MIN(1,MAX(0,(Assumptions!AA$96-Project_Register!$AJ$8+1)/(Project_Register!$AK$8-Project_Register!$AJ$8+1)))</f>
        <v>1</v>
      </c>
      <c r="AB52" s="104" t="n">
        <f aca="false">MIN(1,MAX(0,(Assumptions!AB$96-Project_Register!$AJ$8+1)/(Project_Register!$AK$8-Project_Register!$AJ$8+1)))</f>
        <v>1</v>
      </c>
    </row>
    <row r="53" customFormat="false" ht="15" hidden="false" customHeight="false" outlineLevel="0" collapsed="false">
      <c r="A53" s="27" t="s">
        <v>718</v>
      </c>
      <c r="B53" s="56" t="s">
        <v>719</v>
      </c>
      <c r="E53" s="105" t="n">
        <f aca="false">3*E52^2-2*E52^3</f>
        <v>0.68359375</v>
      </c>
      <c r="F53" s="105" t="n">
        <f aca="false">3*F52^2-2*F52^3</f>
        <v>0.84375</v>
      </c>
      <c r="G53" s="105" t="n">
        <f aca="false">3*G52^2-2*G52^3</f>
        <v>0.95703125</v>
      </c>
      <c r="H53" s="105" t="n">
        <f aca="false">3*H52^2-2*H52^3</f>
        <v>1</v>
      </c>
      <c r="I53" s="105" t="n">
        <f aca="false">3*I52^2-2*I52^3</f>
        <v>1</v>
      </c>
      <c r="J53" s="105" t="n">
        <f aca="false">3*J52^2-2*J52^3</f>
        <v>1</v>
      </c>
      <c r="K53" s="105" t="n">
        <f aca="false">3*K52^2-2*K52^3</f>
        <v>1</v>
      </c>
      <c r="L53" s="105" t="n">
        <f aca="false">3*L52^2-2*L52^3</f>
        <v>1</v>
      </c>
      <c r="M53" s="105" t="n">
        <f aca="false">3*M52^2-2*M52^3</f>
        <v>1</v>
      </c>
      <c r="N53" s="105" t="n">
        <f aca="false">3*N52^2-2*N52^3</f>
        <v>1</v>
      </c>
      <c r="O53" s="105" t="n">
        <f aca="false">3*O52^2-2*O52^3</f>
        <v>1</v>
      </c>
      <c r="P53" s="105" t="n">
        <f aca="false">3*P52^2-2*P52^3</f>
        <v>1</v>
      </c>
      <c r="Q53" s="105" t="n">
        <f aca="false">3*Q52^2-2*Q52^3</f>
        <v>1</v>
      </c>
      <c r="R53" s="105" t="n">
        <f aca="false">3*R52^2-2*R52^3</f>
        <v>1</v>
      </c>
      <c r="S53" s="105" t="n">
        <f aca="false">3*S52^2-2*S52^3</f>
        <v>1</v>
      </c>
      <c r="T53" s="105" t="n">
        <f aca="false">3*T52^2-2*T52^3</f>
        <v>1</v>
      </c>
      <c r="U53" s="105" t="n">
        <f aca="false">3*U52^2-2*U52^3</f>
        <v>1</v>
      </c>
      <c r="V53" s="105" t="n">
        <f aca="false">3*V52^2-2*V52^3</f>
        <v>1</v>
      </c>
      <c r="W53" s="105" t="n">
        <f aca="false">3*W52^2-2*W52^3</f>
        <v>1</v>
      </c>
      <c r="X53" s="105" t="n">
        <f aca="false">3*X52^2-2*X52^3</f>
        <v>1</v>
      </c>
      <c r="Y53" s="105" t="n">
        <f aca="false">3*Y52^2-2*Y52^3</f>
        <v>1</v>
      </c>
      <c r="Z53" s="105" t="n">
        <f aca="false">3*Z52^2-2*Z52^3</f>
        <v>1</v>
      </c>
      <c r="AA53" s="105" t="n">
        <f aca="false">3*AA52^2-2*AA52^3</f>
        <v>1</v>
      </c>
      <c r="AB53" s="105" t="n">
        <f aca="false">3*AB52^2-2*AB52^3</f>
        <v>1</v>
      </c>
    </row>
    <row r="54" customFormat="false" ht="15" hidden="false" customHeight="false" outlineLevel="0" collapsed="false">
      <c r="A54" s="27" t="s">
        <v>720</v>
      </c>
      <c r="B54" s="56"/>
      <c r="E54" s="104" t="n">
        <f aca="false">3*MIN(1,MAX(0,(Assumptions!E$96-Project_Register!$AJ$8)/(Project_Register!$AK$8-Project_Register!$AJ$8+1)))^2-2*MIN(1,MAX(0,(Assumptions!E$96-Project_Register!$AJ$8)/(Project_Register!$AK$8-Project_Register!$AJ$8+1)))^3</f>
        <v>0.5</v>
      </c>
      <c r="F54" s="104" t="n">
        <f aca="false">3*MIN(1,MAX(0,(Assumptions!F$96-Project_Register!$AJ$8)/(Project_Register!$AK$8-Project_Register!$AJ$8+1)))^2-2*MIN(1,MAX(0,(Assumptions!F$96-Project_Register!$AJ$8)/(Project_Register!$AK$8-Project_Register!$AJ$8+1)))^3</f>
        <v>0.68359375</v>
      </c>
      <c r="G54" s="104" t="n">
        <f aca="false">3*MIN(1,MAX(0,(Assumptions!G$96-Project_Register!$AJ$8)/(Project_Register!$AK$8-Project_Register!$AJ$8+1)))^2-2*MIN(1,MAX(0,(Assumptions!G$96-Project_Register!$AJ$8)/(Project_Register!$AK$8-Project_Register!$AJ$8+1)))^3</f>
        <v>0.84375</v>
      </c>
      <c r="H54" s="104" t="n">
        <f aca="false">3*MIN(1,MAX(0,(Assumptions!H$96-Project_Register!$AJ$8)/(Project_Register!$AK$8-Project_Register!$AJ$8+1)))^2-2*MIN(1,MAX(0,(Assumptions!H$96-Project_Register!$AJ$8)/(Project_Register!$AK$8-Project_Register!$AJ$8+1)))^3</f>
        <v>0.95703125</v>
      </c>
      <c r="I54" s="104" t="n">
        <f aca="false">3*MIN(1,MAX(0,(Assumptions!I$96-Project_Register!$AJ$8)/(Project_Register!$AK$8-Project_Register!$AJ$8+1)))^2-2*MIN(1,MAX(0,(Assumptions!I$96-Project_Register!$AJ$8)/(Project_Register!$AK$8-Project_Register!$AJ$8+1)))^3</f>
        <v>1</v>
      </c>
      <c r="J54" s="104" t="n">
        <f aca="false">3*MIN(1,MAX(0,(Assumptions!J$96-Project_Register!$AJ$8)/(Project_Register!$AK$8-Project_Register!$AJ$8+1)))^2-2*MIN(1,MAX(0,(Assumptions!J$96-Project_Register!$AJ$8)/(Project_Register!$AK$8-Project_Register!$AJ$8+1)))^3</f>
        <v>1</v>
      </c>
      <c r="K54" s="104" t="n">
        <f aca="false">3*MIN(1,MAX(0,(Assumptions!K$96-Project_Register!$AJ$8)/(Project_Register!$AK$8-Project_Register!$AJ$8+1)))^2-2*MIN(1,MAX(0,(Assumptions!K$96-Project_Register!$AJ$8)/(Project_Register!$AK$8-Project_Register!$AJ$8+1)))^3</f>
        <v>1</v>
      </c>
      <c r="L54" s="104" t="n">
        <f aca="false">3*MIN(1,MAX(0,(Assumptions!L$96-Project_Register!$AJ$8)/(Project_Register!$AK$8-Project_Register!$AJ$8+1)))^2-2*MIN(1,MAX(0,(Assumptions!L$96-Project_Register!$AJ$8)/(Project_Register!$AK$8-Project_Register!$AJ$8+1)))^3</f>
        <v>1</v>
      </c>
      <c r="M54" s="104" t="n">
        <f aca="false">3*MIN(1,MAX(0,(Assumptions!M$96-Project_Register!$AJ$8)/(Project_Register!$AK$8-Project_Register!$AJ$8+1)))^2-2*MIN(1,MAX(0,(Assumptions!M$96-Project_Register!$AJ$8)/(Project_Register!$AK$8-Project_Register!$AJ$8+1)))^3</f>
        <v>1</v>
      </c>
      <c r="N54" s="104" t="n">
        <f aca="false">3*MIN(1,MAX(0,(Assumptions!N$96-Project_Register!$AJ$8)/(Project_Register!$AK$8-Project_Register!$AJ$8+1)))^2-2*MIN(1,MAX(0,(Assumptions!N$96-Project_Register!$AJ$8)/(Project_Register!$AK$8-Project_Register!$AJ$8+1)))^3</f>
        <v>1</v>
      </c>
      <c r="O54" s="104" t="n">
        <f aca="false">3*MIN(1,MAX(0,(Assumptions!O$96-Project_Register!$AJ$8)/(Project_Register!$AK$8-Project_Register!$AJ$8+1)))^2-2*MIN(1,MAX(0,(Assumptions!O$96-Project_Register!$AJ$8)/(Project_Register!$AK$8-Project_Register!$AJ$8+1)))^3</f>
        <v>1</v>
      </c>
      <c r="P54" s="104" t="n">
        <f aca="false">3*MIN(1,MAX(0,(Assumptions!P$96-Project_Register!$AJ$8)/(Project_Register!$AK$8-Project_Register!$AJ$8+1)))^2-2*MIN(1,MAX(0,(Assumptions!P$96-Project_Register!$AJ$8)/(Project_Register!$AK$8-Project_Register!$AJ$8+1)))^3</f>
        <v>1</v>
      </c>
      <c r="Q54" s="104" t="n">
        <f aca="false">3*MIN(1,MAX(0,(Assumptions!Q$96-Project_Register!$AJ$8)/(Project_Register!$AK$8-Project_Register!$AJ$8+1)))^2-2*MIN(1,MAX(0,(Assumptions!Q$96-Project_Register!$AJ$8)/(Project_Register!$AK$8-Project_Register!$AJ$8+1)))^3</f>
        <v>1</v>
      </c>
      <c r="R54" s="104" t="n">
        <f aca="false">3*MIN(1,MAX(0,(Assumptions!R$96-Project_Register!$AJ$8)/(Project_Register!$AK$8-Project_Register!$AJ$8+1)))^2-2*MIN(1,MAX(0,(Assumptions!R$96-Project_Register!$AJ$8)/(Project_Register!$AK$8-Project_Register!$AJ$8+1)))^3</f>
        <v>1</v>
      </c>
      <c r="S54" s="104" t="n">
        <f aca="false">3*MIN(1,MAX(0,(Assumptions!S$96-Project_Register!$AJ$8)/(Project_Register!$AK$8-Project_Register!$AJ$8+1)))^2-2*MIN(1,MAX(0,(Assumptions!S$96-Project_Register!$AJ$8)/(Project_Register!$AK$8-Project_Register!$AJ$8+1)))^3</f>
        <v>1</v>
      </c>
      <c r="T54" s="104" t="n">
        <f aca="false">3*MIN(1,MAX(0,(Assumptions!T$96-Project_Register!$AJ$8)/(Project_Register!$AK$8-Project_Register!$AJ$8+1)))^2-2*MIN(1,MAX(0,(Assumptions!T$96-Project_Register!$AJ$8)/(Project_Register!$AK$8-Project_Register!$AJ$8+1)))^3</f>
        <v>1</v>
      </c>
      <c r="U54" s="104" t="n">
        <f aca="false">3*MIN(1,MAX(0,(Assumptions!U$96-Project_Register!$AJ$8)/(Project_Register!$AK$8-Project_Register!$AJ$8+1)))^2-2*MIN(1,MAX(0,(Assumptions!U$96-Project_Register!$AJ$8)/(Project_Register!$AK$8-Project_Register!$AJ$8+1)))^3</f>
        <v>1</v>
      </c>
      <c r="V54" s="104" t="n">
        <f aca="false">3*MIN(1,MAX(0,(Assumptions!V$96-Project_Register!$AJ$8)/(Project_Register!$AK$8-Project_Register!$AJ$8+1)))^2-2*MIN(1,MAX(0,(Assumptions!V$96-Project_Register!$AJ$8)/(Project_Register!$AK$8-Project_Register!$AJ$8+1)))^3</f>
        <v>1</v>
      </c>
      <c r="W54" s="104" t="n">
        <f aca="false">3*MIN(1,MAX(0,(Assumptions!W$96-Project_Register!$AJ$8)/(Project_Register!$AK$8-Project_Register!$AJ$8+1)))^2-2*MIN(1,MAX(0,(Assumptions!W$96-Project_Register!$AJ$8)/(Project_Register!$AK$8-Project_Register!$AJ$8+1)))^3</f>
        <v>1</v>
      </c>
      <c r="X54" s="104" t="n">
        <f aca="false">3*MIN(1,MAX(0,(Assumptions!X$96-Project_Register!$AJ$8)/(Project_Register!$AK$8-Project_Register!$AJ$8+1)))^2-2*MIN(1,MAX(0,(Assumptions!X$96-Project_Register!$AJ$8)/(Project_Register!$AK$8-Project_Register!$AJ$8+1)))^3</f>
        <v>1</v>
      </c>
      <c r="Y54" s="104" t="n">
        <f aca="false">3*MIN(1,MAX(0,(Assumptions!Y$96-Project_Register!$AJ$8)/(Project_Register!$AK$8-Project_Register!$AJ$8+1)))^2-2*MIN(1,MAX(0,(Assumptions!Y$96-Project_Register!$AJ$8)/(Project_Register!$AK$8-Project_Register!$AJ$8+1)))^3</f>
        <v>1</v>
      </c>
      <c r="Z54" s="104" t="n">
        <f aca="false">3*MIN(1,MAX(0,(Assumptions!Z$96-Project_Register!$AJ$8)/(Project_Register!$AK$8-Project_Register!$AJ$8+1)))^2-2*MIN(1,MAX(0,(Assumptions!Z$96-Project_Register!$AJ$8)/(Project_Register!$AK$8-Project_Register!$AJ$8+1)))^3</f>
        <v>1</v>
      </c>
      <c r="AA54" s="104" t="n">
        <f aca="false">3*MIN(1,MAX(0,(Assumptions!AA$96-Project_Register!$AJ$8)/(Project_Register!$AK$8-Project_Register!$AJ$8+1)))^2-2*MIN(1,MAX(0,(Assumptions!AA$96-Project_Register!$AJ$8)/(Project_Register!$AK$8-Project_Register!$AJ$8+1)))^3</f>
        <v>1</v>
      </c>
      <c r="AB54" s="104" t="n">
        <f aca="false">3*MIN(1,MAX(0,(Assumptions!AB$96-Project_Register!$AJ$8)/(Project_Register!$AK$8-Project_Register!$AJ$8+1)))^2-2*MIN(1,MAX(0,(Assumptions!AB$96-Project_Register!$AJ$8)/(Project_Register!$AK$8-Project_Register!$AJ$8+1)))^3</f>
        <v>1</v>
      </c>
    </row>
    <row r="55" customFormat="false" ht="15" hidden="false" customHeight="false" outlineLevel="0" collapsed="false">
      <c r="A55" s="27" t="s">
        <v>721</v>
      </c>
      <c r="B55" s="56" t="s">
        <v>722</v>
      </c>
      <c r="C55" s="57" t="n">
        <f aca="false">SUM(E55:P55)</f>
        <v>62064.74</v>
      </c>
      <c r="D55" s="57" t="n">
        <f aca="false">SUM(Q55:AB55)</f>
        <v>0</v>
      </c>
      <c r="E55" s="58" t="n">
        <f aca="false">IF(E$5="A",Inputs_Actuals!E18,IF((Project_Register!$AT$8-Project_Register!$AQ$8)&lt;=0,0,IF(1-Project_Register!$AV$8&lt;=0.000001,IF(Assumptions!E$96=Assumptions!$C$10+1,(Project_Register!$AT$8-Project_Register!$AQ$8),0),(Project_Register!$AT$8-Project_Register!$AQ$8)*(E53-E54)/(1-Project_Register!$AV$8)))*Project_Register!$X$8)</f>
        <v>25139.45</v>
      </c>
      <c r="F55" s="58" t="n">
        <f aca="false">IF(F$5="A",Inputs_Actuals!F18,IF((Project_Register!$AT$8-Project_Register!$AQ$8)&lt;=0,0,IF(1-Project_Register!$AV$8&lt;=0.000001,IF(Assumptions!F$96=Assumptions!$C$10+1,(Project_Register!$AT$8-Project_Register!$AQ$8),0),(Project_Register!$AT$8-Project_Register!$AQ$8)*(F53-F54)/(1-Project_Register!$AV$8)))*Project_Register!$X$8)</f>
        <v>19305.56</v>
      </c>
      <c r="G55" s="58" t="n">
        <f aca="false">IF(G$5="A",Inputs_Actuals!G18,IF((Project_Register!$AT$8-Project_Register!$AQ$8)&lt;=0,0,IF(1-Project_Register!$AV$8&lt;=0.000001,IF(Assumptions!G$96=Assumptions!$C$10+1,(Project_Register!$AT$8-Project_Register!$AQ$8),0),(Project_Register!$AT$8-Project_Register!$AQ$8)*(G53-G54)/(1-Project_Register!$AV$8)))*Project_Register!$X$8)</f>
        <v>11616.66</v>
      </c>
      <c r="H55" s="58" t="n">
        <f aca="false">IF(H$5="A",Inputs_Actuals!H18,IF((Project_Register!$AT$8-Project_Register!$AQ$8)&lt;=0,0,IF(1-Project_Register!$AV$8&lt;=0.000001,IF(Assumptions!H$96=Assumptions!$C$10+1,(Project_Register!$AT$8-Project_Register!$AQ$8),0),(Project_Register!$AT$8-Project_Register!$AQ$8)*(H53-H54)/(1-Project_Register!$AV$8)))*Project_Register!$X$8)</f>
        <v>6003.07</v>
      </c>
      <c r="I55" s="58" t="n">
        <f aca="false">IF(I$5="A",Inputs_Actuals!I18,IF((Project_Register!$AT$8-Project_Register!$AQ$8)&lt;=0,0,IF(1-Project_Register!$AV$8&lt;=0.000001,IF(Assumptions!I$96=Assumptions!$C$10+1,(Project_Register!$AT$8-Project_Register!$AQ$8),0),(Project_Register!$AT$8-Project_Register!$AQ$8)*(I53-I54)/(1-Project_Register!$AV$8)))*Project_Register!$X$8)</f>
        <v>0</v>
      </c>
      <c r="J55" s="58" t="n">
        <f aca="false">IF(J$5="A",Inputs_Actuals!J18,IF((Project_Register!$AT$8-Project_Register!$AQ$8)&lt;=0,0,IF(1-Project_Register!$AV$8&lt;=0.000001,IF(Assumptions!J$96=Assumptions!$C$10+1,(Project_Register!$AT$8-Project_Register!$AQ$8),0),(Project_Register!$AT$8-Project_Register!$AQ$8)*(J53-J54)/(1-Project_Register!$AV$8)))*Project_Register!$X$8)</f>
        <v>0</v>
      </c>
      <c r="K55" s="58" t="n">
        <f aca="false">IF(K$5="A",Inputs_Actuals!K18,IF((Project_Register!$AT$8-Project_Register!$AQ$8)&lt;=0,0,IF(1-Project_Register!$AV$8&lt;=0.000001,IF(Assumptions!K$96=Assumptions!$C$10+1,(Project_Register!$AT$8-Project_Register!$AQ$8),0),(Project_Register!$AT$8-Project_Register!$AQ$8)*(K53-K54)/(1-Project_Register!$AV$8)))*Project_Register!$X$8)</f>
        <v>0</v>
      </c>
      <c r="L55" s="58" t="n">
        <f aca="false">IF(L$5="A",Inputs_Actuals!L18,IF((Project_Register!$AT$8-Project_Register!$AQ$8)&lt;=0,0,IF(1-Project_Register!$AV$8&lt;=0.000001,IF(Assumptions!L$96=Assumptions!$C$10+1,(Project_Register!$AT$8-Project_Register!$AQ$8),0),(Project_Register!$AT$8-Project_Register!$AQ$8)*(L53-L54)/(1-Project_Register!$AV$8)))*Project_Register!$X$8)</f>
        <v>0</v>
      </c>
      <c r="M55" s="58" t="n">
        <f aca="false">IF(M$5="A",Inputs_Actuals!M18,IF((Project_Register!$AT$8-Project_Register!$AQ$8)&lt;=0,0,IF(1-Project_Register!$AV$8&lt;=0.000001,IF(Assumptions!M$96=Assumptions!$C$10+1,(Project_Register!$AT$8-Project_Register!$AQ$8),0),(Project_Register!$AT$8-Project_Register!$AQ$8)*(M53-M54)/(1-Project_Register!$AV$8)))*Project_Register!$X$8)</f>
        <v>0</v>
      </c>
      <c r="N55" s="58" t="n">
        <f aca="false">IF(N$5="A",Inputs_Actuals!N18,IF((Project_Register!$AT$8-Project_Register!$AQ$8)&lt;=0,0,IF(1-Project_Register!$AV$8&lt;=0.000001,IF(Assumptions!N$96=Assumptions!$C$10+1,(Project_Register!$AT$8-Project_Register!$AQ$8),0),(Project_Register!$AT$8-Project_Register!$AQ$8)*(N53-N54)/(1-Project_Register!$AV$8)))*Project_Register!$X$8)</f>
        <v>0</v>
      </c>
      <c r="O55" s="58" t="n">
        <f aca="false">IF(O$5="A",Inputs_Actuals!O18,IF((Project_Register!$AT$8-Project_Register!$AQ$8)&lt;=0,0,IF(1-Project_Register!$AV$8&lt;=0.000001,IF(Assumptions!O$96=Assumptions!$C$10+1,(Project_Register!$AT$8-Project_Register!$AQ$8),0),(Project_Register!$AT$8-Project_Register!$AQ$8)*(O53-O54)/(1-Project_Register!$AV$8)))*Project_Register!$X$8)</f>
        <v>0</v>
      </c>
      <c r="P55" s="58" t="n">
        <f aca="false">IF(P$5="A",Inputs_Actuals!P18,IF((Project_Register!$AT$8-Project_Register!$AQ$8)&lt;=0,0,IF(1-Project_Register!$AV$8&lt;=0.000001,IF(Assumptions!P$96=Assumptions!$C$10+1,(Project_Register!$AT$8-Project_Register!$AQ$8),0),(Project_Register!$AT$8-Project_Register!$AQ$8)*(P53-P54)/(1-Project_Register!$AV$8)))*Project_Register!$X$8)</f>
        <v>0</v>
      </c>
      <c r="Q55" s="58" t="n">
        <f aca="false">IF(Q$5="A",Inputs_Actuals!Q18,IF((Project_Register!$AT$8-Project_Register!$AQ$8)&lt;=0,0,IF(1-Project_Register!$AV$8&lt;=0.000001,IF(Assumptions!Q$96=Assumptions!$C$10+1,(Project_Register!$AT$8-Project_Register!$AQ$8),0),(Project_Register!$AT$8-Project_Register!$AQ$8)*(Q53-Q54)/(1-Project_Register!$AV$8)))*Project_Register!$X$8)</f>
        <v>0</v>
      </c>
      <c r="R55" s="58" t="n">
        <f aca="false">IF(R$5="A",Inputs_Actuals!R18,IF((Project_Register!$AT$8-Project_Register!$AQ$8)&lt;=0,0,IF(1-Project_Register!$AV$8&lt;=0.000001,IF(Assumptions!R$96=Assumptions!$C$10+1,(Project_Register!$AT$8-Project_Register!$AQ$8),0),(Project_Register!$AT$8-Project_Register!$AQ$8)*(R53-R54)/(1-Project_Register!$AV$8)))*Project_Register!$X$8)</f>
        <v>0</v>
      </c>
      <c r="S55" s="58" t="n">
        <f aca="false">IF(S$5="A",Inputs_Actuals!S18,IF((Project_Register!$AT$8-Project_Register!$AQ$8)&lt;=0,0,IF(1-Project_Register!$AV$8&lt;=0.000001,IF(Assumptions!S$96=Assumptions!$C$10+1,(Project_Register!$AT$8-Project_Register!$AQ$8),0),(Project_Register!$AT$8-Project_Register!$AQ$8)*(S53-S54)/(1-Project_Register!$AV$8)))*Project_Register!$X$8)</f>
        <v>0</v>
      </c>
      <c r="T55" s="58" t="n">
        <f aca="false">IF(T$5="A",Inputs_Actuals!T18,IF((Project_Register!$AT$8-Project_Register!$AQ$8)&lt;=0,0,IF(1-Project_Register!$AV$8&lt;=0.000001,IF(Assumptions!T$96=Assumptions!$C$10+1,(Project_Register!$AT$8-Project_Register!$AQ$8),0),(Project_Register!$AT$8-Project_Register!$AQ$8)*(T53-T54)/(1-Project_Register!$AV$8)))*Project_Register!$X$8)</f>
        <v>0</v>
      </c>
      <c r="U55" s="58" t="n">
        <f aca="false">IF(U$5="A",Inputs_Actuals!U18,IF((Project_Register!$AT$8-Project_Register!$AQ$8)&lt;=0,0,IF(1-Project_Register!$AV$8&lt;=0.000001,IF(Assumptions!U$96=Assumptions!$C$10+1,(Project_Register!$AT$8-Project_Register!$AQ$8),0),(Project_Register!$AT$8-Project_Register!$AQ$8)*(U53-U54)/(1-Project_Register!$AV$8)))*Project_Register!$X$8)</f>
        <v>0</v>
      </c>
      <c r="V55" s="58" t="n">
        <f aca="false">IF(V$5="A",Inputs_Actuals!V18,IF((Project_Register!$AT$8-Project_Register!$AQ$8)&lt;=0,0,IF(1-Project_Register!$AV$8&lt;=0.000001,IF(Assumptions!V$96=Assumptions!$C$10+1,(Project_Register!$AT$8-Project_Register!$AQ$8),0),(Project_Register!$AT$8-Project_Register!$AQ$8)*(V53-V54)/(1-Project_Register!$AV$8)))*Project_Register!$X$8)</f>
        <v>0</v>
      </c>
      <c r="W55" s="58" t="n">
        <f aca="false">IF(W$5="A",Inputs_Actuals!W18,IF((Project_Register!$AT$8-Project_Register!$AQ$8)&lt;=0,0,IF(1-Project_Register!$AV$8&lt;=0.000001,IF(Assumptions!W$96=Assumptions!$C$10+1,(Project_Register!$AT$8-Project_Register!$AQ$8),0),(Project_Register!$AT$8-Project_Register!$AQ$8)*(W53-W54)/(1-Project_Register!$AV$8)))*Project_Register!$X$8)</f>
        <v>0</v>
      </c>
      <c r="X55" s="58" t="n">
        <f aca="false">IF(X$5="A",Inputs_Actuals!X18,IF((Project_Register!$AT$8-Project_Register!$AQ$8)&lt;=0,0,IF(1-Project_Register!$AV$8&lt;=0.000001,IF(Assumptions!X$96=Assumptions!$C$10+1,(Project_Register!$AT$8-Project_Register!$AQ$8),0),(Project_Register!$AT$8-Project_Register!$AQ$8)*(X53-X54)/(1-Project_Register!$AV$8)))*Project_Register!$X$8)</f>
        <v>0</v>
      </c>
      <c r="Y55" s="58" t="n">
        <f aca="false">IF(Y$5="A",Inputs_Actuals!Y18,IF((Project_Register!$AT$8-Project_Register!$AQ$8)&lt;=0,0,IF(1-Project_Register!$AV$8&lt;=0.000001,IF(Assumptions!Y$96=Assumptions!$C$10+1,(Project_Register!$AT$8-Project_Register!$AQ$8),0),(Project_Register!$AT$8-Project_Register!$AQ$8)*(Y53-Y54)/(1-Project_Register!$AV$8)))*Project_Register!$X$8)</f>
        <v>0</v>
      </c>
      <c r="Z55" s="58" t="n">
        <f aca="false">IF(Z$5="A",Inputs_Actuals!Z18,IF((Project_Register!$AT$8-Project_Register!$AQ$8)&lt;=0,0,IF(1-Project_Register!$AV$8&lt;=0.000001,IF(Assumptions!Z$96=Assumptions!$C$10+1,(Project_Register!$AT$8-Project_Register!$AQ$8),0),(Project_Register!$AT$8-Project_Register!$AQ$8)*(Z53-Z54)/(1-Project_Register!$AV$8)))*Project_Register!$X$8)</f>
        <v>0</v>
      </c>
      <c r="AA55" s="58" t="n">
        <f aca="false">IF(AA$5="A",Inputs_Actuals!AA18,IF((Project_Register!$AT$8-Project_Register!$AQ$8)&lt;=0,0,IF(1-Project_Register!$AV$8&lt;=0.000001,IF(Assumptions!AA$96=Assumptions!$C$10+1,(Project_Register!$AT$8-Project_Register!$AQ$8),0),(Project_Register!$AT$8-Project_Register!$AQ$8)*(AA53-AA54)/(1-Project_Register!$AV$8)))*Project_Register!$X$8)</f>
        <v>0</v>
      </c>
      <c r="AB55" s="58" t="n">
        <f aca="false">IF(AB$5="A",Inputs_Actuals!AB18,IF((Project_Register!$AT$8-Project_Register!$AQ$8)&lt;=0,0,IF(1-Project_Register!$AV$8&lt;=0.000001,IF(Assumptions!AB$96=Assumptions!$C$10+1,(Project_Register!$AT$8-Project_Register!$AQ$8),0),(Project_Register!$AT$8-Project_Register!$AQ$8)*(AB53-AB54)/(1-Project_Register!$AV$8)))*Project_Register!$X$8)</f>
        <v>0</v>
      </c>
    </row>
    <row r="56" customFormat="false" ht="15" hidden="false" customHeight="false" outlineLevel="0" collapsed="false">
      <c r="A56" s="27" t="s">
        <v>723</v>
      </c>
      <c r="B56" s="56" t="s">
        <v>722</v>
      </c>
      <c r="C56" s="57" t="n">
        <f aca="false">SUM(E56:P56)</f>
        <v>271319.35</v>
      </c>
      <c r="D56" s="57" t="n">
        <f aca="false">SUM(Q56:AB56)</f>
        <v>0</v>
      </c>
      <c r="E56" s="58" t="n">
        <f aca="false">IF(E$5="A",Inputs_Actuals!E19,IF((Project_Register!$AT$8-Project_Register!$AQ$8)&lt;=0,0,IF(1-Project_Register!$AV$8&lt;=0.000001,IF(Assumptions!E$96=Assumptions!$C$10+1,(Project_Register!$AT$8-Project_Register!$AQ$8),0),(Project_Register!$AT$8-Project_Register!$AQ$8)*(E53-E54)/(1-Project_Register!$AV$8)))*Project_Register!$Y$8)</f>
        <v>115846.57</v>
      </c>
      <c r="F56" s="58" t="n">
        <f aca="false">IF(F$5="A",Inputs_Actuals!F19,IF((Project_Register!$AT$8-Project_Register!$AQ$8)&lt;=0,0,IF(1-Project_Register!$AV$8&lt;=0.000001,IF(Assumptions!F$96=Assumptions!$C$10+1,(Project_Register!$AT$8-Project_Register!$AQ$8),0),(Project_Register!$AT$8-Project_Register!$AQ$8)*(F53-F54)/(1-Project_Register!$AV$8)))*Project_Register!$Y$8)</f>
        <v>86983.55</v>
      </c>
      <c r="G56" s="58" t="n">
        <f aca="false">IF(G$5="A",Inputs_Actuals!G19,IF((Project_Register!$AT$8-Project_Register!$AQ$8)&lt;=0,0,IF(1-Project_Register!$AV$8&lt;=0.000001,IF(Assumptions!G$96=Assumptions!$C$10+1,(Project_Register!$AT$8-Project_Register!$AQ$8),0),(Project_Register!$AT$8-Project_Register!$AQ$8)*(G53-G54)/(1-Project_Register!$AV$8)))*Project_Register!$Y$8)</f>
        <v>45995.01</v>
      </c>
      <c r="H56" s="58" t="n">
        <f aca="false">IF(H$5="A",Inputs_Actuals!H19,IF((Project_Register!$AT$8-Project_Register!$AQ$8)&lt;=0,0,IF(1-Project_Register!$AV$8&lt;=0.000001,IF(Assumptions!H$96=Assumptions!$C$10+1,(Project_Register!$AT$8-Project_Register!$AQ$8),0),(Project_Register!$AT$8-Project_Register!$AQ$8)*(H53-H54)/(1-Project_Register!$AV$8)))*Project_Register!$Y$8)</f>
        <v>22494.22</v>
      </c>
      <c r="I56" s="58" t="n">
        <f aca="false">IF(I$5="A",Inputs_Actuals!I19,IF((Project_Register!$AT$8-Project_Register!$AQ$8)&lt;=0,0,IF(1-Project_Register!$AV$8&lt;=0.000001,IF(Assumptions!I$96=Assumptions!$C$10+1,(Project_Register!$AT$8-Project_Register!$AQ$8),0),(Project_Register!$AT$8-Project_Register!$AQ$8)*(I53-I54)/(1-Project_Register!$AV$8)))*Project_Register!$Y$8)</f>
        <v>0</v>
      </c>
      <c r="J56" s="58" t="n">
        <f aca="false">IF(J$5="A",Inputs_Actuals!J19,IF((Project_Register!$AT$8-Project_Register!$AQ$8)&lt;=0,0,IF(1-Project_Register!$AV$8&lt;=0.000001,IF(Assumptions!J$96=Assumptions!$C$10+1,(Project_Register!$AT$8-Project_Register!$AQ$8),0),(Project_Register!$AT$8-Project_Register!$AQ$8)*(J53-J54)/(1-Project_Register!$AV$8)))*Project_Register!$Y$8)</f>
        <v>0</v>
      </c>
      <c r="K56" s="58" t="n">
        <f aca="false">IF(K$5="A",Inputs_Actuals!K19,IF((Project_Register!$AT$8-Project_Register!$AQ$8)&lt;=0,0,IF(1-Project_Register!$AV$8&lt;=0.000001,IF(Assumptions!K$96=Assumptions!$C$10+1,(Project_Register!$AT$8-Project_Register!$AQ$8),0),(Project_Register!$AT$8-Project_Register!$AQ$8)*(K53-K54)/(1-Project_Register!$AV$8)))*Project_Register!$Y$8)</f>
        <v>0</v>
      </c>
      <c r="L56" s="58" t="n">
        <f aca="false">IF(L$5="A",Inputs_Actuals!L19,IF((Project_Register!$AT$8-Project_Register!$AQ$8)&lt;=0,0,IF(1-Project_Register!$AV$8&lt;=0.000001,IF(Assumptions!L$96=Assumptions!$C$10+1,(Project_Register!$AT$8-Project_Register!$AQ$8),0),(Project_Register!$AT$8-Project_Register!$AQ$8)*(L53-L54)/(1-Project_Register!$AV$8)))*Project_Register!$Y$8)</f>
        <v>0</v>
      </c>
      <c r="M56" s="58" t="n">
        <f aca="false">IF(M$5="A",Inputs_Actuals!M19,IF((Project_Register!$AT$8-Project_Register!$AQ$8)&lt;=0,0,IF(1-Project_Register!$AV$8&lt;=0.000001,IF(Assumptions!M$96=Assumptions!$C$10+1,(Project_Register!$AT$8-Project_Register!$AQ$8),0),(Project_Register!$AT$8-Project_Register!$AQ$8)*(M53-M54)/(1-Project_Register!$AV$8)))*Project_Register!$Y$8)</f>
        <v>0</v>
      </c>
      <c r="N56" s="58" t="n">
        <f aca="false">IF(N$5="A",Inputs_Actuals!N19,IF((Project_Register!$AT$8-Project_Register!$AQ$8)&lt;=0,0,IF(1-Project_Register!$AV$8&lt;=0.000001,IF(Assumptions!N$96=Assumptions!$C$10+1,(Project_Register!$AT$8-Project_Register!$AQ$8),0),(Project_Register!$AT$8-Project_Register!$AQ$8)*(N53-N54)/(1-Project_Register!$AV$8)))*Project_Register!$Y$8)</f>
        <v>0</v>
      </c>
      <c r="O56" s="58" t="n">
        <f aca="false">IF(O$5="A",Inputs_Actuals!O19,IF((Project_Register!$AT$8-Project_Register!$AQ$8)&lt;=0,0,IF(1-Project_Register!$AV$8&lt;=0.000001,IF(Assumptions!O$96=Assumptions!$C$10+1,(Project_Register!$AT$8-Project_Register!$AQ$8),0),(Project_Register!$AT$8-Project_Register!$AQ$8)*(O53-O54)/(1-Project_Register!$AV$8)))*Project_Register!$Y$8)</f>
        <v>0</v>
      </c>
      <c r="P56" s="58" t="n">
        <f aca="false">IF(P$5="A",Inputs_Actuals!P19,IF((Project_Register!$AT$8-Project_Register!$AQ$8)&lt;=0,0,IF(1-Project_Register!$AV$8&lt;=0.000001,IF(Assumptions!P$96=Assumptions!$C$10+1,(Project_Register!$AT$8-Project_Register!$AQ$8),0),(Project_Register!$AT$8-Project_Register!$AQ$8)*(P53-P54)/(1-Project_Register!$AV$8)))*Project_Register!$Y$8)</f>
        <v>0</v>
      </c>
      <c r="Q56" s="58" t="n">
        <f aca="false">IF(Q$5="A",Inputs_Actuals!Q19,IF((Project_Register!$AT$8-Project_Register!$AQ$8)&lt;=0,0,IF(1-Project_Register!$AV$8&lt;=0.000001,IF(Assumptions!Q$96=Assumptions!$C$10+1,(Project_Register!$AT$8-Project_Register!$AQ$8),0),(Project_Register!$AT$8-Project_Register!$AQ$8)*(Q53-Q54)/(1-Project_Register!$AV$8)))*Project_Register!$Y$8)</f>
        <v>0</v>
      </c>
      <c r="R56" s="58" t="n">
        <f aca="false">IF(R$5="A",Inputs_Actuals!R19,IF((Project_Register!$AT$8-Project_Register!$AQ$8)&lt;=0,0,IF(1-Project_Register!$AV$8&lt;=0.000001,IF(Assumptions!R$96=Assumptions!$C$10+1,(Project_Register!$AT$8-Project_Register!$AQ$8),0),(Project_Register!$AT$8-Project_Register!$AQ$8)*(R53-R54)/(1-Project_Register!$AV$8)))*Project_Register!$Y$8)</f>
        <v>0</v>
      </c>
      <c r="S56" s="58" t="n">
        <f aca="false">IF(S$5="A",Inputs_Actuals!S19,IF((Project_Register!$AT$8-Project_Register!$AQ$8)&lt;=0,0,IF(1-Project_Register!$AV$8&lt;=0.000001,IF(Assumptions!S$96=Assumptions!$C$10+1,(Project_Register!$AT$8-Project_Register!$AQ$8),0),(Project_Register!$AT$8-Project_Register!$AQ$8)*(S53-S54)/(1-Project_Register!$AV$8)))*Project_Register!$Y$8)</f>
        <v>0</v>
      </c>
      <c r="T56" s="58" t="n">
        <f aca="false">IF(T$5="A",Inputs_Actuals!T19,IF((Project_Register!$AT$8-Project_Register!$AQ$8)&lt;=0,0,IF(1-Project_Register!$AV$8&lt;=0.000001,IF(Assumptions!T$96=Assumptions!$C$10+1,(Project_Register!$AT$8-Project_Register!$AQ$8),0),(Project_Register!$AT$8-Project_Register!$AQ$8)*(T53-T54)/(1-Project_Register!$AV$8)))*Project_Register!$Y$8)</f>
        <v>0</v>
      </c>
      <c r="U56" s="58" t="n">
        <f aca="false">IF(U$5="A",Inputs_Actuals!U19,IF((Project_Register!$AT$8-Project_Register!$AQ$8)&lt;=0,0,IF(1-Project_Register!$AV$8&lt;=0.000001,IF(Assumptions!U$96=Assumptions!$C$10+1,(Project_Register!$AT$8-Project_Register!$AQ$8),0),(Project_Register!$AT$8-Project_Register!$AQ$8)*(U53-U54)/(1-Project_Register!$AV$8)))*Project_Register!$Y$8)</f>
        <v>0</v>
      </c>
      <c r="V56" s="58" t="n">
        <f aca="false">IF(V$5="A",Inputs_Actuals!V19,IF((Project_Register!$AT$8-Project_Register!$AQ$8)&lt;=0,0,IF(1-Project_Register!$AV$8&lt;=0.000001,IF(Assumptions!V$96=Assumptions!$C$10+1,(Project_Register!$AT$8-Project_Register!$AQ$8),0),(Project_Register!$AT$8-Project_Register!$AQ$8)*(V53-V54)/(1-Project_Register!$AV$8)))*Project_Register!$Y$8)</f>
        <v>0</v>
      </c>
      <c r="W56" s="58" t="n">
        <f aca="false">IF(W$5="A",Inputs_Actuals!W19,IF((Project_Register!$AT$8-Project_Register!$AQ$8)&lt;=0,0,IF(1-Project_Register!$AV$8&lt;=0.000001,IF(Assumptions!W$96=Assumptions!$C$10+1,(Project_Register!$AT$8-Project_Register!$AQ$8),0),(Project_Register!$AT$8-Project_Register!$AQ$8)*(W53-W54)/(1-Project_Register!$AV$8)))*Project_Register!$Y$8)</f>
        <v>0</v>
      </c>
      <c r="X56" s="58" t="n">
        <f aca="false">IF(X$5="A",Inputs_Actuals!X19,IF((Project_Register!$AT$8-Project_Register!$AQ$8)&lt;=0,0,IF(1-Project_Register!$AV$8&lt;=0.000001,IF(Assumptions!X$96=Assumptions!$C$10+1,(Project_Register!$AT$8-Project_Register!$AQ$8),0),(Project_Register!$AT$8-Project_Register!$AQ$8)*(X53-X54)/(1-Project_Register!$AV$8)))*Project_Register!$Y$8)</f>
        <v>0</v>
      </c>
      <c r="Y56" s="58" t="n">
        <f aca="false">IF(Y$5="A",Inputs_Actuals!Y19,IF((Project_Register!$AT$8-Project_Register!$AQ$8)&lt;=0,0,IF(1-Project_Register!$AV$8&lt;=0.000001,IF(Assumptions!Y$96=Assumptions!$C$10+1,(Project_Register!$AT$8-Project_Register!$AQ$8),0),(Project_Register!$AT$8-Project_Register!$AQ$8)*(Y53-Y54)/(1-Project_Register!$AV$8)))*Project_Register!$Y$8)</f>
        <v>0</v>
      </c>
      <c r="Z56" s="58" t="n">
        <f aca="false">IF(Z$5="A",Inputs_Actuals!Z19,IF((Project_Register!$AT$8-Project_Register!$AQ$8)&lt;=0,0,IF(1-Project_Register!$AV$8&lt;=0.000001,IF(Assumptions!Z$96=Assumptions!$C$10+1,(Project_Register!$AT$8-Project_Register!$AQ$8),0),(Project_Register!$AT$8-Project_Register!$AQ$8)*(Z53-Z54)/(1-Project_Register!$AV$8)))*Project_Register!$Y$8)</f>
        <v>0</v>
      </c>
      <c r="AA56" s="58" t="n">
        <f aca="false">IF(AA$5="A",Inputs_Actuals!AA19,IF((Project_Register!$AT$8-Project_Register!$AQ$8)&lt;=0,0,IF(1-Project_Register!$AV$8&lt;=0.000001,IF(Assumptions!AA$96=Assumptions!$C$10+1,(Project_Register!$AT$8-Project_Register!$AQ$8),0),(Project_Register!$AT$8-Project_Register!$AQ$8)*(AA53-AA54)/(1-Project_Register!$AV$8)))*Project_Register!$Y$8)</f>
        <v>0</v>
      </c>
      <c r="AB56" s="58" t="n">
        <f aca="false">IF(AB$5="A",Inputs_Actuals!AB19,IF((Project_Register!$AT$8-Project_Register!$AQ$8)&lt;=0,0,IF(1-Project_Register!$AV$8&lt;=0.000001,IF(Assumptions!AB$96=Assumptions!$C$10+1,(Project_Register!$AT$8-Project_Register!$AQ$8),0),(Project_Register!$AT$8-Project_Register!$AQ$8)*(AB53-AB54)/(1-Project_Register!$AV$8)))*Project_Register!$Y$8)</f>
        <v>0</v>
      </c>
    </row>
    <row r="57" customFormat="false" ht="15" hidden="false" customHeight="false" outlineLevel="0" collapsed="false">
      <c r="A57" s="27" t="s">
        <v>724</v>
      </c>
      <c r="B57" s="56" t="s">
        <v>722</v>
      </c>
      <c r="C57" s="57" t="n">
        <f aca="false">SUM(E57:P57)</f>
        <v>111445.86</v>
      </c>
      <c r="D57" s="57" t="n">
        <f aca="false">SUM(Q57:AB57)</f>
        <v>0</v>
      </c>
      <c r="E57" s="58" t="n">
        <f aca="false">IF(E$5="A",Inputs_Actuals!E20,IF((Project_Register!$AT$8-Project_Register!$AQ$8)&lt;=0,0,IF(1-Project_Register!$AV$8&lt;=0.000001,IF(Assumptions!E$96=Assumptions!$C$10+1,(Project_Register!$AT$8-Project_Register!$AQ$8),0),(Project_Register!$AT$8-Project_Register!$AQ$8)*(E53-E54)/(1-Project_Register!$AV$8)))*Project_Register!$Z$8)</f>
        <v>47365.64</v>
      </c>
      <c r="F57" s="58" t="n">
        <f aca="false">IF(F$5="A",Inputs_Actuals!F20,IF((Project_Register!$AT$8-Project_Register!$AQ$8)&lt;=0,0,IF(1-Project_Register!$AV$8&lt;=0.000001,IF(Assumptions!F$96=Assumptions!$C$10+1,(Project_Register!$AT$8-Project_Register!$AQ$8),0),(Project_Register!$AT$8-Project_Register!$AQ$8)*(F53-F54)/(1-Project_Register!$AV$8)))*Project_Register!$Z$8)</f>
        <v>34162.6</v>
      </c>
      <c r="G57" s="58" t="n">
        <f aca="false">IF(G$5="A",Inputs_Actuals!G20,IF((Project_Register!$AT$8-Project_Register!$AQ$8)&lt;=0,0,IF(1-Project_Register!$AV$8&lt;=0.000001,IF(Assumptions!G$96=Assumptions!$C$10+1,(Project_Register!$AT$8-Project_Register!$AQ$8),0),(Project_Register!$AT$8-Project_Register!$AQ$8)*(G53-G54)/(1-Project_Register!$AV$8)))*Project_Register!$Z$8)</f>
        <v>19879.12</v>
      </c>
      <c r="H57" s="58" t="n">
        <f aca="false">IF(H$5="A",Inputs_Actuals!H20,IF((Project_Register!$AT$8-Project_Register!$AQ$8)&lt;=0,0,IF(1-Project_Register!$AV$8&lt;=0.000001,IF(Assumptions!H$96=Assumptions!$C$10+1,(Project_Register!$AT$8-Project_Register!$AQ$8),0),(Project_Register!$AT$8-Project_Register!$AQ$8)*(H53-H54)/(1-Project_Register!$AV$8)))*Project_Register!$Z$8)</f>
        <v>10038.5</v>
      </c>
      <c r="I57" s="58" t="n">
        <f aca="false">IF(I$5="A",Inputs_Actuals!I20,IF((Project_Register!$AT$8-Project_Register!$AQ$8)&lt;=0,0,IF(1-Project_Register!$AV$8&lt;=0.000001,IF(Assumptions!I$96=Assumptions!$C$10+1,(Project_Register!$AT$8-Project_Register!$AQ$8),0),(Project_Register!$AT$8-Project_Register!$AQ$8)*(I53-I54)/(1-Project_Register!$AV$8)))*Project_Register!$Z$8)</f>
        <v>0</v>
      </c>
      <c r="J57" s="58" t="n">
        <f aca="false">IF(J$5="A",Inputs_Actuals!J20,IF((Project_Register!$AT$8-Project_Register!$AQ$8)&lt;=0,0,IF(1-Project_Register!$AV$8&lt;=0.000001,IF(Assumptions!J$96=Assumptions!$C$10+1,(Project_Register!$AT$8-Project_Register!$AQ$8),0),(Project_Register!$AT$8-Project_Register!$AQ$8)*(J53-J54)/(1-Project_Register!$AV$8)))*Project_Register!$Z$8)</f>
        <v>0</v>
      </c>
      <c r="K57" s="58" t="n">
        <f aca="false">IF(K$5="A",Inputs_Actuals!K20,IF((Project_Register!$AT$8-Project_Register!$AQ$8)&lt;=0,0,IF(1-Project_Register!$AV$8&lt;=0.000001,IF(Assumptions!K$96=Assumptions!$C$10+1,(Project_Register!$AT$8-Project_Register!$AQ$8),0),(Project_Register!$AT$8-Project_Register!$AQ$8)*(K53-K54)/(1-Project_Register!$AV$8)))*Project_Register!$Z$8)</f>
        <v>0</v>
      </c>
      <c r="L57" s="58" t="n">
        <f aca="false">IF(L$5="A",Inputs_Actuals!L20,IF((Project_Register!$AT$8-Project_Register!$AQ$8)&lt;=0,0,IF(1-Project_Register!$AV$8&lt;=0.000001,IF(Assumptions!L$96=Assumptions!$C$10+1,(Project_Register!$AT$8-Project_Register!$AQ$8),0),(Project_Register!$AT$8-Project_Register!$AQ$8)*(L53-L54)/(1-Project_Register!$AV$8)))*Project_Register!$Z$8)</f>
        <v>0</v>
      </c>
      <c r="M57" s="58" t="n">
        <f aca="false">IF(M$5="A",Inputs_Actuals!M20,IF((Project_Register!$AT$8-Project_Register!$AQ$8)&lt;=0,0,IF(1-Project_Register!$AV$8&lt;=0.000001,IF(Assumptions!M$96=Assumptions!$C$10+1,(Project_Register!$AT$8-Project_Register!$AQ$8),0),(Project_Register!$AT$8-Project_Register!$AQ$8)*(M53-M54)/(1-Project_Register!$AV$8)))*Project_Register!$Z$8)</f>
        <v>0</v>
      </c>
      <c r="N57" s="58" t="n">
        <f aca="false">IF(N$5="A",Inputs_Actuals!N20,IF((Project_Register!$AT$8-Project_Register!$AQ$8)&lt;=0,0,IF(1-Project_Register!$AV$8&lt;=0.000001,IF(Assumptions!N$96=Assumptions!$C$10+1,(Project_Register!$AT$8-Project_Register!$AQ$8),0),(Project_Register!$AT$8-Project_Register!$AQ$8)*(N53-N54)/(1-Project_Register!$AV$8)))*Project_Register!$Z$8)</f>
        <v>0</v>
      </c>
      <c r="O57" s="58" t="n">
        <f aca="false">IF(O$5="A",Inputs_Actuals!O20,IF((Project_Register!$AT$8-Project_Register!$AQ$8)&lt;=0,0,IF(1-Project_Register!$AV$8&lt;=0.000001,IF(Assumptions!O$96=Assumptions!$C$10+1,(Project_Register!$AT$8-Project_Register!$AQ$8),0),(Project_Register!$AT$8-Project_Register!$AQ$8)*(O53-O54)/(1-Project_Register!$AV$8)))*Project_Register!$Z$8)</f>
        <v>0</v>
      </c>
      <c r="P57" s="58" t="n">
        <f aca="false">IF(P$5="A",Inputs_Actuals!P20,IF((Project_Register!$AT$8-Project_Register!$AQ$8)&lt;=0,0,IF(1-Project_Register!$AV$8&lt;=0.000001,IF(Assumptions!P$96=Assumptions!$C$10+1,(Project_Register!$AT$8-Project_Register!$AQ$8),0),(Project_Register!$AT$8-Project_Register!$AQ$8)*(P53-P54)/(1-Project_Register!$AV$8)))*Project_Register!$Z$8)</f>
        <v>0</v>
      </c>
      <c r="Q57" s="58" t="n">
        <f aca="false">IF(Q$5="A",Inputs_Actuals!Q20,IF((Project_Register!$AT$8-Project_Register!$AQ$8)&lt;=0,0,IF(1-Project_Register!$AV$8&lt;=0.000001,IF(Assumptions!Q$96=Assumptions!$C$10+1,(Project_Register!$AT$8-Project_Register!$AQ$8),0),(Project_Register!$AT$8-Project_Register!$AQ$8)*(Q53-Q54)/(1-Project_Register!$AV$8)))*Project_Register!$Z$8)</f>
        <v>0</v>
      </c>
      <c r="R57" s="58" t="n">
        <f aca="false">IF(R$5="A",Inputs_Actuals!R20,IF((Project_Register!$AT$8-Project_Register!$AQ$8)&lt;=0,0,IF(1-Project_Register!$AV$8&lt;=0.000001,IF(Assumptions!R$96=Assumptions!$C$10+1,(Project_Register!$AT$8-Project_Register!$AQ$8),0),(Project_Register!$AT$8-Project_Register!$AQ$8)*(R53-R54)/(1-Project_Register!$AV$8)))*Project_Register!$Z$8)</f>
        <v>0</v>
      </c>
      <c r="S57" s="58" t="n">
        <f aca="false">IF(S$5="A",Inputs_Actuals!S20,IF((Project_Register!$AT$8-Project_Register!$AQ$8)&lt;=0,0,IF(1-Project_Register!$AV$8&lt;=0.000001,IF(Assumptions!S$96=Assumptions!$C$10+1,(Project_Register!$AT$8-Project_Register!$AQ$8),0),(Project_Register!$AT$8-Project_Register!$AQ$8)*(S53-S54)/(1-Project_Register!$AV$8)))*Project_Register!$Z$8)</f>
        <v>0</v>
      </c>
      <c r="T57" s="58" t="n">
        <f aca="false">IF(T$5="A",Inputs_Actuals!T20,IF((Project_Register!$AT$8-Project_Register!$AQ$8)&lt;=0,0,IF(1-Project_Register!$AV$8&lt;=0.000001,IF(Assumptions!T$96=Assumptions!$C$10+1,(Project_Register!$AT$8-Project_Register!$AQ$8),0),(Project_Register!$AT$8-Project_Register!$AQ$8)*(T53-T54)/(1-Project_Register!$AV$8)))*Project_Register!$Z$8)</f>
        <v>0</v>
      </c>
      <c r="U57" s="58" t="n">
        <f aca="false">IF(U$5="A",Inputs_Actuals!U20,IF((Project_Register!$AT$8-Project_Register!$AQ$8)&lt;=0,0,IF(1-Project_Register!$AV$8&lt;=0.000001,IF(Assumptions!U$96=Assumptions!$C$10+1,(Project_Register!$AT$8-Project_Register!$AQ$8),0),(Project_Register!$AT$8-Project_Register!$AQ$8)*(U53-U54)/(1-Project_Register!$AV$8)))*Project_Register!$Z$8)</f>
        <v>0</v>
      </c>
      <c r="V57" s="58" t="n">
        <f aca="false">IF(V$5="A",Inputs_Actuals!V20,IF((Project_Register!$AT$8-Project_Register!$AQ$8)&lt;=0,0,IF(1-Project_Register!$AV$8&lt;=0.000001,IF(Assumptions!V$96=Assumptions!$C$10+1,(Project_Register!$AT$8-Project_Register!$AQ$8),0),(Project_Register!$AT$8-Project_Register!$AQ$8)*(V53-V54)/(1-Project_Register!$AV$8)))*Project_Register!$Z$8)</f>
        <v>0</v>
      </c>
      <c r="W57" s="58" t="n">
        <f aca="false">IF(W$5="A",Inputs_Actuals!W20,IF((Project_Register!$AT$8-Project_Register!$AQ$8)&lt;=0,0,IF(1-Project_Register!$AV$8&lt;=0.000001,IF(Assumptions!W$96=Assumptions!$C$10+1,(Project_Register!$AT$8-Project_Register!$AQ$8),0),(Project_Register!$AT$8-Project_Register!$AQ$8)*(W53-W54)/(1-Project_Register!$AV$8)))*Project_Register!$Z$8)</f>
        <v>0</v>
      </c>
      <c r="X57" s="58" t="n">
        <f aca="false">IF(X$5="A",Inputs_Actuals!X20,IF((Project_Register!$AT$8-Project_Register!$AQ$8)&lt;=0,0,IF(1-Project_Register!$AV$8&lt;=0.000001,IF(Assumptions!X$96=Assumptions!$C$10+1,(Project_Register!$AT$8-Project_Register!$AQ$8),0),(Project_Register!$AT$8-Project_Register!$AQ$8)*(X53-X54)/(1-Project_Register!$AV$8)))*Project_Register!$Z$8)</f>
        <v>0</v>
      </c>
      <c r="Y57" s="58" t="n">
        <f aca="false">IF(Y$5="A",Inputs_Actuals!Y20,IF((Project_Register!$AT$8-Project_Register!$AQ$8)&lt;=0,0,IF(1-Project_Register!$AV$8&lt;=0.000001,IF(Assumptions!Y$96=Assumptions!$C$10+1,(Project_Register!$AT$8-Project_Register!$AQ$8),0),(Project_Register!$AT$8-Project_Register!$AQ$8)*(Y53-Y54)/(1-Project_Register!$AV$8)))*Project_Register!$Z$8)</f>
        <v>0</v>
      </c>
      <c r="Z57" s="58" t="n">
        <f aca="false">IF(Z$5="A",Inputs_Actuals!Z20,IF((Project_Register!$AT$8-Project_Register!$AQ$8)&lt;=0,0,IF(1-Project_Register!$AV$8&lt;=0.000001,IF(Assumptions!Z$96=Assumptions!$C$10+1,(Project_Register!$AT$8-Project_Register!$AQ$8),0),(Project_Register!$AT$8-Project_Register!$AQ$8)*(Z53-Z54)/(1-Project_Register!$AV$8)))*Project_Register!$Z$8)</f>
        <v>0</v>
      </c>
      <c r="AA57" s="58" t="n">
        <f aca="false">IF(AA$5="A",Inputs_Actuals!AA20,IF((Project_Register!$AT$8-Project_Register!$AQ$8)&lt;=0,0,IF(1-Project_Register!$AV$8&lt;=0.000001,IF(Assumptions!AA$96=Assumptions!$C$10+1,(Project_Register!$AT$8-Project_Register!$AQ$8),0),(Project_Register!$AT$8-Project_Register!$AQ$8)*(AA53-AA54)/(1-Project_Register!$AV$8)))*Project_Register!$Z$8)</f>
        <v>0</v>
      </c>
      <c r="AB57" s="58" t="n">
        <f aca="false">IF(AB$5="A",Inputs_Actuals!AB20,IF((Project_Register!$AT$8-Project_Register!$AQ$8)&lt;=0,0,IF(1-Project_Register!$AV$8&lt;=0.000001,IF(Assumptions!AB$96=Assumptions!$C$10+1,(Project_Register!$AT$8-Project_Register!$AQ$8),0),(Project_Register!$AT$8-Project_Register!$AQ$8)*(AB53-AB54)/(1-Project_Register!$AV$8)))*Project_Register!$Z$8)</f>
        <v>0</v>
      </c>
    </row>
    <row r="58" customFormat="false" ht="15" hidden="false" customHeight="false" outlineLevel="0" collapsed="false">
      <c r="A58" s="27" t="s">
        <v>725</v>
      </c>
      <c r="B58" s="56" t="s">
        <v>722</v>
      </c>
      <c r="C58" s="57" t="n">
        <f aca="false">SUM(E58:P58)</f>
        <v>14462.99</v>
      </c>
      <c r="D58" s="57" t="n">
        <f aca="false">SUM(Q58:AB58)</f>
        <v>0</v>
      </c>
      <c r="E58" s="58" t="n">
        <f aca="false">IF(E$5="A",Inputs_Actuals!E21,IF((Project_Register!$AT$8-Project_Register!$AQ$8)&lt;=0,0,IF(1-Project_Register!$AV$8&lt;=0.000001,IF(Assumptions!E$96=Assumptions!$C$10+1,(Project_Register!$AT$8-Project_Register!$AQ$8),0),(Project_Register!$AT$8-Project_Register!$AQ$8)*(E53-E54)/(1-Project_Register!$AV$8)))*Project_Register!$AA$8)</f>
        <v>5935.65</v>
      </c>
      <c r="F58" s="58" t="n">
        <f aca="false">IF(F$5="A",Inputs_Actuals!F21,IF((Project_Register!$AT$8-Project_Register!$AQ$8)&lt;=0,0,IF(1-Project_Register!$AV$8&lt;=0.000001,IF(Assumptions!F$96=Assumptions!$C$10+1,(Project_Register!$AT$8-Project_Register!$AQ$8),0),(Project_Register!$AT$8-Project_Register!$AQ$8)*(F53-F54)/(1-Project_Register!$AV$8)))*Project_Register!$AA$8)</f>
        <v>4596.24</v>
      </c>
      <c r="G58" s="58" t="n">
        <f aca="false">IF(G$5="A",Inputs_Actuals!G21,IF((Project_Register!$AT$8-Project_Register!$AQ$8)&lt;=0,0,IF(1-Project_Register!$AV$8&lt;=0.000001,IF(Assumptions!G$96=Assumptions!$C$10+1,(Project_Register!$AT$8-Project_Register!$AQ$8),0),(Project_Register!$AT$8-Project_Register!$AQ$8)*(G53-G54)/(1-Project_Register!$AV$8)))*Project_Register!$AA$8)</f>
        <v>2738.29</v>
      </c>
      <c r="H58" s="58" t="n">
        <f aca="false">IF(H$5="A",Inputs_Actuals!H21,IF((Project_Register!$AT$8-Project_Register!$AQ$8)&lt;=0,0,IF(1-Project_Register!$AV$8&lt;=0.000001,IF(Assumptions!H$96=Assumptions!$C$10+1,(Project_Register!$AT$8-Project_Register!$AQ$8),0),(Project_Register!$AT$8-Project_Register!$AQ$8)*(H53-H54)/(1-Project_Register!$AV$8)))*Project_Register!$AA$8)</f>
        <v>1192.81</v>
      </c>
      <c r="I58" s="58" t="n">
        <f aca="false">IF(I$5="A",Inputs_Actuals!I21,IF((Project_Register!$AT$8-Project_Register!$AQ$8)&lt;=0,0,IF(1-Project_Register!$AV$8&lt;=0.000001,IF(Assumptions!I$96=Assumptions!$C$10+1,(Project_Register!$AT$8-Project_Register!$AQ$8),0),(Project_Register!$AT$8-Project_Register!$AQ$8)*(I53-I54)/(1-Project_Register!$AV$8)))*Project_Register!$AA$8)</f>
        <v>0</v>
      </c>
      <c r="J58" s="58" t="n">
        <f aca="false">IF(J$5="A",Inputs_Actuals!J21,IF((Project_Register!$AT$8-Project_Register!$AQ$8)&lt;=0,0,IF(1-Project_Register!$AV$8&lt;=0.000001,IF(Assumptions!J$96=Assumptions!$C$10+1,(Project_Register!$AT$8-Project_Register!$AQ$8),0),(Project_Register!$AT$8-Project_Register!$AQ$8)*(J53-J54)/(1-Project_Register!$AV$8)))*Project_Register!$AA$8)</f>
        <v>0</v>
      </c>
      <c r="K58" s="58" t="n">
        <f aca="false">IF(K$5="A",Inputs_Actuals!K21,IF((Project_Register!$AT$8-Project_Register!$AQ$8)&lt;=0,0,IF(1-Project_Register!$AV$8&lt;=0.000001,IF(Assumptions!K$96=Assumptions!$C$10+1,(Project_Register!$AT$8-Project_Register!$AQ$8),0),(Project_Register!$AT$8-Project_Register!$AQ$8)*(K53-K54)/(1-Project_Register!$AV$8)))*Project_Register!$AA$8)</f>
        <v>0</v>
      </c>
      <c r="L58" s="58" t="n">
        <f aca="false">IF(L$5="A",Inputs_Actuals!L21,IF((Project_Register!$AT$8-Project_Register!$AQ$8)&lt;=0,0,IF(1-Project_Register!$AV$8&lt;=0.000001,IF(Assumptions!L$96=Assumptions!$C$10+1,(Project_Register!$AT$8-Project_Register!$AQ$8),0),(Project_Register!$AT$8-Project_Register!$AQ$8)*(L53-L54)/(1-Project_Register!$AV$8)))*Project_Register!$AA$8)</f>
        <v>0</v>
      </c>
      <c r="M58" s="58" t="n">
        <f aca="false">IF(M$5="A",Inputs_Actuals!M21,IF((Project_Register!$AT$8-Project_Register!$AQ$8)&lt;=0,0,IF(1-Project_Register!$AV$8&lt;=0.000001,IF(Assumptions!M$96=Assumptions!$C$10+1,(Project_Register!$AT$8-Project_Register!$AQ$8),0),(Project_Register!$AT$8-Project_Register!$AQ$8)*(M53-M54)/(1-Project_Register!$AV$8)))*Project_Register!$AA$8)</f>
        <v>0</v>
      </c>
      <c r="N58" s="58" t="n">
        <f aca="false">IF(N$5="A",Inputs_Actuals!N21,IF((Project_Register!$AT$8-Project_Register!$AQ$8)&lt;=0,0,IF(1-Project_Register!$AV$8&lt;=0.000001,IF(Assumptions!N$96=Assumptions!$C$10+1,(Project_Register!$AT$8-Project_Register!$AQ$8),0),(Project_Register!$AT$8-Project_Register!$AQ$8)*(N53-N54)/(1-Project_Register!$AV$8)))*Project_Register!$AA$8)</f>
        <v>0</v>
      </c>
      <c r="O58" s="58" t="n">
        <f aca="false">IF(O$5="A",Inputs_Actuals!O21,IF((Project_Register!$AT$8-Project_Register!$AQ$8)&lt;=0,0,IF(1-Project_Register!$AV$8&lt;=0.000001,IF(Assumptions!O$96=Assumptions!$C$10+1,(Project_Register!$AT$8-Project_Register!$AQ$8),0),(Project_Register!$AT$8-Project_Register!$AQ$8)*(O53-O54)/(1-Project_Register!$AV$8)))*Project_Register!$AA$8)</f>
        <v>0</v>
      </c>
      <c r="P58" s="58" t="n">
        <f aca="false">IF(P$5="A",Inputs_Actuals!P21,IF((Project_Register!$AT$8-Project_Register!$AQ$8)&lt;=0,0,IF(1-Project_Register!$AV$8&lt;=0.000001,IF(Assumptions!P$96=Assumptions!$C$10+1,(Project_Register!$AT$8-Project_Register!$AQ$8),0),(Project_Register!$AT$8-Project_Register!$AQ$8)*(P53-P54)/(1-Project_Register!$AV$8)))*Project_Register!$AA$8)</f>
        <v>0</v>
      </c>
      <c r="Q58" s="58" t="n">
        <f aca="false">IF(Q$5="A",Inputs_Actuals!Q21,IF((Project_Register!$AT$8-Project_Register!$AQ$8)&lt;=0,0,IF(1-Project_Register!$AV$8&lt;=0.000001,IF(Assumptions!Q$96=Assumptions!$C$10+1,(Project_Register!$AT$8-Project_Register!$AQ$8),0),(Project_Register!$AT$8-Project_Register!$AQ$8)*(Q53-Q54)/(1-Project_Register!$AV$8)))*Project_Register!$AA$8)</f>
        <v>0</v>
      </c>
      <c r="R58" s="58" t="n">
        <f aca="false">IF(R$5="A",Inputs_Actuals!R21,IF((Project_Register!$AT$8-Project_Register!$AQ$8)&lt;=0,0,IF(1-Project_Register!$AV$8&lt;=0.000001,IF(Assumptions!R$96=Assumptions!$C$10+1,(Project_Register!$AT$8-Project_Register!$AQ$8),0),(Project_Register!$AT$8-Project_Register!$AQ$8)*(R53-R54)/(1-Project_Register!$AV$8)))*Project_Register!$AA$8)</f>
        <v>0</v>
      </c>
      <c r="S58" s="58" t="n">
        <f aca="false">IF(S$5="A",Inputs_Actuals!S21,IF((Project_Register!$AT$8-Project_Register!$AQ$8)&lt;=0,0,IF(1-Project_Register!$AV$8&lt;=0.000001,IF(Assumptions!S$96=Assumptions!$C$10+1,(Project_Register!$AT$8-Project_Register!$AQ$8),0),(Project_Register!$AT$8-Project_Register!$AQ$8)*(S53-S54)/(1-Project_Register!$AV$8)))*Project_Register!$AA$8)</f>
        <v>0</v>
      </c>
      <c r="T58" s="58" t="n">
        <f aca="false">IF(T$5="A",Inputs_Actuals!T21,IF((Project_Register!$AT$8-Project_Register!$AQ$8)&lt;=0,0,IF(1-Project_Register!$AV$8&lt;=0.000001,IF(Assumptions!T$96=Assumptions!$C$10+1,(Project_Register!$AT$8-Project_Register!$AQ$8),0),(Project_Register!$AT$8-Project_Register!$AQ$8)*(T53-T54)/(1-Project_Register!$AV$8)))*Project_Register!$AA$8)</f>
        <v>0</v>
      </c>
      <c r="U58" s="58" t="n">
        <f aca="false">IF(U$5="A",Inputs_Actuals!U21,IF((Project_Register!$AT$8-Project_Register!$AQ$8)&lt;=0,0,IF(1-Project_Register!$AV$8&lt;=0.000001,IF(Assumptions!U$96=Assumptions!$C$10+1,(Project_Register!$AT$8-Project_Register!$AQ$8),0),(Project_Register!$AT$8-Project_Register!$AQ$8)*(U53-U54)/(1-Project_Register!$AV$8)))*Project_Register!$AA$8)</f>
        <v>0</v>
      </c>
      <c r="V58" s="58" t="n">
        <f aca="false">IF(V$5="A",Inputs_Actuals!V21,IF((Project_Register!$AT$8-Project_Register!$AQ$8)&lt;=0,0,IF(1-Project_Register!$AV$8&lt;=0.000001,IF(Assumptions!V$96=Assumptions!$C$10+1,(Project_Register!$AT$8-Project_Register!$AQ$8),0),(Project_Register!$AT$8-Project_Register!$AQ$8)*(V53-V54)/(1-Project_Register!$AV$8)))*Project_Register!$AA$8)</f>
        <v>0</v>
      </c>
      <c r="W58" s="58" t="n">
        <f aca="false">IF(W$5="A",Inputs_Actuals!W21,IF((Project_Register!$AT$8-Project_Register!$AQ$8)&lt;=0,0,IF(1-Project_Register!$AV$8&lt;=0.000001,IF(Assumptions!W$96=Assumptions!$C$10+1,(Project_Register!$AT$8-Project_Register!$AQ$8),0),(Project_Register!$AT$8-Project_Register!$AQ$8)*(W53-W54)/(1-Project_Register!$AV$8)))*Project_Register!$AA$8)</f>
        <v>0</v>
      </c>
      <c r="X58" s="58" t="n">
        <f aca="false">IF(X$5="A",Inputs_Actuals!X21,IF((Project_Register!$AT$8-Project_Register!$AQ$8)&lt;=0,0,IF(1-Project_Register!$AV$8&lt;=0.000001,IF(Assumptions!X$96=Assumptions!$C$10+1,(Project_Register!$AT$8-Project_Register!$AQ$8),0),(Project_Register!$AT$8-Project_Register!$AQ$8)*(X53-X54)/(1-Project_Register!$AV$8)))*Project_Register!$AA$8)</f>
        <v>0</v>
      </c>
      <c r="Y58" s="58" t="n">
        <f aca="false">IF(Y$5="A",Inputs_Actuals!Y21,IF((Project_Register!$AT$8-Project_Register!$AQ$8)&lt;=0,0,IF(1-Project_Register!$AV$8&lt;=0.000001,IF(Assumptions!Y$96=Assumptions!$C$10+1,(Project_Register!$AT$8-Project_Register!$AQ$8),0),(Project_Register!$AT$8-Project_Register!$AQ$8)*(Y53-Y54)/(1-Project_Register!$AV$8)))*Project_Register!$AA$8)</f>
        <v>0</v>
      </c>
      <c r="Z58" s="58" t="n">
        <f aca="false">IF(Z$5="A",Inputs_Actuals!Z21,IF((Project_Register!$AT$8-Project_Register!$AQ$8)&lt;=0,0,IF(1-Project_Register!$AV$8&lt;=0.000001,IF(Assumptions!Z$96=Assumptions!$C$10+1,(Project_Register!$AT$8-Project_Register!$AQ$8),0),(Project_Register!$AT$8-Project_Register!$AQ$8)*(Z53-Z54)/(1-Project_Register!$AV$8)))*Project_Register!$AA$8)</f>
        <v>0</v>
      </c>
      <c r="AA58" s="58" t="n">
        <f aca="false">IF(AA$5="A",Inputs_Actuals!AA21,IF((Project_Register!$AT$8-Project_Register!$AQ$8)&lt;=0,0,IF(1-Project_Register!$AV$8&lt;=0.000001,IF(Assumptions!AA$96=Assumptions!$C$10+1,(Project_Register!$AT$8-Project_Register!$AQ$8),0),(Project_Register!$AT$8-Project_Register!$AQ$8)*(AA53-AA54)/(1-Project_Register!$AV$8)))*Project_Register!$AA$8)</f>
        <v>0</v>
      </c>
      <c r="AB58" s="58" t="n">
        <f aca="false">IF(AB$5="A",Inputs_Actuals!AB21,IF((Project_Register!$AT$8-Project_Register!$AQ$8)&lt;=0,0,IF(1-Project_Register!$AV$8&lt;=0.000001,IF(Assumptions!AB$96=Assumptions!$C$10+1,(Project_Register!$AT$8-Project_Register!$AQ$8),0),(Project_Register!$AT$8-Project_Register!$AQ$8)*(AB53-AB54)/(1-Project_Register!$AV$8)))*Project_Register!$AA$8)</f>
        <v>0</v>
      </c>
    </row>
    <row r="59" customFormat="false" ht="15" hidden="false" customHeight="false" outlineLevel="0" collapsed="false">
      <c r="A59" s="27" t="s">
        <v>726</v>
      </c>
      <c r="B59" s="56" t="s">
        <v>722</v>
      </c>
      <c r="C59" s="57" t="n">
        <f aca="false">SUM(E59:P59)</f>
        <v>24540.69</v>
      </c>
      <c r="D59" s="57" t="n">
        <f aca="false">SUM(Q59:AB59)</f>
        <v>0</v>
      </c>
      <c r="E59" s="58" t="n">
        <f aca="false">IF(E$5="A",Inputs_Actuals!E22,IF((Project_Register!$AT$8-Project_Register!$AQ$8)&lt;=0,0,IF(1-Project_Register!$AV$8&lt;=0.000001,IF(Assumptions!E$96=Assumptions!$C$10+1,(Project_Register!$AT$8-Project_Register!$AQ$8),0),(Project_Register!$AT$8-Project_Register!$AQ$8)*(E53-E54)/(1-Project_Register!$AV$8)))*Project_Register!$AB$8)</f>
        <v>11112.56</v>
      </c>
      <c r="F59" s="58" t="n">
        <f aca="false">IF(F$5="A",Inputs_Actuals!F22,IF((Project_Register!$AT$8-Project_Register!$AQ$8)&lt;=0,0,IF(1-Project_Register!$AV$8&lt;=0.000001,IF(Assumptions!F$96=Assumptions!$C$10+1,(Project_Register!$AT$8-Project_Register!$AQ$8),0),(Project_Register!$AT$8-Project_Register!$AQ$8)*(F53-F54)/(1-Project_Register!$AV$8)))*Project_Register!$AB$8)</f>
        <v>7506.6</v>
      </c>
      <c r="G59" s="58" t="n">
        <f aca="false">IF(G$5="A",Inputs_Actuals!G22,IF((Project_Register!$AT$8-Project_Register!$AQ$8)&lt;=0,0,IF(1-Project_Register!$AV$8&lt;=0.000001,IF(Assumptions!G$96=Assumptions!$C$10+1,(Project_Register!$AT$8-Project_Register!$AQ$8),0),(Project_Register!$AT$8-Project_Register!$AQ$8)*(G53-G54)/(1-Project_Register!$AV$8)))*Project_Register!$AB$8)</f>
        <v>3978.11</v>
      </c>
      <c r="H59" s="58" t="n">
        <f aca="false">IF(H$5="A",Inputs_Actuals!H22,IF((Project_Register!$AT$8-Project_Register!$AQ$8)&lt;=0,0,IF(1-Project_Register!$AV$8&lt;=0.000001,IF(Assumptions!H$96=Assumptions!$C$10+1,(Project_Register!$AT$8-Project_Register!$AQ$8),0),(Project_Register!$AT$8-Project_Register!$AQ$8)*(H53-H54)/(1-Project_Register!$AV$8)))*Project_Register!$AB$8)</f>
        <v>1943.42</v>
      </c>
      <c r="I59" s="58" t="n">
        <f aca="false">IF(I$5="A",Inputs_Actuals!I22,IF((Project_Register!$AT$8-Project_Register!$AQ$8)&lt;=0,0,IF(1-Project_Register!$AV$8&lt;=0.000001,IF(Assumptions!I$96=Assumptions!$C$10+1,(Project_Register!$AT$8-Project_Register!$AQ$8),0),(Project_Register!$AT$8-Project_Register!$AQ$8)*(I53-I54)/(1-Project_Register!$AV$8)))*Project_Register!$AB$8)</f>
        <v>0</v>
      </c>
      <c r="J59" s="58" t="n">
        <f aca="false">IF(J$5="A",Inputs_Actuals!J22,IF((Project_Register!$AT$8-Project_Register!$AQ$8)&lt;=0,0,IF(1-Project_Register!$AV$8&lt;=0.000001,IF(Assumptions!J$96=Assumptions!$C$10+1,(Project_Register!$AT$8-Project_Register!$AQ$8),0),(Project_Register!$AT$8-Project_Register!$AQ$8)*(J53-J54)/(1-Project_Register!$AV$8)))*Project_Register!$AB$8)</f>
        <v>0</v>
      </c>
      <c r="K59" s="58" t="n">
        <f aca="false">IF(K$5="A",Inputs_Actuals!K22,IF((Project_Register!$AT$8-Project_Register!$AQ$8)&lt;=0,0,IF(1-Project_Register!$AV$8&lt;=0.000001,IF(Assumptions!K$96=Assumptions!$C$10+1,(Project_Register!$AT$8-Project_Register!$AQ$8),0),(Project_Register!$AT$8-Project_Register!$AQ$8)*(K53-K54)/(1-Project_Register!$AV$8)))*Project_Register!$AB$8)</f>
        <v>0</v>
      </c>
      <c r="L59" s="58" t="n">
        <f aca="false">IF(L$5="A",Inputs_Actuals!L22,IF((Project_Register!$AT$8-Project_Register!$AQ$8)&lt;=0,0,IF(1-Project_Register!$AV$8&lt;=0.000001,IF(Assumptions!L$96=Assumptions!$C$10+1,(Project_Register!$AT$8-Project_Register!$AQ$8),0),(Project_Register!$AT$8-Project_Register!$AQ$8)*(L53-L54)/(1-Project_Register!$AV$8)))*Project_Register!$AB$8)</f>
        <v>0</v>
      </c>
      <c r="M59" s="58" t="n">
        <f aca="false">IF(M$5="A",Inputs_Actuals!M22,IF((Project_Register!$AT$8-Project_Register!$AQ$8)&lt;=0,0,IF(1-Project_Register!$AV$8&lt;=0.000001,IF(Assumptions!M$96=Assumptions!$C$10+1,(Project_Register!$AT$8-Project_Register!$AQ$8),0),(Project_Register!$AT$8-Project_Register!$AQ$8)*(M53-M54)/(1-Project_Register!$AV$8)))*Project_Register!$AB$8)</f>
        <v>0</v>
      </c>
      <c r="N59" s="58" t="n">
        <f aca="false">IF(N$5="A",Inputs_Actuals!N22,IF((Project_Register!$AT$8-Project_Register!$AQ$8)&lt;=0,0,IF(1-Project_Register!$AV$8&lt;=0.000001,IF(Assumptions!N$96=Assumptions!$C$10+1,(Project_Register!$AT$8-Project_Register!$AQ$8),0),(Project_Register!$AT$8-Project_Register!$AQ$8)*(N53-N54)/(1-Project_Register!$AV$8)))*Project_Register!$AB$8)</f>
        <v>0</v>
      </c>
      <c r="O59" s="58" t="n">
        <f aca="false">IF(O$5="A",Inputs_Actuals!O22,IF((Project_Register!$AT$8-Project_Register!$AQ$8)&lt;=0,0,IF(1-Project_Register!$AV$8&lt;=0.000001,IF(Assumptions!O$96=Assumptions!$C$10+1,(Project_Register!$AT$8-Project_Register!$AQ$8),0),(Project_Register!$AT$8-Project_Register!$AQ$8)*(O53-O54)/(1-Project_Register!$AV$8)))*Project_Register!$AB$8)</f>
        <v>0</v>
      </c>
      <c r="P59" s="58" t="n">
        <f aca="false">IF(P$5="A",Inputs_Actuals!P22,IF((Project_Register!$AT$8-Project_Register!$AQ$8)&lt;=0,0,IF(1-Project_Register!$AV$8&lt;=0.000001,IF(Assumptions!P$96=Assumptions!$C$10+1,(Project_Register!$AT$8-Project_Register!$AQ$8),0),(Project_Register!$AT$8-Project_Register!$AQ$8)*(P53-P54)/(1-Project_Register!$AV$8)))*Project_Register!$AB$8)</f>
        <v>0</v>
      </c>
      <c r="Q59" s="58" t="n">
        <f aca="false">IF(Q$5="A",Inputs_Actuals!Q22,IF((Project_Register!$AT$8-Project_Register!$AQ$8)&lt;=0,0,IF(1-Project_Register!$AV$8&lt;=0.000001,IF(Assumptions!Q$96=Assumptions!$C$10+1,(Project_Register!$AT$8-Project_Register!$AQ$8),0),(Project_Register!$AT$8-Project_Register!$AQ$8)*(Q53-Q54)/(1-Project_Register!$AV$8)))*Project_Register!$AB$8)</f>
        <v>0</v>
      </c>
      <c r="R59" s="58" t="n">
        <f aca="false">IF(R$5="A",Inputs_Actuals!R22,IF((Project_Register!$AT$8-Project_Register!$AQ$8)&lt;=0,0,IF(1-Project_Register!$AV$8&lt;=0.000001,IF(Assumptions!R$96=Assumptions!$C$10+1,(Project_Register!$AT$8-Project_Register!$AQ$8),0),(Project_Register!$AT$8-Project_Register!$AQ$8)*(R53-R54)/(1-Project_Register!$AV$8)))*Project_Register!$AB$8)</f>
        <v>0</v>
      </c>
      <c r="S59" s="58" t="n">
        <f aca="false">IF(S$5="A",Inputs_Actuals!S22,IF((Project_Register!$AT$8-Project_Register!$AQ$8)&lt;=0,0,IF(1-Project_Register!$AV$8&lt;=0.000001,IF(Assumptions!S$96=Assumptions!$C$10+1,(Project_Register!$AT$8-Project_Register!$AQ$8),0),(Project_Register!$AT$8-Project_Register!$AQ$8)*(S53-S54)/(1-Project_Register!$AV$8)))*Project_Register!$AB$8)</f>
        <v>0</v>
      </c>
      <c r="T59" s="58" t="n">
        <f aca="false">IF(T$5="A",Inputs_Actuals!T22,IF((Project_Register!$AT$8-Project_Register!$AQ$8)&lt;=0,0,IF(1-Project_Register!$AV$8&lt;=0.000001,IF(Assumptions!T$96=Assumptions!$C$10+1,(Project_Register!$AT$8-Project_Register!$AQ$8),0),(Project_Register!$AT$8-Project_Register!$AQ$8)*(T53-T54)/(1-Project_Register!$AV$8)))*Project_Register!$AB$8)</f>
        <v>0</v>
      </c>
      <c r="U59" s="58" t="n">
        <f aca="false">IF(U$5="A",Inputs_Actuals!U22,IF((Project_Register!$AT$8-Project_Register!$AQ$8)&lt;=0,0,IF(1-Project_Register!$AV$8&lt;=0.000001,IF(Assumptions!U$96=Assumptions!$C$10+1,(Project_Register!$AT$8-Project_Register!$AQ$8),0),(Project_Register!$AT$8-Project_Register!$AQ$8)*(U53-U54)/(1-Project_Register!$AV$8)))*Project_Register!$AB$8)</f>
        <v>0</v>
      </c>
      <c r="V59" s="58" t="n">
        <f aca="false">IF(V$5="A",Inputs_Actuals!V22,IF((Project_Register!$AT$8-Project_Register!$AQ$8)&lt;=0,0,IF(1-Project_Register!$AV$8&lt;=0.000001,IF(Assumptions!V$96=Assumptions!$C$10+1,(Project_Register!$AT$8-Project_Register!$AQ$8),0),(Project_Register!$AT$8-Project_Register!$AQ$8)*(V53-V54)/(1-Project_Register!$AV$8)))*Project_Register!$AB$8)</f>
        <v>0</v>
      </c>
      <c r="W59" s="58" t="n">
        <f aca="false">IF(W$5="A",Inputs_Actuals!W22,IF((Project_Register!$AT$8-Project_Register!$AQ$8)&lt;=0,0,IF(1-Project_Register!$AV$8&lt;=0.000001,IF(Assumptions!W$96=Assumptions!$C$10+1,(Project_Register!$AT$8-Project_Register!$AQ$8),0),(Project_Register!$AT$8-Project_Register!$AQ$8)*(W53-W54)/(1-Project_Register!$AV$8)))*Project_Register!$AB$8)</f>
        <v>0</v>
      </c>
      <c r="X59" s="58" t="n">
        <f aca="false">IF(X$5="A",Inputs_Actuals!X22,IF((Project_Register!$AT$8-Project_Register!$AQ$8)&lt;=0,0,IF(1-Project_Register!$AV$8&lt;=0.000001,IF(Assumptions!X$96=Assumptions!$C$10+1,(Project_Register!$AT$8-Project_Register!$AQ$8),0),(Project_Register!$AT$8-Project_Register!$AQ$8)*(X53-X54)/(1-Project_Register!$AV$8)))*Project_Register!$AB$8)</f>
        <v>0</v>
      </c>
      <c r="Y59" s="58" t="n">
        <f aca="false">IF(Y$5="A",Inputs_Actuals!Y22,IF((Project_Register!$AT$8-Project_Register!$AQ$8)&lt;=0,0,IF(1-Project_Register!$AV$8&lt;=0.000001,IF(Assumptions!Y$96=Assumptions!$C$10+1,(Project_Register!$AT$8-Project_Register!$AQ$8),0),(Project_Register!$AT$8-Project_Register!$AQ$8)*(Y53-Y54)/(1-Project_Register!$AV$8)))*Project_Register!$AB$8)</f>
        <v>0</v>
      </c>
      <c r="Z59" s="58" t="n">
        <f aca="false">IF(Z$5="A",Inputs_Actuals!Z22,IF((Project_Register!$AT$8-Project_Register!$AQ$8)&lt;=0,0,IF(1-Project_Register!$AV$8&lt;=0.000001,IF(Assumptions!Z$96=Assumptions!$C$10+1,(Project_Register!$AT$8-Project_Register!$AQ$8),0),(Project_Register!$AT$8-Project_Register!$AQ$8)*(Z53-Z54)/(1-Project_Register!$AV$8)))*Project_Register!$AB$8)</f>
        <v>0</v>
      </c>
      <c r="AA59" s="58" t="n">
        <f aca="false">IF(AA$5="A",Inputs_Actuals!AA22,IF((Project_Register!$AT$8-Project_Register!$AQ$8)&lt;=0,0,IF(1-Project_Register!$AV$8&lt;=0.000001,IF(Assumptions!AA$96=Assumptions!$C$10+1,(Project_Register!$AT$8-Project_Register!$AQ$8),0),(Project_Register!$AT$8-Project_Register!$AQ$8)*(AA53-AA54)/(1-Project_Register!$AV$8)))*Project_Register!$AB$8)</f>
        <v>0</v>
      </c>
      <c r="AB59" s="58" t="n">
        <f aca="false">IF(AB$5="A",Inputs_Actuals!AB22,IF((Project_Register!$AT$8-Project_Register!$AQ$8)&lt;=0,0,IF(1-Project_Register!$AV$8&lt;=0.000001,IF(Assumptions!AB$96=Assumptions!$C$10+1,(Project_Register!$AT$8-Project_Register!$AQ$8),0),(Project_Register!$AT$8-Project_Register!$AQ$8)*(AB53-AB54)/(1-Project_Register!$AV$8)))*Project_Register!$AB$8)</f>
        <v>0</v>
      </c>
    </row>
    <row r="60" customFormat="false" ht="15" hidden="false" customHeight="false" outlineLevel="0" collapsed="false">
      <c r="A60" s="67" t="s">
        <v>727</v>
      </c>
      <c r="B60" s="68" t="s">
        <v>728</v>
      </c>
      <c r="C60" s="69" t="n">
        <f aca="false">SUM(E60:P60)</f>
        <v>483833.63</v>
      </c>
      <c r="D60" s="69" t="n">
        <f aca="false">SUM(Q60:AB60)</f>
        <v>0</v>
      </c>
      <c r="E60" s="69" t="n">
        <f aca="false">SUM(E55:E59)</f>
        <v>205399.87</v>
      </c>
      <c r="F60" s="69" t="n">
        <f aca="false">SUM(F55:F59)</f>
        <v>152554.55</v>
      </c>
      <c r="G60" s="69" t="n">
        <f aca="false">SUM(G55:G59)</f>
        <v>84207.19</v>
      </c>
      <c r="H60" s="69" t="n">
        <f aca="false">SUM(H55:H59)</f>
        <v>41672.02</v>
      </c>
      <c r="I60" s="69" t="n">
        <f aca="false">SUM(I55:I59)</f>
        <v>0</v>
      </c>
      <c r="J60" s="69" t="n">
        <f aca="false">SUM(J55:J59)</f>
        <v>0</v>
      </c>
      <c r="K60" s="69" t="n">
        <f aca="false">SUM(K55:K59)</f>
        <v>0</v>
      </c>
      <c r="L60" s="69" t="n">
        <f aca="false">SUM(L55:L59)</f>
        <v>0</v>
      </c>
      <c r="M60" s="69" t="n">
        <f aca="false">SUM(M55:M59)</f>
        <v>0</v>
      </c>
      <c r="N60" s="69" t="n">
        <f aca="false">SUM(N55:N59)</f>
        <v>0</v>
      </c>
      <c r="O60" s="69" t="n">
        <f aca="false">SUM(O55:O59)</f>
        <v>0</v>
      </c>
      <c r="P60" s="69" t="n">
        <f aca="false">SUM(P55:P59)</f>
        <v>0</v>
      </c>
      <c r="Q60" s="69" t="n">
        <f aca="false">SUM(Q55:Q59)</f>
        <v>0</v>
      </c>
      <c r="R60" s="69" t="n">
        <f aca="false">SUM(R55:R59)</f>
        <v>0</v>
      </c>
      <c r="S60" s="69" t="n">
        <f aca="false">SUM(S55:S59)</f>
        <v>0</v>
      </c>
      <c r="T60" s="69" t="n">
        <f aca="false">SUM(T55:T59)</f>
        <v>0</v>
      </c>
      <c r="U60" s="69" t="n">
        <f aca="false">SUM(U55:U59)</f>
        <v>0</v>
      </c>
      <c r="V60" s="69" t="n">
        <f aca="false">SUM(V55:V59)</f>
        <v>0</v>
      </c>
      <c r="W60" s="69" t="n">
        <f aca="false">SUM(W55:W59)</f>
        <v>0</v>
      </c>
      <c r="X60" s="69" t="n">
        <f aca="false">SUM(X55:X59)</f>
        <v>0</v>
      </c>
      <c r="Y60" s="69" t="n">
        <f aca="false">SUM(Y55:Y59)</f>
        <v>0</v>
      </c>
      <c r="Z60" s="69" t="n">
        <f aca="false">SUM(Z55:Z59)</f>
        <v>0</v>
      </c>
      <c r="AA60" s="69" t="n">
        <f aca="false">SUM(AA55:AA59)</f>
        <v>0</v>
      </c>
      <c r="AB60" s="69" t="n">
        <f aca="false">SUM(AB55:AB59)</f>
        <v>0</v>
      </c>
    </row>
    <row r="61" customFormat="false" ht="15" hidden="false" customHeight="false" outlineLevel="0" collapsed="false">
      <c r="A61" s="27" t="s">
        <v>729</v>
      </c>
      <c r="B61" s="56" t="s">
        <v>730</v>
      </c>
      <c r="C61" s="57" t="n">
        <f aca="false">P61</f>
        <v>941000.01</v>
      </c>
      <c r="D61" s="57" t="n">
        <f aca="false">AB61</f>
        <v>941000.01</v>
      </c>
      <c r="E61" s="58" t="n">
        <f aca="false">Project_Register!$AC$8+E60</f>
        <v>662566.25</v>
      </c>
      <c r="F61" s="70" t="n">
        <f aca="false">E61+F60</f>
        <v>815120.8</v>
      </c>
      <c r="G61" s="70" t="n">
        <f aca="false">F61+G60</f>
        <v>899327.99</v>
      </c>
      <c r="H61" s="70" t="n">
        <f aca="false">G61+H60</f>
        <v>941000.01</v>
      </c>
      <c r="I61" s="70" t="n">
        <f aca="false">H61+I60</f>
        <v>941000.01</v>
      </c>
      <c r="J61" s="70" t="n">
        <f aca="false">I61+J60</f>
        <v>941000.01</v>
      </c>
      <c r="K61" s="70" t="n">
        <f aca="false">J61+K60</f>
        <v>941000.01</v>
      </c>
      <c r="L61" s="70" t="n">
        <f aca="false">K61+L60</f>
        <v>941000.01</v>
      </c>
      <c r="M61" s="70" t="n">
        <f aca="false">L61+M60</f>
        <v>941000.01</v>
      </c>
      <c r="N61" s="70" t="n">
        <f aca="false">M61+N60</f>
        <v>941000.01</v>
      </c>
      <c r="O61" s="70" t="n">
        <f aca="false">N61+O60</f>
        <v>941000.01</v>
      </c>
      <c r="P61" s="70" t="n">
        <f aca="false">O61+P60</f>
        <v>941000.01</v>
      </c>
      <c r="Q61" s="70" t="n">
        <f aca="false">P61+Q60</f>
        <v>941000.01</v>
      </c>
      <c r="R61" s="70" t="n">
        <f aca="false">Q61+R60</f>
        <v>941000.01</v>
      </c>
      <c r="S61" s="70" t="n">
        <f aca="false">R61+S60</f>
        <v>941000.01</v>
      </c>
      <c r="T61" s="70" t="n">
        <f aca="false">S61+T60</f>
        <v>941000.01</v>
      </c>
      <c r="U61" s="70" t="n">
        <f aca="false">T61+U60</f>
        <v>941000.01</v>
      </c>
      <c r="V61" s="70" t="n">
        <f aca="false">U61+V60</f>
        <v>941000.01</v>
      </c>
      <c r="W61" s="70" t="n">
        <f aca="false">V61+W60</f>
        <v>941000.01</v>
      </c>
      <c r="X61" s="70" t="n">
        <f aca="false">W61+X60</f>
        <v>941000.01</v>
      </c>
      <c r="Y61" s="70" t="n">
        <f aca="false">X61+Y60</f>
        <v>941000.01</v>
      </c>
      <c r="Z61" s="70" t="n">
        <f aca="false">Y61+Z60</f>
        <v>941000.01</v>
      </c>
      <c r="AA61" s="70" t="n">
        <f aca="false">Z61+AA60</f>
        <v>941000.01</v>
      </c>
      <c r="AB61" s="70" t="n">
        <f aca="false">AA61+AB60</f>
        <v>941000.01</v>
      </c>
    </row>
    <row r="62" customFormat="false" ht="15" hidden="false" customHeight="false" outlineLevel="0" collapsed="false">
      <c r="A62" s="27" t="s">
        <v>731</v>
      </c>
      <c r="B62" s="56" t="s">
        <v>732</v>
      </c>
      <c r="C62" s="57" t="n">
        <f aca="false">P62</f>
        <v>941000.01</v>
      </c>
      <c r="D62" s="57" t="n">
        <f aca="false">AB62</f>
        <v>941000.01</v>
      </c>
      <c r="E62" s="58" t="n">
        <f aca="false">IF(E$5="A",IF(E61+N(Inputs_Actuals!E23)&lt;=0,Project_Register!$AP$8,E61+N(Inputs_Actuals!E23)),Project_Register!$AT$8)</f>
        <v>948000</v>
      </c>
      <c r="F62" s="58" t="n">
        <f aca="false">IF(F$5="A",IF(F61+N(Inputs_Actuals!F23)&lt;=0,Project_Register!$AP$8,F61+N(Inputs_Actuals!F23)),Project_Register!$AT$8)</f>
        <v>948000</v>
      </c>
      <c r="G62" s="58" t="n">
        <f aca="false">IF(G$5="A",IF(G61+N(Inputs_Actuals!G23)&lt;=0,Project_Register!$AP$8,G61+N(Inputs_Actuals!G23)),Project_Register!$AT$8)</f>
        <v>941000</v>
      </c>
      <c r="H62" s="58" t="n">
        <f aca="false">IF(H$5="A",IF(H61+N(Inputs_Actuals!H23)&lt;=0,Project_Register!$AP$8,H61+N(Inputs_Actuals!H23)),Project_Register!$AT$8)</f>
        <v>941000.01</v>
      </c>
      <c r="I62" s="58" t="n">
        <f aca="false">IF(I$5="A",IF(I61+N(Inputs_Actuals!I23)&lt;=0,Project_Register!$AP$8,I61+N(Inputs_Actuals!I23)),Project_Register!$AT$8)</f>
        <v>941000.01</v>
      </c>
      <c r="J62" s="58" t="n">
        <f aca="false">IF(J$5="A",IF(J61+N(Inputs_Actuals!J23)&lt;=0,Project_Register!$AP$8,J61+N(Inputs_Actuals!J23)),Project_Register!$AT$8)</f>
        <v>941000.01</v>
      </c>
      <c r="K62" s="58" t="n">
        <f aca="false">IF(K$5="A",IF(K61+N(Inputs_Actuals!K23)&lt;=0,Project_Register!$AP$8,K61+N(Inputs_Actuals!K23)),Project_Register!$AT$8)</f>
        <v>941000.01</v>
      </c>
      <c r="L62" s="58" t="n">
        <f aca="false">IF(L$5="A",IF(L61+N(Inputs_Actuals!L23)&lt;=0,Project_Register!$AP$8,L61+N(Inputs_Actuals!L23)),Project_Register!$AT$8)</f>
        <v>941000.01</v>
      </c>
      <c r="M62" s="58" t="n">
        <f aca="false">IF(M$5="A",IF(M61+N(Inputs_Actuals!M23)&lt;=0,Project_Register!$AP$8,M61+N(Inputs_Actuals!M23)),Project_Register!$AT$8)</f>
        <v>941000.01</v>
      </c>
      <c r="N62" s="58" t="n">
        <f aca="false">IF(N$5="A",IF(N61+N(Inputs_Actuals!N23)&lt;=0,Project_Register!$AP$8,N61+N(Inputs_Actuals!N23)),Project_Register!$AT$8)</f>
        <v>941000.01</v>
      </c>
      <c r="O62" s="58" t="n">
        <f aca="false">IF(O$5="A",IF(O61+N(Inputs_Actuals!O23)&lt;=0,Project_Register!$AP$8,O61+N(Inputs_Actuals!O23)),Project_Register!$AT$8)</f>
        <v>941000.01</v>
      </c>
      <c r="P62" s="58" t="n">
        <f aca="false">IF(P$5="A",IF(P61+N(Inputs_Actuals!P23)&lt;=0,Project_Register!$AP$8,P61+N(Inputs_Actuals!P23)),Project_Register!$AT$8)</f>
        <v>941000.01</v>
      </c>
      <c r="Q62" s="58" t="n">
        <f aca="false">IF(Q$5="A",IF(Q61+N(Inputs_Actuals!Q23)&lt;=0,Project_Register!$AP$8,Q61+N(Inputs_Actuals!Q23)),Project_Register!$AT$8)</f>
        <v>941000.01</v>
      </c>
      <c r="R62" s="58" t="n">
        <f aca="false">IF(R$5="A",IF(R61+N(Inputs_Actuals!R23)&lt;=0,Project_Register!$AP$8,R61+N(Inputs_Actuals!R23)),Project_Register!$AT$8)</f>
        <v>941000.01</v>
      </c>
      <c r="S62" s="58" t="n">
        <f aca="false">IF(S$5="A",IF(S61+N(Inputs_Actuals!S23)&lt;=0,Project_Register!$AP$8,S61+N(Inputs_Actuals!S23)),Project_Register!$AT$8)</f>
        <v>941000.01</v>
      </c>
      <c r="T62" s="58" t="n">
        <f aca="false">IF(T$5="A",IF(T61+N(Inputs_Actuals!T23)&lt;=0,Project_Register!$AP$8,T61+N(Inputs_Actuals!T23)),Project_Register!$AT$8)</f>
        <v>941000.01</v>
      </c>
      <c r="U62" s="58" t="n">
        <f aca="false">IF(U$5="A",IF(U61+N(Inputs_Actuals!U23)&lt;=0,Project_Register!$AP$8,U61+N(Inputs_Actuals!U23)),Project_Register!$AT$8)</f>
        <v>941000.01</v>
      </c>
      <c r="V62" s="58" t="n">
        <f aca="false">IF(V$5="A",IF(V61+N(Inputs_Actuals!V23)&lt;=0,Project_Register!$AP$8,V61+N(Inputs_Actuals!V23)),Project_Register!$AT$8)</f>
        <v>941000.01</v>
      </c>
      <c r="W62" s="58" t="n">
        <f aca="false">IF(W$5="A",IF(W61+N(Inputs_Actuals!W23)&lt;=0,Project_Register!$AP$8,W61+N(Inputs_Actuals!W23)),Project_Register!$AT$8)</f>
        <v>941000.01</v>
      </c>
      <c r="X62" s="58" t="n">
        <f aca="false">IF(X$5="A",IF(X61+N(Inputs_Actuals!X23)&lt;=0,Project_Register!$AP$8,X61+N(Inputs_Actuals!X23)),Project_Register!$AT$8)</f>
        <v>941000.01</v>
      </c>
      <c r="Y62" s="58" t="n">
        <f aca="false">IF(Y$5="A",IF(Y61+N(Inputs_Actuals!Y23)&lt;=0,Project_Register!$AP$8,Y61+N(Inputs_Actuals!Y23)),Project_Register!$AT$8)</f>
        <v>941000.01</v>
      </c>
      <c r="Z62" s="58" t="n">
        <f aca="false">IF(Z$5="A",IF(Z61+N(Inputs_Actuals!Z23)&lt;=0,Project_Register!$AP$8,Z61+N(Inputs_Actuals!Z23)),Project_Register!$AT$8)</f>
        <v>941000.01</v>
      </c>
      <c r="AA62" s="58" t="n">
        <f aca="false">IF(AA$5="A",IF(AA61+N(Inputs_Actuals!AA23)&lt;=0,Project_Register!$AP$8,AA61+N(Inputs_Actuals!AA23)),Project_Register!$AT$8)</f>
        <v>941000.01</v>
      </c>
      <c r="AB62" s="58" t="n">
        <f aca="false">IF(AB$5="A",IF(AB61+N(Inputs_Actuals!AB23)&lt;=0,Project_Register!$AP$8,AB61+N(Inputs_Actuals!AB23)),Project_Register!$AT$8)</f>
        <v>941000.01</v>
      </c>
    </row>
    <row r="63" customFormat="false" ht="15" hidden="false" customHeight="false" outlineLevel="0" collapsed="false">
      <c r="A63" s="27" t="s">
        <v>733</v>
      </c>
      <c r="B63" s="56" t="s">
        <v>734</v>
      </c>
      <c r="C63" s="59" t="n">
        <f aca="false">P63</f>
        <v>1</v>
      </c>
      <c r="D63" s="59" t="n">
        <f aca="false">AB63</f>
        <v>1</v>
      </c>
      <c r="E63" s="60" t="n">
        <f aca="false">IF(E62&lt;=0,0,MIN(1,E61/E62))</f>
        <v>0.698909546413502</v>
      </c>
      <c r="F63" s="60" t="n">
        <f aca="false">IF(F62&lt;=0,0,MIN(1,F61/F62))</f>
        <v>0.859832067510549</v>
      </c>
      <c r="G63" s="60" t="n">
        <f aca="false">IF(G62&lt;=0,0,MIN(1,G61/G62))</f>
        <v>0.95571518597237</v>
      </c>
      <c r="H63" s="60" t="n">
        <f aca="false">IF(H62&lt;=0,0,MIN(1,H61/H62))</f>
        <v>1</v>
      </c>
      <c r="I63" s="60" t="n">
        <f aca="false">IF(I62&lt;=0,0,MIN(1,I61/I62))</f>
        <v>1</v>
      </c>
      <c r="J63" s="60" t="n">
        <f aca="false">IF(J62&lt;=0,0,MIN(1,J61/J62))</f>
        <v>1</v>
      </c>
      <c r="K63" s="60" t="n">
        <f aca="false">IF(K62&lt;=0,0,MIN(1,K61/K62))</f>
        <v>1</v>
      </c>
      <c r="L63" s="60" t="n">
        <f aca="false">IF(L62&lt;=0,0,MIN(1,L61/L62))</f>
        <v>1</v>
      </c>
      <c r="M63" s="60" t="n">
        <f aca="false">IF(M62&lt;=0,0,MIN(1,M61/M62))</f>
        <v>1</v>
      </c>
      <c r="N63" s="60" t="n">
        <f aca="false">IF(N62&lt;=0,0,MIN(1,N61/N62))</f>
        <v>1</v>
      </c>
      <c r="O63" s="60" t="n">
        <f aca="false">IF(O62&lt;=0,0,MIN(1,O61/O62))</f>
        <v>1</v>
      </c>
      <c r="P63" s="60" t="n">
        <f aca="false">IF(P62&lt;=0,0,MIN(1,P61/P62))</f>
        <v>1</v>
      </c>
      <c r="Q63" s="60" t="n">
        <f aca="false">IF(Q62&lt;=0,0,MIN(1,Q61/Q62))</f>
        <v>1</v>
      </c>
      <c r="R63" s="60" t="n">
        <f aca="false">IF(R62&lt;=0,0,MIN(1,R61/R62))</f>
        <v>1</v>
      </c>
      <c r="S63" s="60" t="n">
        <f aca="false">IF(S62&lt;=0,0,MIN(1,S61/S62))</f>
        <v>1</v>
      </c>
      <c r="T63" s="60" t="n">
        <f aca="false">IF(T62&lt;=0,0,MIN(1,T61/T62))</f>
        <v>1</v>
      </c>
      <c r="U63" s="60" t="n">
        <f aca="false">IF(U62&lt;=0,0,MIN(1,U61/U62))</f>
        <v>1</v>
      </c>
      <c r="V63" s="60" t="n">
        <f aca="false">IF(V62&lt;=0,0,MIN(1,V61/V62))</f>
        <v>1</v>
      </c>
      <c r="W63" s="60" t="n">
        <f aca="false">IF(W62&lt;=0,0,MIN(1,W61/W62))</f>
        <v>1</v>
      </c>
      <c r="X63" s="60" t="n">
        <f aca="false">IF(X62&lt;=0,0,MIN(1,X61/X62))</f>
        <v>1</v>
      </c>
      <c r="Y63" s="60" t="n">
        <f aca="false">IF(Y62&lt;=0,0,MIN(1,Y61/Y62))</f>
        <v>1</v>
      </c>
      <c r="Z63" s="60" t="n">
        <f aca="false">IF(Z62&lt;=0,0,MIN(1,Z61/Z62))</f>
        <v>1</v>
      </c>
      <c r="AA63" s="60" t="n">
        <f aca="false">IF(AA62&lt;=0,0,MIN(1,AA61/AA62))</f>
        <v>1</v>
      </c>
      <c r="AB63" s="60" t="n">
        <f aca="false">IF(AB62&lt;=0,0,MIN(1,AB61/AB62))</f>
        <v>1</v>
      </c>
    </row>
    <row r="64" customFormat="false" ht="15" hidden="false" customHeight="false" outlineLevel="0" collapsed="false">
      <c r="A64" s="27" t="s">
        <v>735</v>
      </c>
      <c r="B64" s="56" t="s">
        <v>736</v>
      </c>
      <c r="C64" s="57" t="n">
        <f aca="false">P64</f>
        <v>29000</v>
      </c>
      <c r="D64" s="57" t="n">
        <f aca="false">AB64</f>
        <v>29000</v>
      </c>
      <c r="E64" s="58" t="n">
        <f aca="false">SUMIFS(Variations!$H$6:$H$21,Variations!$B$6:$B$21,"PS-2502",Variations!$F$6:$F$21,"Approved",Variations!$G$6:$G$21,"&lt;="&amp;Assumptions!E$95)</f>
        <v>0</v>
      </c>
      <c r="F64" s="58" t="n">
        <f aca="false">SUMIFS(Variations!$H$6:$H$21,Variations!$B$6:$B$21,"PS-2502",Variations!$F$6:$F$21,"Approved",Variations!$G$6:$G$21,"&lt;="&amp;Assumptions!F$95)</f>
        <v>18600</v>
      </c>
      <c r="G64" s="58" t="n">
        <f aca="false">SUMIFS(Variations!$H$6:$H$21,Variations!$B$6:$B$21,"PS-2502",Variations!$F$6:$F$21,"Approved",Variations!$G$6:$G$21,"&lt;="&amp;Assumptions!G$95)</f>
        <v>18600</v>
      </c>
      <c r="H64" s="58" t="n">
        <f aca="false">SUMIFS(Variations!$H$6:$H$21,Variations!$B$6:$B$21,"PS-2502",Variations!$F$6:$F$21,"Approved",Variations!$G$6:$G$21,"&lt;="&amp;Assumptions!H$95)</f>
        <v>29000</v>
      </c>
      <c r="I64" s="58" t="n">
        <f aca="false">SUMIFS(Variations!$H$6:$H$21,Variations!$B$6:$B$21,"PS-2502",Variations!$F$6:$F$21,"Approved",Variations!$G$6:$G$21,"&lt;="&amp;Assumptions!I$95)</f>
        <v>29000</v>
      </c>
      <c r="J64" s="58" t="n">
        <f aca="false">SUMIFS(Variations!$H$6:$H$21,Variations!$B$6:$B$21,"PS-2502",Variations!$F$6:$F$21,"Approved",Variations!$G$6:$G$21,"&lt;="&amp;Assumptions!J$95)</f>
        <v>29000</v>
      </c>
      <c r="K64" s="58" t="n">
        <f aca="false">SUMIFS(Variations!$H$6:$H$21,Variations!$B$6:$B$21,"PS-2502",Variations!$F$6:$F$21,"Approved",Variations!$G$6:$G$21,"&lt;="&amp;Assumptions!K$95)</f>
        <v>29000</v>
      </c>
      <c r="L64" s="58" t="n">
        <f aca="false">SUMIFS(Variations!$H$6:$H$21,Variations!$B$6:$B$21,"PS-2502",Variations!$F$6:$F$21,"Approved",Variations!$G$6:$G$21,"&lt;="&amp;Assumptions!L$95)</f>
        <v>29000</v>
      </c>
      <c r="M64" s="58" t="n">
        <f aca="false">SUMIFS(Variations!$H$6:$H$21,Variations!$B$6:$B$21,"PS-2502",Variations!$F$6:$F$21,"Approved",Variations!$G$6:$G$21,"&lt;="&amp;Assumptions!M$95)</f>
        <v>29000</v>
      </c>
      <c r="N64" s="58" t="n">
        <f aca="false">SUMIFS(Variations!$H$6:$H$21,Variations!$B$6:$B$21,"PS-2502",Variations!$F$6:$F$21,"Approved",Variations!$G$6:$G$21,"&lt;="&amp;Assumptions!N$95)</f>
        <v>29000</v>
      </c>
      <c r="O64" s="58" t="n">
        <f aca="false">SUMIFS(Variations!$H$6:$H$21,Variations!$B$6:$B$21,"PS-2502",Variations!$F$6:$F$21,"Approved",Variations!$G$6:$G$21,"&lt;="&amp;Assumptions!O$95)</f>
        <v>29000</v>
      </c>
      <c r="P64" s="58" t="n">
        <f aca="false">SUMIFS(Variations!$H$6:$H$21,Variations!$B$6:$B$21,"PS-2502",Variations!$F$6:$F$21,"Approved",Variations!$G$6:$G$21,"&lt;="&amp;Assumptions!P$95)</f>
        <v>29000</v>
      </c>
      <c r="Q64" s="58" t="n">
        <f aca="false">SUMIFS(Variations!$H$6:$H$21,Variations!$B$6:$B$21,"PS-2502",Variations!$F$6:$F$21,"Approved",Variations!$G$6:$G$21,"&lt;="&amp;Assumptions!Q$95)</f>
        <v>29000</v>
      </c>
      <c r="R64" s="58" t="n">
        <f aca="false">SUMIFS(Variations!$H$6:$H$21,Variations!$B$6:$B$21,"PS-2502",Variations!$F$6:$F$21,"Approved",Variations!$G$6:$G$21,"&lt;="&amp;Assumptions!R$95)</f>
        <v>29000</v>
      </c>
      <c r="S64" s="58" t="n">
        <f aca="false">SUMIFS(Variations!$H$6:$H$21,Variations!$B$6:$B$21,"PS-2502",Variations!$F$6:$F$21,"Approved",Variations!$G$6:$G$21,"&lt;="&amp;Assumptions!S$95)</f>
        <v>29000</v>
      </c>
      <c r="T64" s="58" t="n">
        <f aca="false">SUMIFS(Variations!$H$6:$H$21,Variations!$B$6:$B$21,"PS-2502",Variations!$F$6:$F$21,"Approved",Variations!$G$6:$G$21,"&lt;="&amp;Assumptions!T$95)</f>
        <v>29000</v>
      </c>
      <c r="U64" s="58" t="n">
        <f aca="false">SUMIFS(Variations!$H$6:$H$21,Variations!$B$6:$B$21,"PS-2502",Variations!$F$6:$F$21,"Approved",Variations!$G$6:$G$21,"&lt;="&amp;Assumptions!U$95)</f>
        <v>29000</v>
      </c>
      <c r="V64" s="58" t="n">
        <f aca="false">SUMIFS(Variations!$H$6:$H$21,Variations!$B$6:$B$21,"PS-2502",Variations!$F$6:$F$21,"Approved",Variations!$G$6:$G$21,"&lt;="&amp;Assumptions!V$95)</f>
        <v>29000</v>
      </c>
      <c r="W64" s="58" t="n">
        <f aca="false">SUMIFS(Variations!$H$6:$H$21,Variations!$B$6:$B$21,"PS-2502",Variations!$F$6:$F$21,"Approved",Variations!$G$6:$G$21,"&lt;="&amp;Assumptions!W$95)</f>
        <v>29000</v>
      </c>
      <c r="X64" s="58" t="n">
        <f aca="false">SUMIFS(Variations!$H$6:$H$21,Variations!$B$6:$B$21,"PS-2502",Variations!$F$6:$F$21,"Approved",Variations!$G$6:$G$21,"&lt;="&amp;Assumptions!X$95)</f>
        <v>29000</v>
      </c>
      <c r="Y64" s="58" t="n">
        <f aca="false">SUMIFS(Variations!$H$6:$H$21,Variations!$B$6:$B$21,"PS-2502",Variations!$F$6:$F$21,"Approved",Variations!$G$6:$G$21,"&lt;="&amp;Assumptions!Y$95)</f>
        <v>29000</v>
      </c>
      <c r="Z64" s="58" t="n">
        <f aca="false">SUMIFS(Variations!$H$6:$H$21,Variations!$B$6:$B$21,"PS-2502",Variations!$F$6:$F$21,"Approved",Variations!$G$6:$G$21,"&lt;="&amp;Assumptions!Z$95)</f>
        <v>29000</v>
      </c>
      <c r="AA64" s="58" t="n">
        <f aca="false">SUMIFS(Variations!$H$6:$H$21,Variations!$B$6:$B$21,"PS-2502",Variations!$F$6:$F$21,"Approved",Variations!$G$6:$G$21,"&lt;="&amp;Assumptions!AA$95)</f>
        <v>29000</v>
      </c>
      <c r="AB64" s="58" t="n">
        <f aca="false">SUMIFS(Variations!$H$6:$H$21,Variations!$B$6:$B$21,"PS-2502",Variations!$F$6:$F$21,"Approved",Variations!$G$6:$G$21,"&lt;="&amp;Assumptions!AB$95)</f>
        <v>29000</v>
      </c>
    </row>
    <row r="65" customFormat="false" ht="15" hidden="false" customHeight="false" outlineLevel="0" collapsed="false">
      <c r="A65" s="27" t="s">
        <v>737</v>
      </c>
      <c r="B65" s="56"/>
      <c r="C65" s="57" t="n">
        <f aca="false">P65</f>
        <v>0</v>
      </c>
      <c r="D65" s="57" t="n">
        <f aca="false">AB65</f>
        <v>0</v>
      </c>
      <c r="E65" s="58" t="n">
        <f aca="false">SUMIFS(Variations!$E$6:$E$21,Variations!$B$6:$B$21,"PS-2502",Variations!$D$6:$D$21,"&lt;="&amp;Assumptions!E$95,Variations!$G$6:$G$21,"&gt;"&amp;Assumptions!E$95)</f>
        <v>18600</v>
      </c>
      <c r="F65" s="58" t="n">
        <f aca="false">SUMIFS(Variations!$E$6:$E$21,Variations!$B$6:$B$21,"PS-2502",Variations!$D$6:$D$21,"&lt;="&amp;Assumptions!F$95,Variations!$G$6:$G$21,"&gt;"&amp;Assumptions!F$95)</f>
        <v>11200</v>
      </c>
      <c r="G65" s="58" t="n">
        <f aca="false">SUMIFS(Variations!$E$6:$E$21,Variations!$B$6:$B$21,"PS-2502",Variations!$D$6:$D$21,"&lt;="&amp;Assumptions!G$95,Variations!$G$6:$G$21,"&gt;"&amp;Assumptions!G$95)</f>
        <v>11200</v>
      </c>
      <c r="H65" s="58" t="n">
        <f aca="false">SUMIFS(Variations!$E$6:$E$21,Variations!$B$6:$B$21,"PS-2502",Variations!$D$6:$D$21,"&lt;="&amp;Assumptions!H$95,Variations!$G$6:$G$21,"&gt;"&amp;Assumptions!H$95)</f>
        <v>0</v>
      </c>
      <c r="I65" s="58" t="n">
        <f aca="false">SUMIFS(Variations!$E$6:$E$21,Variations!$B$6:$B$21,"PS-2502",Variations!$D$6:$D$21,"&lt;="&amp;Assumptions!I$95,Variations!$G$6:$G$21,"&gt;"&amp;Assumptions!I$95)</f>
        <v>0</v>
      </c>
      <c r="J65" s="58" t="n">
        <f aca="false">SUMIFS(Variations!$E$6:$E$21,Variations!$B$6:$B$21,"PS-2502",Variations!$D$6:$D$21,"&lt;="&amp;Assumptions!J$95,Variations!$G$6:$G$21,"&gt;"&amp;Assumptions!J$95)</f>
        <v>0</v>
      </c>
      <c r="K65" s="58" t="n">
        <f aca="false">SUMIFS(Variations!$E$6:$E$21,Variations!$B$6:$B$21,"PS-2502",Variations!$D$6:$D$21,"&lt;="&amp;Assumptions!K$95,Variations!$G$6:$G$21,"&gt;"&amp;Assumptions!K$95)</f>
        <v>0</v>
      </c>
      <c r="L65" s="58" t="n">
        <f aca="false">SUMIFS(Variations!$E$6:$E$21,Variations!$B$6:$B$21,"PS-2502",Variations!$D$6:$D$21,"&lt;="&amp;Assumptions!L$95,Variations!$G$6:$G$21,"&gt;"&amp;Assumptions!L$95)</f>
        <v>0</v>
      </c>
      <c r="M65" s="58" t="n">
        <f aca="false">SUMIFS(Variations!$E$6:$E$21,Variations!$B$6:$B$21,"PS-2502",Variations!$D$6:$D$21,"&lt;="&amp;Assumptions!M$95,Variations!$G$6:$G$21,"&gt;"&amp;Assumptions!M$95)</f>
        <v>0</v>
      </c>
      <c r="N65" s="58" t="n">
        <f aca="false">SUMIFS(Variations!$E$6:$E$21,Variations!$B$6:$B$21,"PS-2502",Variations!$D$6:$D$21,"&lt;="&amp;Assumptions!N$95,Variations!$G$6:$G$21,"&gt;"&amp;Assumptions!N$95)</f>
        <v>0</v>
      </c>
      <c r="O65" s="58" t="n">
        <f aca="false">SUMIFS(Variations!$E$6:$E$21,Variations!$B$6:$B$21,"PS-2502",Variations!$D$6:$D$21,"&lt;="&amp;Assumptions!O$95,Variations!$G$6:$G$21,"&gt;"&amp;Assumptions!O$95)</f>
        <v>0</v>
      </c>
      <c r="P65" s="58" t="n">
        <f aca="false">SUMIFS(Variations!$E$6:$E$21,Variations!$B$6:$B$21,"PS-2502",Variations!$D$6:$D$21,"&lt;="&amp;Assumptions!P$95,Variations!$G$6:$G$21,"&gt;"&amp;Assumptions!P$95)</f>
        <v>0</v>
      </c>
      <c r="Q65" s="58" t="n">
        <f aca="false">SUMIFS(Variations!$E$6:$E$21,Variations!$B$6:$B$21,"PS-2502",Variations!$D$6:$D$21,"&lt;="&amp;Assumptions!Q$95,Variations!$G$6:$G$21,"&gt;"&amp;Assumptions!Q$95)</f>
        <v>0</v>
      </c>
      <c r="R65" s="58" t="n">
        <f aca="false">SUMIFS(Variations!$E$6:$E$21,Variations!$B$6:$B$21,"PS-2502",Variations!$D$6:$D$21,"&lt;="&amp;Assumptions!R$95,Variations!$G$6:$G$21,"&gt;"&amp;Assumptions!R$95)</f>
        <v>0</v>
      </c>
      <c r="S65" s="58" t="n">
        <f aca="false">SUMIFS(Variations!$E$6:$E$21,Variations!$B$6:$B$21,"PS-2502",Variations!$D$6:$D$21,"&lt;="&amp;Assumptions!S$95,Variations!$G$6:$G$21,"&gt;"&amp;Assumptions!S$95)</f>
        <v>0</v>
      </c>
      <c r="T65" s="58" t="n">
        <f aca="false">SUMIFS(Variations!$E$6:$E$21,Variations!$B$6:$B$21,"PS-2502",Variations!$D$6:$D$21,"&lt;="&amp;Assumptions!T$95,Variations!$G$6:$G$21,"&gt;"&amp;Assumptions!T$95)</f>
        <v>0</v>
      </c>
      <c r="U65" s="58" t="n">
        <f aca="false">SUMIFS(Variations!$E$6:$E$21,Variations!$B$6:$B$21,"PS-2502",Variations!$D$6:$D$21,"&lt;="&amp;Assumptions!U$95,Variations!$G$6:$G$21,"&gt;"&amp;Assumptions!U$95)</f>
        <v>0</v>
      </c>
      <c r="V65" s="58" t="n">
        <f aca="false">SUMIFS(Variations!$E$6:$E$21,Variations!$B$6:$B$21,"PS-2502",Variations!$D$6:$D$21,"&lt;="&amp;Assumptions!V$95,Variations!$G$6:$G$21,"&gt;"&amp;Assumptions!V$95)</f>
        <v>0</v>
      </c>
      <c r="W65" s="58" t="n">
        <f aca="false">SUMIFS(Variations!$E$6:$E$21,Variations!$B$6:$B$21,"PS-2502",Variations!$D$6:$D$21,"&lt;="&amp;Assumptions!W$95,Variations!$G$6:$G$21,"&gt;"&amp;Assumptions!W$95)</f>
        <v>0</v>
      </c>
      <c r="X65" s="58" t="n">
        <f aca="false">SUMIFS(Variations!$E$6:$E$21,Variations!$B$6:$B$21,"PS-2502",Variations!$D$6:$D$21,"&lt;="&amp;Assumptions!X$95,Variations!$G$6:$G$21,"&gt;"&amp;Assumptions!X$95)</f>
        <v>0</v>
      </c>
      <c r="Y65" s="58" t="n">
        <f aca="false">SUMIFS(Variations!$E$6:$E$21,Variations!$B$6:$B$21,"PS-2502",Variations!$D$6:$D$21,"&lt;="&amp;Assumptions!Y$95,Variations!$G$6:$G$21,"&gt;"&amp;Assumptions!Y$95)</f>
        <v>0</v>
      </c>
      <c r="Z65" s="58" t="n">
        <f aca="false">SUMIFS(Variations!$E$6:$E$21,Variations!$B$6:$B$21,"PS-2502",Variations!$D$6:$D$21,"&lt;="&amp;Assumptions!Z$95,Variations!$G$6:$G$21,"&gt;"&amp;Assumptions!Z$95)</f>
        <v>0</v>
      </c>
      <c r="AA65" s="58" t="n">
        <f aca="false">SUMIFS(Variations!$E$6:$E$21,Variations!$B$6:$B$21,"PS-2502",Variations!$D$6:$D$21,"&lt;="&amp;Assumptions!AA$95,Variations!$G$6:$G$21,"&gt;"&amp;Assumptions!AA$95)</f>
        <v>0</v>
      </c>
      <c r="AB65" s="58" t="n">
        <f aca="false">SUMIFS(Variations!$E$6:$E$21,Variations!$B$6:$B$21,"PS-2502",Variations!$D$6:$D$21,"&lt;="&amp;Assumptions!AB$95,Variations!$G$6:$G$21,"&gt;"&amp;Assumptions!AB$95)</f>
        <v>0</v>
      </c>
    </row>
    <row r="66" customFormat="false" ht="15" hidden="false" customHeight="false" outlineLevel="0" collapsed="false">
      <c r="A66" s="27" t="s">
        <v>738</v>
      </c>
      <c r="B66" s="56"/>
      <c r="C66" s="57" t="n">
        <f aca="false">P66</f>
        <v>0</v>
      </c>
      <c r="D66" s="57" t="n">
        <f aca="false">AB66</f>
        <v>0</v>
      </c>
      <c r="E66" s="58" t="n">
        <f aca="false">SUMIFS(Variations!$E$6:$E$21,Variations!$B$6:$B$21,"PS-2502",Variations!$F$6:$F$21,"Pending",Variations!$G$6:$G$21,"&lt;="&amp;Assumptions!E$95)</f>
        <v>0</v>
      </c>
      <c r="F66" s="58" t="n">
        <f aca="false">SUMIFS(Variations!$E$6:$E$21,Variations!$B$6:$B$21,"PS-2502",Variations!$F$6:$F$21,"Pending",Variations!$G$6:$G$21,"&lt;="&amp;Assumptions!F$95)</f>
        <v>0</v>
      </c>
      <c r="G66" s="58" t="n">
        <f aca="false">SUMIFS(Variations!$E$6:$E$21,Variations!$B$6:$B$21,"PS-2502",Variations!$F$6:$F$21,"Pending",Variations!$G$6:$G$21,"&lt;="&amp;Assumptions!G$95)</f>
        <v>0</v>
      </c>
      <c r="H66" s="58" t="n">
        <f aca="false">SUMIFS(Variations!$E$6:$E$21,Variations!$B$6:$B$21,"PS-2502",Variations!$F$6:$F$21,"Pending",Variations!$G$6:$G$21,"&lt;="&amp;Assumptions!H$95)</f>
        <v>0</v>
      </c>
      <c r="I66" s="58" t="n">
        <f aca="false">SUMIFS(Variations!$E$6:$E$21,Variations!$B$6:$B$21,"PS-2502",Variations!$F$6:$F$21,"Pending",Variations!$G$6:$G$21,"&lt;="&amp;Assumptions!I$95)</f>
        <v>0</v>
      </c>
      <c r="J66" s="58" t="n">
        <f aca="false">SUMIFS(Variations!$E$6:$E$21,Variations!$B$6:$B$21,"PS-2502",Variations!$F$6:$F$21,"Pending",Variations!$G$6:$G$21,"&lt;="&amp;Assumptions!J$95)</f>
        <v>0</v>
      </c>
      <c r="K66" s="58" t="n">
        <f aca="false">SUMIFS(Variations!$E$6:$E$21,Variations!$B$6:$B$21,"PS-2502",Variations!$F$6:$F$21,"Pending",Variations!$G$6:$G$21,"&lt;="&amp;Assumptions!K$95)</f>
        <v>0</v>
      </c>
      <c r="L66" s="58" t="n">
        <f aca="false">SUMIFS(Variations!$E$6:$E$21,Variations!$B$6:$B$21,"PS-2502",Variations!$F$6:$F$21,"Pending",Variations!$G$6:$G$21,"&lt;="&amp;Assumptions!L$95)</f>
        <v>0</v>
      </c>
      <c r="M66" s="58" t="n">
        <f aca="false">SUMIFS(Variations!$E$6:$E$21,Variations!$B$6:$B$21,"PS-2502",Variations!$F$6:$F$21,"Pending",Variations!$G$6:$G$21,"&lt;="&amp;Assumptions!M$95)</f>
        <v>0</v>
      </c>
      <c r="N66" s="58" t="n">
        <f aca="false">SUMIFS(Variations!$E$6:$E$21,Variations!$B$6:$B$21,"PS-2502",Variations!$F$6:$F$21,"Pending",Variations!$G$6:$G$21,"&lt;="&amp;Assumptions!N$95)</f>
        <v>0</v>
      </c>
      <c r="O66" s="58" t="n">
        <f aca="false">SUMIFS(Variations!$E$6:$E$21,Variations!$B$6:$B$21,"PS-2502",Variations!$F$6:$F$21,"Pending",Variations!$G$6:$G$21,"&lt;="&amp;Assumptions!O$95)</f>
        <v>0</v>
      </c>
      <c r="P66" s="58" t="n">
        <f aca="false">SUMIFS(Variations!$E$6:$E$21,Variations!$B$6:$B$21,"PS-2502",Variations!$F$6:$F$21,"Pending",Variations!$G$6:$G$21,"&lt;="&amp;Assumptions!P$95)</f>
        <v>0</v>
      </c>
      <c r="Q66" s="58" t="n">
        <f aca="false">SUMIFS(Variations!$E$6:$E$21,Variations!$B$6:$B$21,"PS-2502",Variations!$F$6:$F$21,"Pending",Variations!$G$6:$G$21,"&lt;="&amp;Assumptions!Q$95)</f>
        <v>0</v>
      </c>
      <c r="R66" s="58" t="n">
        <f aca="false">SUMIFS(Variations!$E$6:$E$21,Variations!$B$6:$B$21,"PS-2502",Variations!$F$6:$F$21,"Pending",Variations!$G$6:$G$21,"&lt;="&amp;Assumptions!R$95)</f>
        <v>0</v>
      </c>
      <c r="S66" s="58" t="n">
        <f aca="false">SUMIFS(Variations!$E$6:$E$21,Variations!$B$6:$B$21,"PS-2502",Variations!$F$6:$F$21,"Pending",Variations!$G$6:$G$21,"&lt;="&amp;Assumptions!S$95)</f>
        <v>0</v>
      </c>
      <c r="T66" s="58" t="n">
        <f aca="false">SUMIFS(Variations!$E$6:$E$21,Variations!$B$6:$B$21,"PS-2502",Variations!$F$6:$F$21,"Pending",Variations!$G$6:$G$21,"&lt;="&amp;Assumptions!T$95)</f>
        <v>0</v>
      </c>
      <c r="U66" s="58" t="n">
        <f aca="false">SUMIFS(Variations!$E$6:$E$21,Variations!$B$6:$B$21,"PS-2502",Variations!$F$6:$F$21,"Pending",Variations!$G$6:$G$21,"&lt;="&amp;Assumptions!U$95)</f>
        <v>0</v>
      </c>
      <c r="V66" s="58" t="n">
        <f aca="false">SUMIFS(Variations!$E$6:$E$21,Variations!$B$6:$B$21,"PS-2502",Variations!$F$6:$F$21,"Pending",Variations!$G$6:$G$21,"&lt;="&amp;Assumptions!V$95)</f>
        <v>0</v>
      </c>
      <c r="W66" s="58" t="n">
        <f aca="false">SUMIFS(Variations!$E$6:$E$21,Variations!$B$6:$B$21,"PS-2502",Variations!$F$6:$F$21,"Pending",Variations!$G$6:$G$21,"&lt;="&amp;Assumptions!W$95)</f>
        <v>0</v>
      </c>
      <c r="X66" s="58" t="n">
        <f aca="false">SUMIFS(Variations!$E$6:$E$21,Variations!$B$6:$B$21,"PS-2502",Variations!$F$6:$F$21,"Pending",Variations!$G$6:$G$21,"&lt;="&amp;Assumptions!X$95)</f>
        <v>0</v>
      </c>
      <c r="Y66" s="58" t="n">
        <f aca="false">SUMIFS(Variations!$E$6:$E$21,Variations!$B$6:$B$21,"PS-2502",Variations!$F$6:$F$21,"Pending",Variations!$G$6:$G$21,"&lt;="&amp;Assumptions!Y$95)</f>
        <v>0</v>
      </c>
      <c r="Z66" s="58" t="n">
        <f aca="false">SUMIFS(Variations!$E$6:$E$21,Variations!$B$6:$B$21,"PS-2502",Variations!$F$6:$F$21,"Pending",Variations!$G$6:$G$21,"&lt;="&amp;Assumptions!Z$95)</f>
        <v>0</v>
      </c>
      <c r="AA66" s="58" t="n">
        <f aca="false">SUMIFS(Variations!$E$6:$E$21,Variations!$B$6:$B$21,"PS-2502",Variations!$F$6:$F$21,"Pending",Variations!$G$6:$G$21,"&lt;="&amp;Assumptions!AA$95)</f>
        <v>0</v>
      </c>
      <c r="AB66" s="58" t="n">
        <f aca="false">SUMIFS(Variations!$E$6:$E$21,Variations!$B$6:$B$21,"PS-2502",Variations!$F$6:$F$21,"Pending",Variations!$G$6:$G$21,"&lt;="&amp;Assumptions!AB$95)</f>
        <v>0</v>
      </c>
    </row>
    <row r="67" customFormat="false" ht="15" hidden="false" customHeight="false" outlineLevel="0" collapsed="false">
      <c r="A67" s="27" t="s">
        <v>739</v>
      </c>
      <c r="B67" s="56" t="s">
        <v>740</v>
      </c>
      <c r="C67" s="57" t="n">
        <f aca="false">P67</f>
        <v>1109000</v>
      </c>
      <c r="D67" s="57" t="n">
        <f aca="false">AB67</f>
        <v>1109000</v>
      </c>
      <c r="E67" s="58" t="n">
        <f aca="false">Project_Register!$AO$8+E64+Assumptions!$C$74*E65+Assumptions!$F$121*E66</f>
        <v>1089300</v>
      </c>
      <c r="F67" s="58" t="n">
        <f aca="false">Project_Register!$AO$8+F64+Assumptions!$C$74*F65+Assumptions!$F$121*F66</f>
        <v>1104200</v>
      </c>
      <c r="G67" s="58" t="n">
        <f aca="false">Project_Register!$AO$8+G64+Assumptions!$C$74*G65+Assumptions!$F$121*G66</f>
        <v>1104200</v>
      </c>
      <c r="H67" s="58" t="n">
        <f aca="false">Project_Register!$AO$8+H64+Assumptions!$C$74*H65+Assumptions!$F$121*H66</f>
        <v>1109000</v>
      </c>
      <c r="I67" s="58" t="n">
        <f aca="false">Project_Register!$AO$8+I64+Assumptions!$C$74*I65+Assumptions!$F$121*I66</f>
        <v>1109000</v>
      </c>
      <c r="J67" s="58" t="n">
        <f aca="false">Project_Register!$AO$8+J64+Assumptions!$C$74*J65+Assumptions!$F$121*J66</f>
        <v>1109000</v>
      </c>
      <c r="K67" s="58" t="n">
        <f aca="false">Project_Register!$AO$8+K64+Assumptions!$C$74*K65+Assumptions!$F$121*K66</f>
        <v>1109000</v>
      </c>
      <c r="L67" s="58" t="n">
        <f aca="false">Project_Register!$AO$8+L64+Assumptions!$C$74*L65+Assumptions!$F$121*L66</f>
        <v>1109000</v>
      </c>
      <c r="M67" s="58" t="n">
        <f aca="false">Project_Register!$AO$8+M64+Assumptions!$C$74*M65+Assumptions!$F$121*M66</f>
        <v>1109000</v>
      </c>
      <c r="N67" s="58" t="n">
        <f aca="false">Project_Register!$AO$8+N64+Assumptions!$C$74*N65+Assumptions!$F$121*N66</f>
        <v>1109000</v>
      </c>
      <c r="O67" s="58" t="n">
        <f aca="false">Project_Register!$AO$8+O64+Assumptions!$C$74*O65+Assumptions!$F$121*O66</f>
        <v>1109000</v>
      </c>
      <c r="P67" s="58" t="n">
        <f aca="false">Project_Register!$AO$8+P64+Assumptions!$C$74*P65+Assumptions!$F$121*P66</f>
        <v>1109000</v>
      </c>
      <c r="Q67" s="58" t="n">
        <f aca="false">Project_Register!$AO$8+Q64+Assumptions!$C$74*Q65+Assumptions!$F$121*Q66</f>
        <v>1109000</v>
      </c>
      <c r="R67" s="58" t="n">
        <f aca="false">Project_Register!$AO$8+R64+Assumptions!$C$74*R65+Assumptions!$F$121*R66</f>
        <v>1109000</v>
      </c>
      <c r="S67" s="58" t="n">
        <f aca="false">Project_Register!$AO$8+S64+Assumptions!$C$74*S65+Assumptions!$F$121*S66</f>
        <v>1109000</v>
      </c>
      <c r="T67" s="58" t="n">
        <f aca="false">Project_Register!$AO$8+T64+Assumptions!$C$74*T65+Assumptions!$F$121*T66</f>
        <v>1109000</v>
      </c>
      <c r="U67" s="58" t="n">
        <f aca="false">Project_Register!$AO$8+U64+Assumptions!$C$74*U65+Assumptions!$F$121*U66</f>
        <v>1109000</v>
      </c>
      <c r="V67" s="58" t="n">
        <f aca="false">Project_Register!$AO$8+V64+Assumptions!$C$74*V65+Assumptions!$F$121*V66</f>
        <v>1109000</v>
      </c>
      <c r="W67" s="58" t="n">
        <f aca="false">Project_Register!$AO$8+W64+Assumptions!$C$74*W65+Assumptions!$F$121*W66</f>
        <v>1109000</v>
      </c>
      <c r="X67" s="58" t="n">
        <f aca="false">Project_Register!$AO$8+X64+Assumptions!$C$74*X65+Assumptions!$F$121*X66</f>
        <v>1109000</v>
      </c>
      <c r="Y67" s="58" t="n">
        <f aca="false">Project_Register!$AO$8+Y64+Assumptions!$C$74*Y65+Assumptions!$F$121*Y66</f>
        <v>1109000</v>
      </c>
      <c r="Z67" s="58" t="n">
        <f aca="false">Project_Register!$AO$8+Z64+Assumptions!$C$74*Z65+Assumptions!$F$121*Z66</f>
        <v>1109000</v>
      </c>
      <c r="AA67" s="58" t="n">
        <f aca="false">Project_Register!$AO$8+AA64+Assumptions!$C$74*AA65+Assumptions!$F$121*AA66</f>
        <v>1109000</v>
      </c>
      <c r="AB67" s="58" t="n">
        <f aca="false">Project_Register!$AO$8+AB64+Assumptions!$C$74*AB65+Assumptions!$F$121*AB66</f>
        <v>1109000</v>
      </c>
    </row>
    <row r="68" customFormat="false" ht="15" hidden="false" customHeight="false" outlineLevel="0" collapsed="false">
      <c r="A68" s="27" t="s">
        <v>741</v>
      </c>
      <c r="B68" s="56" t="s">
        <v>742</v>
      </c>
      <c r="C68" s="57" t="n">
        <f aca="false">P68</f>
        <v>1109000</v>
      </c>
      <c r="D68" s="57" t="n">
        <f aca="false">AB68</f>
        <v>1109000</v>
      </c>
      <c r="E68" s="58" t="n">
        <f aca="false">IF(E$5="A",Project_Register!$AD$8+Inputs_Actuals!E24,E63*E67)</f>
        <v>761322.17</v>
      </c>
      <c r="F68" s="58" t="n">
        <f aca="false">IF(F$5="A",E68+Inputs_Actuals!F24,F63*F67)</f>
        <v>949426.57</v>
      </c>
      <c r="G68" s="58" t="n">
        <f aca="false">IF(G$5="A",F68+Inputs_Actuals!G24,G63*G67)</f>
        <v>1055300.71</v>
      </c>
      <c r="H68" s="58" t="n">
        <f aca="false">IF(H$5="A",G68+Inputs_Actuals!H24,H63*H67)</f>
        <v>1109000</v>
      </c>
      <c r="I68" s="58" t="n">
        <f aca="false">IF(I$5="A",H68+Inputs_Actuals!I24,I63*I67)</f>
        <v>1109000</v>
      </c>
      <c r="J68" s="58" t="n">
        <f aca="false">IF(J$5="A",I68+Inputs_Actuals!J24,J63*J67)</f>
        <v>1109000</v>
      </c>
      <c r="K68" s="58" t="n">
        <f aca="false">IF(K$5="A",J68+Inputs_Actuals!K24,K63*K67)</f>
        <v>1109000</v>
      </c>
      <c r="L68" s="58" t="n">
        <f aca="false">IF(L$5="A",K68+Inputs_Actuals!L24,L63*L67)</f>
        <v>1109000</v>
      </c>
      <c r="M68" s="58" t="n">
        <f aca="false">IF(M$5="A",L68+Inputs_Actuals!M24,M63*M67)</f>
        <v>1109000</v>
      </c>
      <c r="N68" s="58" t="n">
        <f aca="false">IF(N$5="A",M68+Inputs_Actuals!N24,N63*N67)</f>
        <v>1109000</v>
      </c>
      <c r="O68" s="58" t="n">
        <f aca="false">IF(O$5="A",N68+Inputs_Actuals!O24,O63*O67)</f>
        <v>1109000</v>
      </c>
      <c r="P68" s="58" t="n">
        <f aca="false">IF(P$5="A",O68+Inputs_Actuals!P24,P63*P67)</f>
        <v>1109000</v>
      </c>
      <c r="Q68" s="58" t="n">
        <f aca="false">IF(Q$5="A",P68+Inputs_Actuals!Q24,Q63*Q67)</f>
        <v>1109000</v>
      </c>
      <c r="R68" s="58" t="n">
        <f aca="false">IF(R$5="A",Q68+Inputs_Actuals!R24,R63*R67)</f>
        <v>1109000</v>
      </c>
      <c r="S68" s="58" t="n">
        <f aca="false">IF(S$5="A",R68+Inputs_Actuals!S24,S63*S67)</f>
        <v>1109000</v>
      </c>
      <c r="T68" s="58" t="n">
        <f aca="false">IF(T$5="A",S68+Inputs_Actuals!T24,T63*T67)</f>
        <v>1109000</v>
      </c>
      <c r="U68" s="58" t="n">
        <f aca="false">IF(U$5="A",T68+Inputs_Actuals!U24,U63*U67)</f>
        <v>1109000</v>
      </c>
      <c r="V68" s="58" t="n">
        <f aca="false">IF(V$5="A",U68+Inputs_Actuals!V24,V63*V67)</f>
        <v>1109000</v>
      </c>
      <c r="W68" s="58" t="n">
        <f aca="false">IF(W$5="A",V68+Inputs_Actuals!W24,W63*W67)</f>
        <v>1109000</v>
      </c>
      <c r="X68" s="58" t="n">
        <f aca="false">IF(X$5="A",W68+Inputs_Actuals!X24,X63*X67)</f>
        <v>1109000</v>
      </c>
      <c r="Y68" s="58" t="n">
        <f aca="false">IF(Y$5="A",X68+Inputs_Actuals!Y24,Y63*Y67)</f>
        <v>1109000</v>
      </c>
      <c r="Z68" s="58" t="n">
        <f aca="false">IF(Z$5="A",Y68+Inputs_Actuals!Z24,Z63*Z67)</f>
        <v>1109000</v>
      </c>
      <c r="AA68" s="58" t="n">
        <f aca="false">IF(AA$5="A",Z68+Inputs_Actuals!AA24,AA63*AA67)</f>
        <v>1109000</v>
      </c>
      <c r="AB68" s="58" t="n">
        <f aca="false">IF(AB$5="A",AA68+Inputs_Actuals!AB24,AB63*AB67)</f>
        <v>1109000</v>
      </c>
    </row>
    <row r="69" customFormat="false" ht="15" hidden="false" customHeight="false" outlineLevel="0" collapsed="false">
      <c r="A69" s="67" t="s">
        <v>743</v>
      </c>
      <c r="B69" s="68" t="s">
        <v>744</v>
      </c>
      <c r="C69" s="69" t="n">
        <f aca="false">SUM(E69:P69)</f>
        <v>583692.68</v>
      </c>
      <c r="D69" s="69" t="n">
        <f aca="false">SUM(Q69:AB69)</f>
        <v>0</v>
      </c>
      <c r="E69" s="74" t="n">
        <f aca="false">E68-Project_Register!$AD$8</f>
        <v>236014.85</v>
      </c>
      <c r="F69" s="69" t="n">
        <f aca="false">F68-E68</f>
        <v>188104.4</v>
      </c>
      <c r="G69" s="69" t="n">
        <f aca="false">G68-F68</f>
        <v>105874.14</v>
      </c>
      <c r="H69" s="69" t="n">
        <f aca="false">H68-G68</f>
        <v>53699.29</v>
      </c>
      <c r="I69" s="69" t="n">
        <f aca="false">I68-H68</f>
        <v>0</v>
      </c>
      <c r="J69" s="69" t="n">
        <f aca="false">J68-I68</f>
        <v>0</v>
      </c>
      <c r="K69" s="69" t="n">
        <f aca="false">K68-J68</f>
        <v>0</v>
      </c>
      <c r="L69" s="69" t="n">
        <f aca="false">L68-K68</f>
        <v>0</v>
      </c>
      <c r="M69" s="69" t="n">
        <f aca="false">M68-L68</f>
        <v>0</v>
      </c>
      <c r="N69" s="69" t="n">
        <f aca="false">N68-M68</f>
        <v>0</v>
      </c>
      <c r="O69" s="69" t="n">
        <f aca="false">O68-N68</f>
        <v>0</v>
      </c>
      <c r="P69" s="69" t="n">
        <f aca="false">P68-O68</f>
        <v>0</v>
      </c>
      <c r="Q69" s="69" t="n">
        <f aca="false">Q68-P68</f>
        <v>0</v>
      </c>
      <c r="R69" s="69" t="n">
        <f aca="false">R68-Q68</f>
        <v>0</v>
      </c>
      <c r="S69" s="69" t="n">
        <f aca="false">S68-R68</f>
        <v>0</v>
      </c>
      <c r="T69" s="69" t="n">
        <f aca="false">T68-S68</f>
        <v>0</v>
      </c>
      <c r="U69" s="69" t="n">
        <f aca="false">U68-T68</f>
        <v>0</v>
      </c>
      <c r="V69" s="69" t="n">
        <f aca="false">V68-U68</f>
        <v>0</v>
      </c>
      <c r="W69" s="69" t="n">
        <f aca="false">W68-V68</f>
        <v>0</v>
      </c>
      <c r="X69" s="69" t="n">
        <f aca="false">X68-W68</f>
        <v>0</v>
      </c>
      <c r="Y69" s="69" t="n">
        <f aca="false">Y68-X68</f>
        <v>0</v>
      </c>
      <c r="Z69" s="69" t="n">
        <f aca="false">Z68-Y68</f>
        <v>0</v>
      </c>
      <c r="AA69" s="69" t="n">
        <f aca="false">AA68-Z68</f>
        <v>0</v>
      </c>
      <c r="AB69" s="69" t="n">
        <f aca="false">AB68-AA68</f>
        <v>0</v>
      </c>
    </row>
    <row r="70" customFormat="false" ht="15" hidden="false" customHeight="false" outlineLevel="0" collapsed="false">
      <c r="A70" s="27" t="s">
        <v>745</v>
      </c>
      <c r="B70" s="56" t="s">
        <v>746</v>
      </c>
      <c r="C70" s="57" t="n">
        <f aca="false">P70</f>
        <v>0</v>
      </c>
      <c r="D70" s="57" t="n">
        <f aca="false">AB70</f>
        <v>0</v>
      </c>
      <c r="E70" s="70" t="n">
        <f aca="false">MAX(0,E62-E67)*(1-E63)</f>
        <v>0</v>
      </c>
      <c r="F70" s="70" t="n">
        <f aca="false">MAX(0,F62-F67)*(1-F63)</f>
        <v>0</v>
      </c>
      <c r="G70" s="70" t="n">
        <f aca="false">MAX(0,G62-G67)*(1-G63)</f>
        <v>0</v>
      </c>
      <c r="H70" s="70" t="n">
        <f aca="false">MAX(0,H62-H67)*(1-H63)</f>
        <v>0</v>
      </c>
      <c r="I70" s="70" t="n">
        <f aca="false">MAX(0,I62-I67)*(1-I63)</f>
        <v>0</v>
      </c>
      <c r="J70" s="70" t="n">
        <f aca="false">MAX(0,J62-J67)*(1-J63)</f>
        <v>0</v>
      </c>
      <c r="K70" s="70" t="n">
        <f aca="false">MAX(0,K62-K67)*(1-K63)</f>
        <v>0</v>
      </c>
      <c r="L70" s="70" t="n">
        <f aca="false">MAX(0,L62-L67)*(1-L63)</f>
        <v>0</v>
      </c>
      <c r="M70" s="70" t="n">
        <f aca="false">MAX(0,M62-M67)*(1-M63)</f>
        <v>0</v>
      </c>
      <c r="N70" s="70" t="n">
        <f aca="false">MAX(0,N62-N67)*(1-N63)</f>
        <v>0</v>
      </c>
      <c r="O70" s="70" t="n">
        <f aca="false">MAX(0,O62-O67)*(1-O63)</f>
        <v>0</v>
      </c>
      <c r="P70" s="70" t="n">
        <f aca="false">MAX(0,P62-P67)*(1-P63)</f>
        <v>0</v>
      </c>
      <c r="Q70" s="70" t="n">
        <f aca="false">MAX(0,Q62-Q67)*(1-Q63)</f>
        <v>0</v>
      </c>
      <c r="R70" s="70" t="n">
        <f aca="false">MAX(0,R62-R67)*(1-R63)</f>
        <v>0</v>
      </c>
      <c r="S70" s="70" t="n">
        <f aca="false">MAX(0,S62-S67)*(1-S63)</f>
        <v>0</v>
      </c>
      <c r="T70" s="70" t="n">
        <f aca="false">MAX(0,T62-T67)*(1-T63)</f>
        <v>0</v>
      </c>
      <c r="U70" s="70" t="n">
        <f aca="false">MAX(0,U62-U67)*(1-U63)</f>
        <v>0</v>
      </c>
      <c r="V70" s="70" t="n">
        <f aca="false">MAX(0,V62-V67)*(1-V63)</f>
        <v>0</v>
      </c>
      <c r="W70" s="70" t="n">
        <f aca="false">MAX(0,W62-W67)*(1-W63)</f>
        <v>0</v>
      </c>
      <c r="X70" s="70" t="n">
        <f aca="false">MAX(0,X62-X67)*(1-X63)</f>
        <v>0</v>
      </c>
      <c r="Y70" s="70" t="n">
        <f aca="false">MAX(0,Y62-Y67)*(1-Y63)</f>
        <v>0</v>
      </c>
      <c r="Z70" s="70" t="n">
        <f aca="false">MAX(0,Z62-Z67)*(1-Z63)</f>
        <v>0</v>
      </c>
      <c r="AA70" s="70" t="n">
        <f aca="false">MAX(0,AA62-AA67)*(1-AA63)</f>
        <v>0</v>
      </c>
      <c r="AB70" s="70" t="n">
        <f aca="false">MAX(0,AB62-AB67)*(1-AB63)</f>
        <v>0</v>
      </c>
    </row>
    <row r="71" customFormat="false" ht="15" hidden="false" customHeight="false" outlineLevel="0" collapsed="false">
      <c r="A71" s="27" t="s">
        <v>747</v>
      </c>
      <c r="B71" s="56"/>
      <c r="C71" s="57" t="n">
        <f aca="false">SUM(E71:P71)</f>
        <v>0</v>
      </c>
      <c r="D71" s="57" t="n">
        <f aca="false">SUM(Q71:AB71)</f>
        <v>0</v>
      </c>
      <c r="E71" s="70" t="n">
        <f aca="false">-(E70-0)</f>
        <v>-0</v>
      </c>
      <c r="F71" s="70" t="n">
        <f aca="false">-(F70-E70)</f>
        <v>-0</v>
      </c>
      <c r="G71" s="70" t="n">
        <f aca="false">-(G70-F70)</f>
        <v>-0</v>
      </c>
      <c r="H71" s="70" t="n">
        <f aca="false">-(H70-G70)</f>
        <v>-0</v>
      </c>
      <c r="I71" s="70" t="n">
        <f aca="false">-(I70-H70)</f>
        <v>-0</v>
      </c>
      <c r="J71" s="70" t="n">
        <f aca="false">-(J70-I70)</f>
        <v>-0</v>
      </c>
      <c r="K71" s="70" t="n">
        <f aca="false">-(K70-J70)</f>
        <v>-0</v>
      </c>
      <c r="L71" s="70" t="n">
        <f aca="false">-(L70-K70)</f>
        <v>-0</v>
      </c>
      <c r="M71" s="70" t="n">
        <f aca="false">-(M70-L70)</f>
        <v>-0</v>
      </c>
      <c r="N71" s="70" t="n">
        <f aca="false">-(N70-M70)</f>
        <v>-0</v>
      </c>
      <c r="O71" s="70" t="n">
        <f aca="false">-(O70-N70)</f>
        <v>-0</v>
      </c>
      <c r="P71" s="70" t="n">
        <f aca="false">-(P70-O70)</f>
        <v>-0</v>
      </c>
      <c r="Q71" s="70" t="n">
        <f aca="false">-(Q70-P70)</f>
        <v>-0</v>
      </c>
      <c r="R71" s="70" t="n">
        <f aca="false">-(R70-Q70)</f>
        <v>-0</v>
      </c>
      <c r="S71" s="70" t="n">
        <f aca="false">-(S70-R70)</f>
        <v>-0</v>
      </c>
      <c r="T71" s="70" t="n">
        <f aca="false">-(T70-S70)</f>
        <v>-0</v>
      </c>
      <c r="U71" s="70" t="n">
        <f aca="false">-(U70-T70)</f>
        <v>-0</v>
      </c>
      <c r="V71" s="70" t="n">
        <f aca="false">-(V70-U70)</f>
        <v>-0</v>
      </c>
      <c r="W71" s="70" t="n">
        <f aca="false">-(W70-V70)</f>
        <v>-0</v>
      </c>
      <c r="X71" s="70" t="n">
        <f aca="false">-(X70-W70)</f>
        <v>-0</v>
      </c>
      <c r="Y71" s="70" t="n">
        <f aca="false">-(Y70-X70)</f>
        <v>-0</v>
      </c>
      <c r="Z71" s="70" t="n">
        <f aca="false">-(Z70-Y70)</f>
        <v>-0</v>
      </c>
      <c r="AA71" s="70" t="n">
        <f aca="false">-(AA70-Z70)</f>
        <v>-0</v>
      </c>
      <c r="AB71" s="70" t="n">
        <f aca="false">-(AB70-AA70)</f>
        <v>-0</v>
      </c>
    </row>
    <row r="72" customFormat="false" ht="15" hidden="false" customHeight="false" outlineLevel="0" collapsed="false">
      <c r="A72" s="67" t="s">
        <v>748</v>
      </c>
      <c r="B72" s="68" t="s">
        <v>749</v>
      </c>
      <c r="C72" s="69" t="n">
        <f aca="false">SUM(E72:P72)</f>
        <v>99859.0500000001</v>
      </c>
      <c r="D72" s="69" t="n">
        <f aca="false">SUM(Q72:AB72)</f>
        <v>0</v>
      </c>
      <c r="E72" s="69" t="n">
        <f aca="false">E69-E60+E71</f>
        <v>30614.98</v>
      </c>
      <c r="F72" s="69" t="n">
        <f aca="false">F69-F60+F71</f>
        <v>35549.85</v>
      </c>
      <c r="G72" s="69" t="n">
        <f aca="false">G69-G60+G71</f>
        <v>21666.95</v>
      </c>
      <c r="H72" s="69" t="n">
        <f aca="false">H69-H60+H71</f>
        <v>12027.27</v>
      </c>
      <c r="I72" s="69" t="n">
        <f aca="false">I69-I60+I71</f>
        <v>0</v>
      </c>
      <c r="J72" s="69" t="n">
        <f aca="false">J69-J60+J71</f>
        <v>0</v>
      </c>
      <c r="K72" s="69" t="n">
        <f aca="false">K69-K60+K71</f>
        <v>0</v>
      </c>
      <c r="L72" s="69" t="n">
        <f aca="false">L69-L60+L71</f>
        <v>0</v>
      </c>
      <c r="M72" s="69" t="n">
        <f aca="false">M69-M60+M71</f>
        <v>0</v>
      </c>
      <c r="N72" s="69" t="n">
        <f aca="false">N69-N60+N71</f>
        <v>0</v>
      </c>
      <c r="O72" s="69" t="n">
        <f aca="false">O69-O60+O71</f>
        <v>0</v>
      </c>
      <c r="P72" s="69" t="n">
        <f aca="false">P69-P60+P71</f>
        <v>0</v>
      </c>
      <c r="Q72" s="69" t="n">
        <f aca="false">Q69-Q60+Q71</f>
        <v>0</v>
      </c>
      <c r="R72" s="69" t="n">
        <f aca="false">R69-R60+R71</f>
        <v>0</v>
      </c>
      <c r="S72" s="69" t="n">
        <f aca="false">S69-S60+S71</f>
        <v>0</v>
      </c>
      <c r="T72" s="69" t="n">
        <f aca="false">T69-T60+T71</f>
        <v>0</v>
      </c>
      <c r="U72" s="69" t="n">
        <f aca="false">U69-U60+U71</f>
        <v>0</v>
      </c>
      <c r="V72" s="69" t="n">
        <f aca="false">V69-V60+V71</f>
        <v>0</v>
      </c>
      <c r="W72" s="69" t="n">
        <f aca="false">W69-W60+W71</f>
        <v>0</v>
      </c>
      <c r="X72" s="69" t="n">
        <f aca="false">X69-X60+X71</f>
        <v>0</v>
      </c>
      <c r="Y72" s="69" t="n">
        <f aca="false">Y69-Y60+Y71</f>
        <v>0</v>
      </c>
      <c r="Z72" s="69" t="n">
        <f aca="false">Z69-Z60+Z71</f>
        <v>0</v>
      </c>
      <c r="AA72" s="69" t="n">
        <f aca="false">AA69-AA60+AA71</f>
        <v>0</v>
      </c>
      <c r="AB72" s="69" t="n">
        <f aca="false">AB69-AB60+AB71</f>
        <v>0</v>
      </c>
    </row>
    <row r="73" customFormat="false" ht="15" hidden="false" customHeight="false" outlineLevel="0" collapsed="false">
      <c r="A73" s="27" t="s">
        <v>750</v>
      </c>
      <c r="B73" s="56"/>
      <c r="C73" s="57" t="n">
        <f aca="false">P73</f>
        <v>1109000</v>
      </c>
      <c r="D73" s="57" t="n">
        <f aca="false">AB73</f>
        <v>1109000</v>
      </c>
      <c r="E73" s="58" t="n">
        <f aca="false">Project_Register!$AO$8+E64+Assumptions!$F$121*E66</f>
        <v>1080000</v>
      </c>
      <c r="F73" s="58" t="n">
        <f aca="false">Project_Register!$AO$8+F64+Assumptions!$F$121*F66</f>
        <v>1098600</v>
      </c>
      <c r="G73" s="58" t="n">
        <f aca="false">Project_Register!$AO$8+G64+Assumptions!$F$121*G66</f>
        <v>1098600</v>
      </c>
      <c r="H73" s="58" t="n">
        <f aca="false">Project_Register!$AO$8+H64+Assumptions!$F$121*H66</f>
        <v>1109000</v>
      </c>
      <c r="I73" s="58" t="n">
        <f aca="false">Project_Register!$AO$8+I64+Assumptions!$F$121*I66</f>
        <v>1109000</v>
      </c>
      <c r="J73" s="58" t="n">
        <f aca="false">Project_Register!$AO$8+J64+Assumptions!$F$121*J66</f>
        <v>1109000</v>
      </c>
      <c r="K73" s="58" t="n">
        <f aca="false">Project_Register!$AO$8+K64+Assumptions!$F$121*K66</f>
        <v>1109000</v>
      </c>
      <c r="L73" s="58" t="n">
        <f aca="false">Project_Register!$AO$8+L64+Assumptions!$F$121*L66</f>
        <v>1109000</v>
      </c>
      <c r="M73" s="58" t="n">
        <f aca="false">Project_Register!$AO$8+M64+Assumptions!$F$121*M66</f>
        <v>1109000</v>
      </c>
      <c r="N73" s="58" t="n">
        <f aca="false">Project_Register!$AO$8+N64+Assumptions!$F$121*N66</f>
        <v>1109000</v>
      </c>
      <c r="O73" s="58" t="n">
        <f aca="false">Project_Register!$AO$8+O64+Assumptions!$F$121*O66</f>
        <v>1109000</v>
      </c>
      <c r="P73" s="58" t="n">
        <f aca="false">Project_Register!$AO$8+P64+Assumptions!$F$121*P66</f>
        <v>1109000</v>
      </c>
      <c r="Q73" s="58" t="n">
        <f aca="false">Project_Register!$AO$8+Q64+Assumptions!$F$121*Q66</f>
        <v>1109000</v>
      </c>
      <c r="R73" s="58" t="n">
        <f aca="false">Project_Register!$AO$8+R64+Assumptions!$F$121*R66</f>
        <v>1109000</v>
      </c>
      <c r="S73" s="58" t="n">
        <f aca="false">Project_Register!$AO$8+S64+Assumptions!$F$121*S66</f>
        <v>1109000</v>
      </c>
      <c r="T73" s="58" t="n">
        <f aca="false">Project_Register!$AO$8+T64+Assumptions!$F$121*T66</f>
        <v>1109000</v>
      </c>
      <c r="U73" s="58" t="n">
        <f aca="false">Project_Register!$AO$8+U64+Assumptions!$F$121*U66</f>
        <v>1109000</v>
      </c>
      <c r="V73" s="58" t="n">
        <f aca="false">Project_Register!$AO$8+V64+Assumptions!$F$121*V66</f>
        <v>1109000</v>
      </c>
      <c r="W73" s="58" t="n">
        <f aca="false">Project_Register!$AO$8+W64+Assumptions!$F$121*W66</f>
        <v>1109000</v>
      </c>
      <c r="X73" s="58" t="n">
        <f aca="false">Project_Register!$AO$8+X64+Assumptions!$F$121*X66</f>
        <v>1109000</v>
      </c>
      <c r="Y73" s="58" t="n">
        <f aca="false">Project_Register!$AO$8+Y64+Assumptions!$F$121*Y66</f>
        <v>1109000</v>
      </c>
      <c r="Z73" s="58" t="n">
        <f aca="false">Project_Register!$AO$8+Z64+Assumptions!$F$121*Z66</f>
        <v>1109000</v>
      </c>
      <c r="AA73" s="58" t="n">
        <f aca="false">Project_Register!$AO$8+AA64+Assumptions!$F$121*AA66</f>
        <v>1109000</v>
      </c>
      <c r="AB73" s="58" t="n">
        <f aca="false">Project_Register!$AO$8+AB64+Assumptions!$F$121*AB66</f>
        <v>1109000</v>
      </c>
    </row>
    <row r="74" customFormat="false" ht="15" hidden="false" customHeight="false" outlineLevel="0" collapsed="false">
      <c r="A74" s="27" t="s">
        <v>751</v>
      </c>
      <c r="B74" s="56" t="s">
        <v>752</v>
      </c>
      <c r="C74" s="57" t="n">
        <f aca="false">P74</f>
        <v>1109000</v>
      </c>
      <c r="D74" s="57" t="n">
        <f aca="false">AB74</f>
        <v>1109000</v>
      </c>
      <c r="E74" s="58" t="n">
        <f aca="false">IF(E$5="A",Project_Register!$AE$8+Inputs_Actuals!E25,IF(Assumptions!E$96&gt;=Project_Register!$AM$8,E73,MIN(E73,MAX(Project_Register!$AE$8,0*E73))))</f>
        <v>520822.46</v>
      </c>
      <c r="F74" s="58" t="n">
        <f aca="false">IF(F$5="A",E74+Inputs_Actuals!F25,IF(Assumptions!F$96&gt;=Project_Register!$AM$8,F73,MIN(F73,MAX(E74,E63*F73))))</f>
        <v>767822.03</v>
      </c>
      <c r="G74" s="58" t="n">
        <f aca="false">IF(G$5="A",F74+Inputs_Actuals!G25,IF(Assumptions!G$96&gt;=Project_Register!$AM$8,G73,MIN(G73,MAX(F74,F63*G73))))</f>
        <v>944611.51</v>
      </c>
      <c r="H74" s="58" t="n">
        <f aca="false">IF(H$5="A",G74+Inputs_Actuals!H25,IF(Assumptions!H$96&gt;=Project_Register!$AM$8,H73,MIN(H73,MAX(G74,G63*H73))))</f>
        <v>1059888.14</v>
      </c>
      <c r="I74" s="58" t="n">
        <f aca="false">IF(I$5="A",H74+Inputs_Actuals!I25,IF(Assumptions!I$96&gt;=Project_Register!$AM$8,I73,MIN(I73,MAX(H74,H63*I73))))</f>
        <v>1109000</v>
      </c>
      <c r="J74" s="58" t="n">
        <f aca="false">IF(J$5="A",I74+Inputs_Actuals!J25,IF(Assumptions!J$96&gt;=Project_Register!$AM$8,J73,MIN(J73,MAX(I74,I63*J73))))</f>
        <v>1109000</v>
      </c>
      <c r="K74" s="58" t="n">
        <f aca="false">IF(K$5="A",J74+Inputs_Actuals!K25,IF(Assumptions!K$96&gt;=Project_Register!$AM$8,K73,MIN(K73,MAX(J74,J63*K73))))</f>
        <v>1109000</v>
      </c>
      <c r="L74" s="58" t="n">
        <f aca="false">IF(L$5="A",K74+Inputs_Actuals!L25,IF(Assumptions!L$96&gt;=Project_Register!$AM$8,L73,MIN(L73,MAX(K74,K63*L73))))</f>
        <v>1109000</v>
      </c>
      <c r="M74" s="58" t="n">
        <f aca="false">IF(M$5="A",L74+Inputs_Actuals!M25,IF(Assumptions!M$96&gt;=Project_Register!$AM$8,M73,MIN(M73,MAX(L74,L63*M73))))</f>
        <v>1109000</v>
      </c>
      <c r="N74" s="58" t="n">
        <f aca="false">IF(N$5="A",M74+Inputs_Actuals!N25,IF(Assumptions!N$96&gt;=Project_Register!$AM$8,N73,MIN(N73,MAX(M74,M63*N73))))</f>
        <v>1109000</v>
      </c>
      <c r="O74" s="58" t="n">
        <f aca="false">IF(O$5="A",N74+Inputs_Actuals!O25,IF(Assumptions!O$96&gt;=Project_Register!$AM$8,O73,MIN(O73,MAX(N74,N63*O73))))</f>
        <v>1109000</v>
      </c>
      <c r="P74" s="58" t="n">
        <f aca="false">IF(P$5="A",O74+Inputs_Actuals!P25,IF(Assumptions!P$96&gt;=Project_Register!$AM$8,P73,MIN(P73,MAX(O74,O63*P73))))</f>
        <v>1109000</v>
      </c>
      <c r="Q74" s="58" t="n">
        <f aca="false">IF(Q$5="A",P74+Inputs_Actuals!Q25,IF(Assumptions!Q$96&gt;=Project_Register!$AM$8,Q73,MIN(Q73,MAX(P74,P63*Q73))))</f>
        <v>1109000</v>
      </c>
      <c r="R74" s="58" t="n">
        <f aca="false">IF(R$5="A",Q74+Inputs_Actuals!R25,IF(Assumptions!R$96&gt;=Project_Register!$AM$8,R73,MIN(R73,MAX(Q74,Q63*R73))))</f>
        <v>1109000</v>
      </c>
      <c r="S74" s="58" t="n">
        <f aca="false">IF(S$5="A",R74+Inputs_Actuals!S25,IF(Assumptions!S$96&gt;=Project_Register!$AM$8,S73,MIN(S73,MAX(R74,R63*S73))))</f>
        <v>1109000</v>
      </c>
      <c r="T74" s="58" t="n">
        <f aca="false">IF(T$5="A",S74+Inputs_Actuals!T25,IF(Assumptions!T$96&gt;=Project_Register!$AM$8,T73,MIN(T73,MAX(S74,S63*T73))))</f>
        <v>1109000</v>
      </c>
      <c r="U74" s="58" t="n">
        <f aca="false">IF(U$5="A",T74+Inputs_Actuals!U25,IF(Assumptions!U$96&gt;=Project_Register!$AM$8,U73,MIN(U73,MAX(T74,T63*U73))))</f>
        <v>1109000</v>
      </c>
      <c r="V74" s="58" t="n">
        <f aca="false">IF(V$5="A",U74+Inputs_Actuals!V25,IF(Assumptions!V$96&gt;=Project_Register!$AM$8,V73,MIN(V73,MAX(U74,U63*V73))))</f>
        <v>1109000</v>
      </c>
      <c r="W74" s="58" t="n">
        <f aca="false">IF(W$5="A",V74+Inputs_Actuals!W25,IF(Assumptions!W$96&gt;=Project_Register!$AM$8,W73,MIN(W73,MAX(V74,V63*W73))))</f>
        <v>1109000</v>
      </c>
      <c r="X74" s="58" t="n">
        <f aca="false">IF(X$5="A",W74+Inputs_Actuals!X25,IF(Assumptions!X$96&gt;=Project_Register!$AM$8,X73,MIN(X73,MAX(W74,W63*X73))))</f>
        <v>1109000</v>
      </c>
      <c r="Y74" s="58" t="n">
        <f aca="false">IF(Y$5="A",X74+Inputs_Actuals!Y25,IF(Assumptions!Y$96&gt;=Project_Register!$AM$8,Y73,MIN(Y73,MAX(X74,X63*Y73))))</f>
        <v>1109000</v>
      </c>
      <c r="Z74" s="58" t="n">
        <f aca="false">IF(Z$5="A",Y74+Inputs_Actuals!Z25,IF(Assumptions!Z$96&gt;=Project_Register!$AM$8,Z73,MIN(Z73,MAX(Y74,Y63*Z73))))</f>
        <v>1109000</v>
      </c>
      <c r="AA74" s="58" t="n">
        <f aca="false">IF(AA$5="A",Z74+Inputs_Actuals!AA25,IF(Assumptions!AA$96&gt;=Project_Register!$AM$8,AA73,MIN(AA73,MAX(Z74,Z63*AA73))))</f>
        <v>1109000</v>
      </c>
      <c r="AB74" s="58" t="n">
        <f aca="false">IF(AB$5="A",AA74+Inputs_Actuals!AB25,IF(Assumptions!AB$96&gt;=Project_Register!$AM$8,AB73,MIN(AB73,MAX(AA74,AA63*AB73))))</f>
        <v>1109000</v>
      </c>
    </row>
    <row r="75" customFormat="false" ht="15" hidden="false" customHeight="false" outlineLevel="0" collapsed="false">
      <c r="A75" s="27" t="s">
        <v>753</v>
      </c>
      <c r="B75" s="56"/>
      <c r="C75" s="57" t="n">
        <f aca="false">SUM(E75:P75)</f>
        <v>777258.13</v>
      </c>
      <c r="D75" s="57" t="n">
        <f aca="false">SUM(Q75:AB75)</f>
        <v>0</v>
      </c>
      <c r="E75" s="58" t="n">
        <f aca="false">E74-Project_Register!$AE$8</f>
        <v>189080.59</v>
      </c>
      <c r="F75" s="70" t="n">
        <f aca="false">F74-E74</f>
        <v>246999.57</v>
      </c>
      <c r="G75" s="70" t="n">
        <f aca="false">G74-F74</f>
        <v>176789.48</v>
      </c>
      <c r="H75" s="70" t="n">
        <f aca="false">H74-G74</f>
        <v>115276.63</v>
      </c>
      <c r="I75" s="70" t="n">
        <f aca="false">I74-H74</f>
        <v>49111.8600000001</v>
      </c>
      <c r="J75" s="70" t="n">
        <f aca="false">J74-I74</f>
        <v>0</v>
      </c>
      <c r="K75" s="70" t="n">
        <f aca="false">K74-J74</f>
        <v>0</v>
      </c>
      <c r="L75" s="70" t="n">
        <f aca="false">L74-K74</f>
        <v>0</v>
      </c>
      <c r="M75" s="70" t="n">
        <f aca="false">M74-L74</f>
        <v>0</v>
      </c>
      <c r="N75" s="70" t="n">
        <f aca="false">N74-M74</f>
        <v>0</v>
      </c>
      <c r="O75" s="70" t="n">
        <f aca="false">O74-N74</f>
        <v>0</v>
      </c>
      <c r="P75" s="70" t="n">
        <f aca="false">P74-O74</f>
        <v>0</v>
      </c>
      <c r="Q75" s="70" t="n">
        <f aca="false">Q74-P74</f>
        <v>0</v>
      </c>
      <c r="R75" s="70" t="n">
        <f aca="false">R74-Q74</f>
        <v>0</v>
      </c>
      <c r="S75" s="70" t="n">
        <f aca="false">S74-R74</f>
        <v>0</v>
      </c>
      <c r="T75" s="70" t="n">
        <f aca="false">T74-S74</f>
        <v>0</v>
      </c>
      <c r="U75" s="70" t="n">
        <f aca="false">U74-T74</f>
        <v>0</v>
      </c>
      <c r="V75" s="70" t="n">
        <f aca="false">V74-U74</f>
        <v>0</v>
      </c>
      <c r="W75" s="70" t="n">
        <f aca="false">W74-V74</f>
        <v>0</v>
      </c>
      <c r="X75" s="70" t="n">
        <f aca="false">X74-W74</f>
        <v>0</v>
      </c>
      <c r="Y75" s="70" t="n">
        <f aca="false">Y74-X74</f>
        <v>0</v>
      </c>
      <c r="Z75" s="70" t="n">
        <f aca="false">Z74-Y74</f>
        <v>0</v>
      </c>
      <c r="AA75" s="70" t="n">
        <f aca="false">AA74-Z74</f>
        <v>0</v>
      </c>
      <c r="AB75" s="70" t="n">
        <f aca="false">AB74-AA74</f>
        <v>0</v>
      </c>
    </row>
    <row r="76" customFormat="false" ht="15" hidden="false" customHeight="false" outlineLevel="0" collapsed="false">
      <c r="A76" s="27" t="s">
        <v>754</v>
      </c>
      <c r="B76" s="56" t="s">
        <v>755</v>
      </c>
      <c r="C76" s="57" t="n">
        <f aca="false">P76</f>
        <v>27725</v>
      </c>
      <c r="D76" s="57" t="n">
        <f aca="false">AB76</f>
        <v>0</v>
      </c>
      <c r="E76" s="58" t="n">
        <f aca="false">Project_Register!$Q$8*E74*(1-Project_Register!$R$8*(Assumptions!E$96&gt;=Project_Register!$AK$8+1)-(1-Project_Register!$R$8)*(Assumptions!E$96&gt;=Project_Register!$AN$8))</f>
        <v>26041.123</v>
      </c>
      <c r="F76" s="58" t="n">
        <f aca="false">Project_Register!$Q$8*F74*(1-Project_Register!$R$8*(Assumptions!F$96&gt;=Project_Register!$AK$8+1)-(1-Project_Register!$R$8)*(Assumptions!F$96&gt;=Project_Register!$AN$8))</f>
        <v>38391.1015</v>
      </c>
      <c r="G76" s="58" t="n">
        <f aca="false">Project_Register!$Q$8*G74*(1-Project_Register!$R$8*(Assumptions!G$96&gt;=Project_Register!$AK$8+1)-(1-Project_Register!$R$8)*(Assumptions!G$96&gt;=Project_Register!$AN$8))</f>
        <v>47230.5755</v>
      </c>
      <c r="H76" s="58" t="n">
        <f aca="false">Project_Register!$Q$8*H74*(1-Project_Register!$R$8*(Assumptions!H$96&gt;=Project_Register!$AK$8+1)-(1-Project_Register!$R$8)*(Assumptions!H$96&gt;=Project_Register!$AN$8))</f>
        <v>52994.407</v>
      </c>
      <c r="I76" s="58" t="n">
        <f aca="false">Project_Register!$Q$8*I74*(1-Project_Register!$R$8*(Assumptions!I$96&gt;=Project_Register!$AK$8+1)-(1-Project_Register!$R$8)*(Assumptions!I$96&gt;=Project_Register!$AN$8))</f>
        <v>27725</v>
      </c>
      <c r="J76" s="58" t="n">
        <f aca="false">Project_Register!$Q$8*J74*(1-Project_Register!$R$8*(Assumptions!J$96&gt;=Project_Register!$AK$8+1)-(1-Project_Register!$R$8)*(Assumptions!J$96&gt;=Project_Register!$AN$8))</f>
        <v>27725</v>
      </c>
      <c r="K76" s="58" t="n">
        <f aca="false">Project_Register!$Q$8*K74*(1-Project_Register!$R$8*(Assumptions!K$96&gt;=Project_Register!$AK$8+1)-(1-Project_Register!$R$8)*(Assumptions!K$96&gt;=Project_Register!$AN$8))</f>
        <v>27725</v>
      </c>
      <c r="L76" s="58" t="n">
        <f aca="false">Project_Register!$Q$8*L74*(1-Project_Register!$R$8*(Assumptions!L$96&gt;=Project_Register!$AK$8+1)-(1-Project_Register!$R$8)*(Assumptions!L$96&gt;=Project_Register!$AN$8))</f>
        <v>27725</v>
      </c>
      <c r="M76" s="58" t="n">
        <f aca="false">Project_Register!$Q$8*M74*(1-Project_Register!$R$8*(Assumptions!M$96&gt;=Project_Register!$AK$8+1)-(1-Project_Register!$R$8)*(Assumptions!M$96&gt;=Project_Register!$AN$8))</f>
        <v>27725</v>
      </c>
      <c r="N76" s="58" t="n">
        <f aca="false">Project_Register!$Q$8*N74*(1-Project_Register!$R$8*(Assumptions!N$96&gt;=Project_Register!$AK$8+1)-(1-Project_Register!$R$8)*(Assumptions!N$96&gt;=Project_Register!$AN$8))</f>
        <v>27725</v>
      </c>
      <c r="O76" s="58" t="n">
        <f aca="false">Project_Register!$Q$8*O74*(1-Project_Register!$R$8*(Assumptions!O$96&gt;=Project_Register!$AK$8+1)-(1-Project_Register!$R$8)*(Assumptions!O$96&gt;=Project_Register!$AN$8))</f>
        <v>27725</v>
      </c>
      <c r="P76" s="58" t="n">
        <f aca="false">Project_Register!$Q$8*P74*(1-Project_Register!$R$8*(Assumptions!P$96&gt;=Project_Register!$AK$8+1)-(1-Project_Register!$R$8)*(Assumptions!P$96&gt;=Project_Register!$AN$8))</f>
        <v>27725</v>
      </c>
      <c r="Q76" s="58" t="n">
        <f aca="false">Project_Register!$Q$8*Q74*(1-Project_Register!$R$8*(Assumptions!Q$96&gt;=Project_Register!$AK$8+1)-(1-Project_Register!$R$8)*(Assumptions!Q$96&gt;=Project_Register!$AN$8))</f>
        <v>27725</v>
      </c>
      <c r="R76" s="58" t="n">
        <f aca="false">Project_Register!$Q$8*R74*(1-Project_Register!$R$8*(Assumptions!R$96&gt;=Project_Register!$AK$8+1)-(1-Project_Register!$R$8)*(Assumptions!R$96&gt;=Project_Register!$AN$8))</f>
        <v>27725</v>
      </c>
      <c r="S76" s="58" t="n">
        <f aca="false">Project_Register!$Q$8*S74*(1-Project_Register!$R$8*(Assumptions!S$96&gt;=Project_Register!$AK$8+1)-(1-Project_Register!$R$8)*(Assumptions!S$96&gt;=Project_Register!$AN$8))</f>
        <v>27725</v>
      </c>
      <c r="T76" s="58" t="n">
        <f aca="false">Project_Register!$Q$8*T74*(1-Project_Register!$R$8*(Assumptions!T$96&gt;=Project_Register!$AK$8+1)-(1-Project_Register!$R$8)*(Assumptions!T$96&gt;=Project_Register!$AN$8))</f>
        <v>27725</v>
      </c>
      <c r="U76" s="58" t="n">
        <f aca="false">Project_Register!$Q$8*U74*(1-Project_Register!$R$8*(Assumptions!U$96&gt;=Project_Register!$AK$8+1)-(1-Project_Register!$R$8)*(Assumptions!U$96&gt;=Project_Register!$AN$8))</f>
        <v>0</v>
      </c>
      <c r="V76" s="58" t="n">
        <f aca="false">Project_Register!$Q$8*V74*(1-Project_Register!$R$8*(Assumptions!V$96&gt;=Project_Register!$AK$8+1)-(1-Project_Register!$R$8)*(Assumptions!V$96&gt;=Project_Register!$AN$8))</f>
        <v>0</v>
      </c>
      <c r="W76" s="58" t="n">
        <f aca="false">Project_Register!$Q$8*W74*(1-Project_Register!$R$8*(Assumptions!W$96&gt;=Project_Register!$AK$8+1)-(1-Project_Register!$R$8)*(Assumptions!W$96&gt;=Project_Register!$AN$8))</f>
        <v>0</v>
      </c>
      <c r="X76" s="58" t="n">
        <f aca="false">Project_Register!$Q$8*X74*(1-Project_Register!$R$8*(Assumptions!X$96&gt;=Project_Register!$AK$8+1)-(1-Project_Register!$R$8)*(Assumptions!X$96&gt;=Project_Register!$AN$8))</f>
        <v>0</v>
      </c>
      <c r="Y76" s="58" t="n">
        <f aca="false">Project_Register!$Q$8*Y74*(1-Project_Register!$R$8*(Assumptions!Y$96&gt;=Project_Register!$AK$8+1)-(1-Project_Register!$R$8)*(Assumptions!Y$96&gt;=Project_Register!$AN$8))</f>
        <v>0</v>
      </c>
      <c r="Z76" s="58" t="n">
        <f aca="false">Project_Register!$Q$8*Z74*(1-Project_Register!$R$8*(Assumptions!Z$96&gt;=Project_Register!$AK$8+1)-(1-Project_Register!$R$8)*(Assumptions!Z$96&gt;=Project_Register!$AN$8))</f>
        <v>0</v>
      </c>
      <c r="AA76" s="58" t="n">
        <f aca="false">Project_Register!$Q$8*AA74*(1-Project_Register!$R$8*(Assumptions!AA$96&gt;=Project_Register!$AK$8+1)-(1-Project_Register!$R$8)*(Assumptions!AA$96&gt;=Project_Register!$AN$8))</f>
        <v>0</v>
      </c>
      <c r="AB76" s="58" t="n">
        <f aca="false">Project_Register!$Q$8*AB74*(1-Project_Register!$R$8*(Assumptions!AB$96&gt;=Project_Register!$AK$8+1)-(1-Project_Register!$R$8)*(Assumptions!AB$96&gt;=Project_Register!$AN$8))</f>
        <v>0</v>
      </c>
    </row>
    <row r="77" customFormat="false" ht="15" hidden="false" customHeight="false" outlineLevel="0" collapsed="false">
      <c r="A77" s="27" t="s">
        <v>756</v>
      </c>
      <c r="B77" s="56"/>
      <c r="C77" s="57" t="n">
        <f aca="false">SUM(E77:P77)</f>
        <v>11137.9065</v>
      </c>
      <c r="D77" s="57" t="n">
        <f aca="false">SUM(Q77:AB77)</f>
        <v>-27725</v>
      </c>
      <c r="E77" s="58" t="n">
        <f aca="false">E76-Project_Register!$AW$8</f>
        <v>9454.0295</v>
      </c>
      <c r="F77" s="70" t="n">
        <f aca="false">F76-E76</f>
        <v>12349.9785</v>
      </c>
      <c r="G77" s="70" t="n">
        <f aca="false">G76-F76</f>
        <v>8839.474</v>
      </c>
      <c r="H77" s="70" t="n">
        <f aca="false">H76-G76</f>
        <v>5763.8315</v>
      </c>
      <c r="I77" s="70" t="n">
        <f aca="false">I76-H76</f>
        <v>-25269.407</v>
      </c>
      <c r="J77" s="70" t="n">
        <f aca="false">J76-I76</f>
        <v>0</v>
      </c>
      <c r="K77" s="70" t="n">
        <f aca="false">K76-J76</f>
        <v>0</v>
      </c>
      <c r="L77" s="70" t="n">
        <f aca="false">L76-K76</f>
        <v>0</v>
      </c>
      <c r="M77" s="70" t="n">
        <f aca="false">M76-L76</f>
        <v>0</v>
      </c>
      <c r="N77" s="70" t="n">
        <f aca="false">N76-M76</f>
        <v>0</v>
      </c>
      <c r="O77" s="70" t="n">
        <f aca="false">O76-N76</f>
        <v>0</v>
      </c>
      <c r="P77" s="70" t="n">
        <f aca="false">P76-O76</f>
        <v>0</v>
      </c>
      <c r="Q77" s="70" t="n">
        <f aca="false">Q76-P76</f>
        <v>0</v>
      </c>
      <c r="R77" s="70" t="n">
        <f aca="false">R76-Q76</f>
        <v>0</v>
      </c>
      <c r="S77" s="70" t="n">
        <f aca="false">S76-R76</f>
        <v>0</v>
      </c>
      <c r="T77" s="70" t="n">
        <f aca="false">T76-S76</f>
        <v>0</v>
      </c>
      <c r="U77" s="70" t="n">
        <f aca="false">U76-T76</f>
        <v>-27725</v>
      </c>
      <c r="V77" s="70" t="n">
        <f aca="false">V76-U76</f>
        <v>0</v>
      </c>
      <c r="W77" s="70" t="n">
        <f aca="false">W76-V76</f>
        <v>0</v>
      </c>
      <c r="X77" s="70" t="n">
        <f aca="false">X76-W76</f>
        <v>0</v>
      </c>
      <c r="Y77" s="70" t="n">
        <f aca="false">Y76-X76</f>
        <v>0</v>
      </c>
      <c r="Z77" s="70" t="n">
        <f aca="false">Z76-Y76</f>
        <v>0</v>
      </c>
      <c r="AA77" s="70" t="n">
        <f aca="false">AA76-Z76</f>
        <v>0</v>
      </c>
      <c r="AB77" s="70" t="n">
        <f aca="false">AB76-AA76</f>
        <v>0</v>
      </c>
    </row>
    <row r="78" customFormat="false" ht="15" hidden="false" customHeight="false" outlineLevel="0" collapsed="false">
      <c r="A78" s="27" t="s">
        <v>757</v>
      </c>
      <c r="B78" s="56"/>
      <c r="C78" s="57" t="n">
        <f aca="false">SUM(E78:P78)</f>
        <v>766120.2235</v>
      </c>
      <c r="D78" s="57" t="n">
        <f aca="false">SUM(Q78:AB78)</f>
        <v>27725</v>
      </c>
      <c r="E78" s="70" t="n">
        <f aca="false">E75-E77</f>
        <v>179626.5605</v>
      </c>
      <c r="F78" s="70" t="n">
        <f aca="false">F75-F77</f>
        <v>234649.5915</v>
      </c>
      <c r="G78" s="70" t="n">
        <f aca="false">G75-G77</f>
        <v>167950.006</v>
      </c>
      <c r="H78" s="70" t="n">
        <f aca="false">H75-H77</f>
        <v>109512.7985</v>
      </c>
      <c r="I78" s="70" t="n">
        <f aca="false">I75-I77</f>
        <v>74381.2670000001</v>
      </c>
      <c r="J78" s="70" t="n">
        <f aca="false">J75-J77</f>
        <v>0</v>
      </c>
      <c r="K78" s="70" t="n">
        <f aca="false">K75-K77</f>
        <v>0</v>
      </c>
      <c r="L78" s="70" t="n">
        <f aca="false">L75-L77</f>
        <v>0</v>
      </c>
      <c r="M78" s="70" t="n">
        <f aca="false">M75-M77</f>
        <v>0</v>
      </c>
      <c r="N78" s="70" t="n">
        <f aca="false">N75-N77</f>
        <v>0</v>
      </c>
      <c r="O78" s="70" t="n">
        <f aca="false">O75-O77</f>
        <v>0</v>
      </c>
      <c r="P78" s="70" t="n">
        <f aca="false">P75-P77</f>
        <v>0</v>
      </c>
      <c r="Q78" s="70" t="n">
        <f aca="false">Q75-Q77</f>
        <v>0</v>
      </c>
      <c r="R78" s="70" t="n">
        <f aca="false">R75-R77</f>
        <v>0</v>
      </c>
      <c r="S78" s="70" t="n">
        <f aca="false">S75-S77</f>
        <v>0</v>
      </c>
      <c r="T78" s="70" t="n">
        <f aca="false">T75-T77</f>
        <v>0</v>
      </c>
      <c r="U78" s="70" t="n">
        <f aca="false">U75-U77</f>
        <v>27725</v>
      </c>
      <c r="V78" s="70" t="n">
        <f aca="false">V75-V77</f>
        <v>0</v>
      </c>
      <c r="W78" s="70" t="n">
        <f aca="false">W75-W77</f>
        <v>0</v>
      </c>
      <c r="X78" s="70" t="n">
        <f aca="false">X75-X77</f>
        <v>0</v>
      </c>
      <c r="Y78" s="70" t="n">
        <f aca="false">Y75-Y77</f>
        <v>0</v>
      </c>
      <c r="Z78" s="70" t="n">
        <f aca="false">Z75-Z77</f>
        <v>0</v>
      </c>
      <c r="AA78" s="70" t="n">
        <f aca="false">AA75-AA77</f>
        <v>0</v>
      </c>
      <c r="AB78" s="70" t="n">
        <f aca="false">AB75-AB77</f>
        <v>0</v>
      </c>
    </row>
    <row r="79" customFormat="false" ht="15" hidden="false" customHeight="false" outlineLevel="0" collapsed="false">
      <c r="A79" s="27" t="s">
        <v>758</v>
      </c>
      <c r="B79" s="56" t="s">
        <v>759</v>
      </c>
      <c r="C79" s="57" t="n">
        <f aca="false">SUM(E79:P79)</f>
        <v>0</v>
      </c>
      <c r="D79" s="57" t="n">
        <f aca="false">SUM(Q79:AB79)</f>
        <v>0</v>
      </c>
      <c r="E79" s="58" t="n">
        <f aca="false">E78*Project_Register!$W$8</f>
        <v>0</v>
      </c>
      <c r="F79" s="58" t="n">
        <f aca="false">F78*Project_Register!$W$8</f>
        <v>0</v>
      </c>
      <c r="G79" s="58" t="n">
        <f aca="false">G78*Project_Register!$W$8</f>
        <v>0</v>
      </c>
      <c r="H79" s="58" t="n">
        <f aca="false">H78*Project_Register!$W$8</f>
        <v>0</v>
      </c>
      <c r="I79" s="58" t="n">
        <f aca="false">I78*Project_Register!$W$8</f>
        <v>0</v>
      </c>
      <c r="J79" s="58" t="n">
        <f aca="false">J78*Project_Register!$W$8</f>
        <v>0</v>
      </c>
      <c r="K79" s="58" t="n">
        <f aca="false">K78*Project_Register!$W$8</f>
        <v>0</v>
      </c>
      <c r="L79" s="58" t="n">
        <f aca="false">L78*Project_Register!$W$8</f>
        <v>0</v>
      </c>
      <c r="M79" s="58" t="n">
        <f aca="false">M78*Project_Register!$W$8</f>
        <v>0</v>
      </c>
      <c r="N79" s="58" t="n">
        <f aca="false">N78*Project_Register!$W$8</f>
        <v>0</v>
      </c>
      <c r="O79" s="58" t="n">
        <f aca="false">O78*Project_Register!$W$8</f>
        <v>0</v>
      </c>
      <c r="P79" s="58" t="n">
        <f aca="false">P78*Project_Register!$W$8</f>
        <v>0</v>
      </c>
      <c r="Q79" s="58" t="n">
        <f aca="false">Q78*Project_Register!$W$8</f>
        <v>0</v>
      </c>
      <c r="R79" s="58" t="n">
        <f aca="false">R78*Project_Register!$W$8</f>
        <v>0</v>
      </c>
      <c r="S79" s="58" t="n">
        <f aca="false">S78*Project_Register!$W$8</f>
        <v>0</v>
      </c>
      <c r="T79" s="58" t="n">
        <f aca="false">T78*Project_Register!$W$8</f>
        <v>0</v>
      </c>
      <c r="U79" s="58" t="n">
        <f aca="false">U78*Project_Register!$W$8</f>
        <v>0</v>
      </c>
      <c r="V79" s="58" t="n">
        <f aca="false">V78*Project_Register!$W$8</f>
        <v>0</v>
      </c>
      <c r="W79" s="58" t="n">
        <f aca="false">W78*Project_Register!$W$8</f>
        <v>0</v>
      </c>
      <c r="X79" s="58" t="n">
        <f aca="false">X78*Project_Register!$W$8</f>
        <v>0</v>
      </c>
      <c r="Y79" s="58" t="n">
        <f aca="false">Y78*Project_Register!$W$8</f>
        <v>0</v>
      </c>
      <c r="Z79" s="58" t="n">
        <f aca="false">Z78*Project_Register!$W$8</f>
        <v>0</v>
      </c>
      <c r="AA79" s="58" t="n">
        <f aca="false">AA78*Project_Register!$W$8</f>
        <v>0</v>
      </c>
      <c r="AB79" s="58" t="n">
        <f aca="false">AB78*Project_Register!$W$8</f>
        <v>0</v>
      </c>
    </row>
    <row r="80" customFormat="false" ht="15" hidden="false" customHeight="false" outlineLevel="0" collapsed="false">
      <c r="A80" s="27" t="s">
        <v>760</v>
      </c>
      <c r="B80" s="56"/>
      <c r="C80" s="57" t="n">
        <f aca="false">SUM(E80:P80)</f>
        <v>766120.2235</v>
      </c>
      <c r="D80" s="57" t="n">
        <f aca="false">SUM(Q80:AB80)</f>
        <v>27725</v>
      </c>
      <c r="E80" s="70" t="n">
        <f aca="false">E78+E79</f>
        <v>179626.5605</v>
      </c>
      <c r="F80" s="70" t="n">
        <f aca="false">F78+F79</f>
        <v>234649.5915</v>
      </c>
      <c r="G80" s="70" t="n">
        <f aca="false">G78+G79</f>
        <v>167950.006</v>
      </c>
      <c r="H80" s="70" t="n">
        <f aca="false">H78+H79</f>
        <v>109512.7985</v>
      </c>
      <c r="I80" s="70" t="n">
        <f aca="false">I78+I79</f>
        <v>74381.2670000001</v>
      </c>
      <c r="J80" s="70" t="n">
        <f aca="false">J78+J79</f>
        <v>0</v>
      </c>
      <c r="K80" s="70" t="n">
        <f aca="false">K78+K79</f>
        <v>0</v>
      </c>
      <c r="L80" s="70" t="n">
        <f aca="false">L78+L79</f>
        <v>0</v>
      </c>
      <c r="M80" s="70" t="n">
        <f aca="false">M78+M79</f>
        <v>0</v>
      </c>
      <c r="N80" s="70" t="n">
        <f aca="false">N78+N79</f>
        <v>0</v>
      </c>
      <c r="O80" s="70" t="n">
        <f aca="false">O78+O79</f>
        <v>0</v>
      </c>
      <c r="P80" s="70" t="n">
        <f aca="false">P78+P79</f>
        <v>0</v>
      </c>
      <c r="Q80" s="70" t="n">
        <f aca="false">Q78+Q79</f>
        <v>0</v>
      </c>
      <c r="R80" s="70" t="n">
        <f aca="false">R78+R79</f>
        <v>0</v>
      </c>
      <c r="S80" s="70" t="n">
        <f aca="false">S78+S79</f>
        <v>0</v>
      </c>
      <c r="T80" s="70" t="n">
        <f aca="false">T78+T79</f>
        <v>0</v>
      </c>
      <c r="U80" s="70" t="n">
        <f aca="false">U78+U79</f>
        <v>27725</v>
      </c>
      <c r="V80" s="70" t="n">
        <f aca="false">V78+V79</f>
        <v>0</v>
      </c>
      <c r="W80" s="70" t="n">
        <f aca="false">W78+W79</f>
        <v>0</v>
      </c>
      <c r="X80" s="70" t="n">
        <f aca="false">X78+X79</f>
        <v>0</v>
      </c>
      <c r="Y80" s="70" t="n">
        <f aca="false">Y78+Y79</f>
        <v>0</v>
      </c>
      <c r="Z80" s="70" t="n">
        <f aca="false">Z78+Z79</f>
        <v>0</v>
      </c>
      <c r="AA80" s="70" t="n">
        <f aca="false">AA78+AA79</f>
        <v>0</v>
      </c>
      <c r="AB80" s="70" t="n">
        <f aca="false">AB78+AB79</f>
        <v>0</v>
      </c>
    </row>
    <row r="81" customFormat="false" ht="15" hidden="false" customHeight="false" outlineLevel="0" collapsed="false">
      <c r="A81" s="27" t="s">
        <v>761</v>
      </c>
      <c r="B81" s="56" t="s">
        <v>762</v>
      </c>
      <c r="C81" s="57" t="n">
        <f aca="false">SUM(E81:P81)</f>
        <v>922317.4335</v>
      </c>
      <c r="D81" s="57" t="n">
        <f aca="false">SUM(Q81:AB81)</f>
        <v>27725</v>
      </c>
      <c r="E81" s="58" t="n">
        <f aca="false">IF(E$5="A",Inputs_Actuals!E26,Project_Register!$AF$8+E80-(E80*MIN(1,Project_Register!$AY$8/30)+0*MIN(1,MAX(0,(Project_Register!$AY$8-30)/30))))</f>
        <v>144766.1</v>
      </c>
      <c r="F81" s="58" t="n">
        <f aca="false">IF(F$5="A",Inputs_Actuals!F26,E82+F80-(F80*MIN(1,Project_Register!$AY$8/30)+E80*MIN(1,MAX(0,(Project_Register!$AY$8-30)/30))))</f>
        <v>163070.87</v>
      </c>
      <c r="G81" s="58" t="n">
        <f aca="false">IF(G$5="A",Inputs_Actuals!G26,F82+G80-(G80*MIN(1,Project_Register!$AY$8/30)+F80*MIN(1,MAX(0,(Project_Register!$AY$8-30)/30))))</f>
        <v>253854.78</v>
      </c>
      <c r="H81" s="58" t="n">
        <f aca="false">IF(H$5="A",Inputs_Actuals!H26,G82+H80-(H80*MIN(1,Project_Register!$AY$8/30)+G80*MIN(1,MAX(0,(Project_Register!$AY$8-30)/30))))</f>
        <v>178666.93</v>
      </c>
      <c r="I81" s="58" t="n">
        <f aca="false">IF(I$5="A",Inputs_Actuals!I26,H82+I80-(I80*MIN(1,Project_Register!$AY$8/30)+H80*MIN(1,MAX(0,(Project_Register!$AY$8-30)/30))))</f>
        <v>112812.06</v>
      </c>
      <c r="J81" s="58" t="n">
        <f aca="false">IF(J$5="A",Inputs_Actuals!J26,I82+J80-(J80*MIN(1,Project_Register!$AY$8/30)+I80*MIN(1,MAX(0,(Project_Register!$AY$8-30)/30))))</f>
        <v>69146.69</v>
      </c>
      <c r="K81" s="58" t="n">
        <f aca="false">IF(K$5="A",Inputs_Actuals!K26,J82+K80-(K80*MIN(1,Project_Register!$AY$8/30)+J80*MIN(1,MAX(0,(Project_Register!$AY$8-30)/30))))</f>
        <v>0</v>
      </c>
      <c r="L81" s="58" t="n">
        <f aca="false">IF(L$5="A",Inputs_Actuals!L26,K82+L80-(L80*MIN(1,Project_Register!$AY$8/30)+K80*MIN(1,MAX(0,(Project_Register!$AY$8-30)/30))))</f>
        <v>0</v>
      </c>
      <c r="M81" s="58" t="n">
        <f aca="false">IF(M$5="A",Inputs_Actuals!M26,L82+M80-(M80*MIN(1,Project_Register!$AY$8/30)+L80*MIN(1,MAX(0,(Project_Register!$AY$8-30)/30))))</f>
        <v>0.0035000002826564</v>
      </c>
      <c r="N81" s="58" t="n">
        <f aca="false">IF(N$5="A",Inputs_Actuals!N26,M82+N80-(N80*MIN(1,Project_Register!$AY$8/30)+M80*MIN(1,MAX(0,(Project_Register!$AY$8-30)/30))))</f>
        <v>0</v>
      </c>
      <c r="O81" s="58" t="n">
        <f aca="false">IF(O$5="A",Inputs_Actuals!O26,N82+O80-(O80*MIN(1,Project_Register!$AY$8/30)+N80*MIN(1,MAX(0,(Project_Register!$AY$8-30)/30))))</f>
        <v>0</v>
      </c>
      <c r="P81" s="58" t="n">
        <f aca="false">IF(P$5="A",Inputs_Actuals!P26,O82+P80-(P80*MIN(1,Project_Register!$AY$8/30)+O80*MIN(1,MAX(0,(Project_Register!$AY$8-30)/30))))</f>
        <v>0</v>
      </c>
      <c r="Q81" s="58" t="n">
        <f aca="false">IF(Q$5="A",Inputs_Actuals!Q26,P82+Q80-(Q80*MIN(1,Project_Register!$AY$8/30)+P80*MIN(1,MAX(0,(Project_Register!$AY$8-30)/30))))</f>
        <v>0</v>
      </c>
      <c r="R81" s="58" t="n">
        <f aca="false">IF(R$5="A",Inputs_Actuals!R26,Q82+R80-(R80*MIN(1,Project_Register!$AY$8/30)+Q80*MIN(1,MAX(0,(Project_Register!$AY$8-30)/30))))</f>
        <v>0</v>
      </c>
      <c r="S81" s="58" t="n">
        <f aca="false">IF(S$5="A",Inputs_Actuals!S26,R82+S80-(S80*MIN(1,Project_Register!$AY$8/30)+R80*MIN(1,MAX(0,(Project_Register!$AY$8-30)/30))))</f>
        <v>0</v>
      </c>
      <c r="T81" s="58" t="n">
        <f aca="false">IF(T$5="A",Inputs_Actuals!T26,S82+T80-(T80*MIN(1,Project_Register!$AY$8/30)+S80*MIN(1,MAX(0,(Project_Register!$AY$8-30)/30))))</f>
        <v>0</v>
      </c>
      <c r="U81" s="58" t="n">
        <f aca="false">IF(U$5="A",Inputs_Actuals!U26,T82+U80-(U80*MIN(1,Project_Register!$AY$8/30)+T80*MIN(1,MAX(0,(Project_Register!$AY$8-30)/30))))</f>
        <v>0</v>
      </c>
      <c r="V81" s="58" t="n">
        <f aca="false">IF(V$5="A",Inputs_Actuals!V26,U82+V80-(V80*MIN(1,Project_Register!$AY$8/30)+U80*MIN(1,MAX(0,(Project_Register!$AY$8-30)/30))))</f>
        <v>27725</v>
      </c>
      <c r="W81" s="58" t="n">
        <f aca="false">IF(W$5="A",Inputs_Actuals!W26,V82+W80-(W80*MIN(1,Project_Register!$AY$8/30)+V80*MIN(1,MAX(0,(Project_Register!$AY$8-30)/30))))</f>
        <v>0</v>
      </c>
      <c r="X81" s="58" t="n">
        <f aca="false">IF(X$5="A",Inputs_Actuals!X26,W82+X80-(X80*MIN(1,Project_Register!$AY$8/30)+W80*MIN(1,MAX(0,(Project_Register!$AY$8-30)/30))))</f>
        <v>0</v>
      </c>
      <c r="Y81" s="58" t="n">
        <f aca="false">IF(Y$5="A",Inputs_Actuals!Y26,X82+Y80-(Y80*MIN(1,Project_Register!$AY$8/30)+X80*MIN(1,MAX(0,(Project_Register!$AY$8-30)/30))))</f>
        <v>0</v>
      </c>
      <c r="Z81" s="58" t="n">
        <f aca="false">IF(Z$5="A",Inputs_Actuals!Z26,Y82+Z80-(Z80*MIN(1,Project_Register!$AY$8/30)+Y80*MIN(1,MAX(0,(Project_Register!$AY$8-30)/30))))</f>
        <v>0</v>
      </c>
      <c r="AA81" s="58" t="n">
        <f aca="false">IF(AA$5="A",Inputs_Actuals!AA26,Z82+AA80-(AA80*MIN(1,Project_Register!$AY$8/30)+Z80*MIN(1,MAX(0,(Project_Register!$AY$8-30)/30))))</f>
        <v>0</v>
      </c>
      <c r="AB81" s="58" t="n">
        <f aca="false">IF(AB$5="A",Inputs_Actuals!AB26,AA82+AB80-(AB80*MIN(1,Project_Register!$AY$8/30)+AA80*MIN(1,MAX(0,(Project_Register!$AY$8-30)/30))))</f>
        <v>0</v>
      </c>
    </row>
    <row r="82" customFormat="false" ht="15" hidden="false" customHeight="false" outlineLevel="0" collapsed="false">
      <c r="A82" s="27" t="s">
        <v>763</v>
      </c>
      <c r="B82" s="56" t="s">
        <v>764</v>
      </c>
      <c r="C82" s="57" t="n">
        <f aca="false">P82</f>
        <v>0</v>
      </c>
      <c r="D82" s="57" t="n">
        <f aca="false">AB82</f>
        <v>0</v>
      </c>
      <c r="E82" s="58" t="n">
        <f aca="false">Project_Register!$AF$8+E80-E81</f>
        <v>191057.6705</v>
      </c>
      <c r="F82" s="70" t="n">
        <f aca="false">E82+F80-F81</f>
        <v>262636.392</v>
      </c>
      <c r="G82" s="70" t="n">
        <f aca="false">F82+G80-G81</f>
        <v>176731.618</v>
      </c>
      <c r="H82" s="70" t="n">
        <f aca="false">G82+H80-H81</f>
        <v>107577.4865</v>
      </c>
      <c r="I82" s="70" t="n">
        <f aca="false">H82+I80-I81</f>
        <v>69146.6935000003</v>
      </c>
      <c r="J82" s="70" t="n">
        <f aca="false">I82+J80-J81</f>
        <v>0.0035000002826564</v>
      </c>
      <c r="K82" s="70" t="n">
        <f aca="false">J82+K80-K81</f>
        <v>0.0035000002826564</v>
      </c>
      <c r="L82" s="70" t="n">
        <f aca="false">K82+L80-L81</f>
        <v>0.0035000002826564</v>
      </c>
      <c r="M82" s="70" t="n">
        <f aca="false">L82+M80-M81</f>
        <v>0</v>
      </c>
      <c r="N82" s="70" t="n">
        <f aca="false">M82+N80-N81</f>
        <v>0</v>
      </c>
      <c r="O82" s="70" t="n">
        <f aca="false">N82+O80-O81</f>
        <v>0</v>
      </c>
      <c r="P82" s="70" t="n">
        <f aca="false">O82+P80-P81</f>
        <v>0</v>
      </c>
      <c r="Q82" s="70" t="n">
        <f aca="false">P82+Q80-Q81</f>
        <v>0</v>
      </c>
      <c r="R82" s="70" t="n">
        <f aca="false">Q82+R80-R81</f>
        <v>0</v>
      </c>
      <c r="S82" s="70" t="n">
        <f aca="false">R82+S80-S81</f>
        <v>0</v>
      </c>
      <c r="T82" s="70" t="n">
        <f aca="false">S82+T80-T81</f>
        <v>0</v>
      </c>
      <c r="U82" s="70" t="n">
        <f aca="false">T82+U80-U81</f>
        <v>27725</v>
      </c>
      <c r="V82" s="70" t="n">
        <f aca="false">U82+V80-V81</f>
        <v>0</v>
      </c>
      <c r="W82" s="70" t="n">
        <f aca="false">V82+W80-W81</f>
        <v>0</v>
      </c>
      <c r="X82" s="70" t="n">
        <f aca="false">W82+X80-X81</f>
        <v>0</v>
      </c>
      <c r="Y82" s="70" t="n">
        <f aca="false">X82+Y80-Y81</f>
        <v>0</v>
      </c>
      <c r="Z82" s="70" t="n">
        <f aca="false">Y82+Z80-Z81</f>
        <v>0</v>
      </c>
      <c r="AA82" s="70" t="n">
        <f aca="false">Z82+AA80-AA81</f>
        <v>0</v>
      </c>
      <c r="AB82" s="70" t="n">
        <f aca="false">AA82+AB80-AB81</f>
        <v>0</v>
      </c>
    </row>
    <row r="83" customFormat="false" ht="15" hidden="false" customHeight="false" outlineLevel="0" collapsed="false">
      <c r="A83" s="27" t="s">
        <v>765</v>
      </c>
      <c r="B83" s="56" t="s">
        <v>766</v>
      </c>
      <c r="C83" s="57" t="n">
        <f aca="false">P83</f>
        <v>0</v>
      </c>
      <c r="D83" s="57" t="n">
        <f aca="false">AB83</f>
        <v>0</v>
      </c>
      <c r="E83" s="70" t="n">
        <f aca="false">E68-E74</f>
        <v>240499.71</v>
      </c>
      <c r="F83" s="70" t="n">
        <f aca="false">F68-F74</f>
        <v>181604.54</v>
      </c>
      <c r="G83" s="70" t="n">
        <f aca="false">G68-G74</f>
        <v>110689.2</v>
      </c>
      <c r="H83" s="70" t="n">
        <f aca="false">H68-H74</f>
        <v>49111.8599999999</v>
      </c>
      <c r="I83" s="70" t="n">
        <f aca="false">I68-I74</f>
        <v>0</v>
      </c>
      <c r="J83" s="70" t="n">
        <f aca="false">J68-J74</f>
        <v>0</v>
      </c>
      <c r="K83" s="70" t="n">
        <f aca="false">K68-K74</f>
        <v>0</v>
      </c>
      <c r="L83" s="70" t="n">
        <f aca="false">L68-L74</f>
        <v>0</v>
      </c>
      <c r="M83" s="70" t="n">
        <f aca="false">M68-M74</f>
        <v>0</v>
      </c>
      <c r="N83" s="70" t="n">
        <f aca="false">N68-N74</f>
        <v>0</v>
      </c>
      <c r="O83" s="70" t="n">
        <f aca="false">O68-O74</f>
        <v>0</v>
      </c>
      <c r="P83" s="70" t="n">
        <f aca="false">P68-P74</f>
        <v>0</v>
      </c>
      <c r="Q83" s="70" t="n">
        <f aca="false">Q68-Q74</f>
        <v>0</v>
      </c>
      <c r="R83" s="70" t="n">
        <f aca="false">R68-R74</f>
        <v>0</v>
      </c>
      <c r="S83" s="70" t="n">
        <f aca="false">S68-S74</f>
        <v>0</v>
      </c>
      <c r="T83" s="70" t="n">
        <f aca="false">T68-T74</f>
        <v>0</v>
      </c>
      <c r="U83" s="70" t="n">
        <f aca="false">U68-U74</f>
        <v>0</v>
      </c>
      <c r="V83" s="70" t="n">
        <f aca="false">V68-V74</f>
        <v>0</v>
      </c>
      <c r="W83" s="70" t="n">
        <f aca="false">W68-W74</f>
        <v>0</v>
      </c>
      <c r="X83" s="70" t="n">
        <f aca="false">X68-X74</f>
        <v>0</v>
      </c>
      <c r="Y83" s="70" t="n">
        <f aca="false">Y68-Y74</f>
        <v>0</v>
      </c>
      <c r="Z83" s="70" t="n">
        <f aca="false">Z68-Z74</f>
        <v>0</v>
      </c>
      <c r="AA83" s="70" t="n">
        <f aca="false">AA68-AA74</f>
        <v>0</v>
      </c>
      <c r="AB83" s="70" t="n">
        <f aca="false">AB68-AB74</f>
        <v>0</v>
      </c>
    </row>
    <row r="84" customFormat="false" ht="15" hidden="false" customHeight="false" outlineLevel="0" collapsed="false">
      <c r="A84" s="27" t="s">
        <v>767</v>
      </c>
      <c r="B84" s="56"/>
      <c r="C84" s="57" t="n">
        <f aca="false">P84</f>
        <v>0</v>
      </c>
      <c r="D84" s="57" t="n">
        <f aca="false">AB84</f>
        <v>0</v>
      </c>
      <c r="E84" s="70" t="n">
        <f aca="false">MAX(0,E83)</f>
        <v>240499.71</v>
      </c>
      <c r="F84" s="70" t="n">
        <f aca="false">MAX(0,F83)</f>
        <v>181604.54</v>
      </c>
      <c r="G84" s="70" t="n">
        <f aca="false">MAX(0,G83)</f>
        <v>110689.2</v>
      </c>
      <c r="H84" s="70" t="n">
        <f aca="false">MAX(0,H83)</f>
        <v>49111.8599999999</v>
      </c>
      <c r="I84" s="70" t="n">
        <f aca="false">MAX(0,I83)</f>
        <v>0</v>
      </c>
      <c r="J84" s="70" t="n">
        <f aca="false">MAX(0,J83)</f>
        <v>0</v>
      </c>
      <c r="K84" s="70" t="n">
        <f aca="false">MAX(0,K83)</f>
        <v>0</v>
      </c>
      <c r="L84" s="70" t="n">
        <f aca="false">MAX(0,L83)</f>
        <v>0</v>
      </c>
      <c r="M84" s="70" t="n">
        <f aca="false">MAX(0,M83)</f>
        <v>0</v>
      </c>
      <c r="N84" s="70" t="n">
        <f aca="false">MAX(0,N83)</f>
        <v>0</v>
      </c>
      <c r="O84" s="70" t="n">
        <f aca="false">MAX(0,O83)</f>
        <v>0</v>
      </c>
      <c r="P84" s="70" t="n">
        <f aca="false">MAX(0,P83)</f>
        <v>0</v>
      </c>
      <c r="Q84" s="70" t="n">
        <f aca="false">MAX(0,Q83)</f>
        <v>0</v>
      </c>
      <c r="R84" s="70" t="n">
        <f aca="false">MAX(0,R83)</f>
        <v>0</v>
      </c>
      <c r="S84" s="70" t="n">
        <f aca="false">MAX(0,S83)</f>
        <v>0</v>
      </c>
      <c r="T84" s="70" t="n">
        <f aca="false">MAX(0,T83)</f>
        <v>0</v>
      </c>
      <c r="U84" s="70" t="n">
        <f aca="false">MAX(0,U83)</f>
        <v>0</v>
      </c>
      <c r="V84" s="70" t="n">
        <f aca="false">MAX(0,V83)</f>
        <v>0</v>
      </c>
      <c r="W84" s="70" t="n">
        <f aca="false">MAX(0,W83)</f>
        <v>0</v>
      </c>
      <c r="X84" s="70" t="n">
        <f aca="false">MAX(0,X83)</f>
        <v>0</v>
      </c>
      <c r="Y84" s="70" t="n">
        <f aca="false">MAX(0,Y83)</f>
        <v>0</v>
      </c>
      <c r="Z84" s="70" t="n">
        <f aca="false">MAX(0,Z83)</f>
        <v>0</v>
      </c>
      <c r="AA84" s="70" t="n">
        <f aca="false">MAX(0,AA83)</f>
        <v>0</v>
      </c>
      <c r="AB84" s="70" t="n">
        <f aca="false">MAX(0,AB83)</f>
        <v>0</v>
      </c>
    </row>
    <row r="85" customFormat="false" ht="15" hidden="false" customHeight="false" outlineLevel="0" collapsed="false">
      <c r="A85" s="27" t="s">
        <v>768</v>
      </c>
      <c r="B85" s="56"/>
      <c r="C85" s="57" t="n">
        <f aca="false">P85</f>
        <v>-0</v>
      </c>
      <c r="D85" s="57" t="n">
        <f aca="false">AB85</f>
        <v>-0</v>
      </c>
      <c r="E85" s="70" t="n">
        <f aca="false">MAX(0,-E83)</f>
        <v>0</v>
      </c>
      <c r="F85" s="70" t="n">
        <f aca="false">MAX(0,-F83)</f>
        <v>0</v>
      </c>
      <c r="G85" s="70" t="n">
        <f aca="false">MAX(0,-G83)</f>
        <v>0</v>
      </c>
      <c r="H85" s="70" t="n">
        <f aca="false">MAX(0,-H83)</f>
        <v>0</v>
      </c>
      <c r="I85" s="70" t="n">
        <f aca="false">MAX(0,-I83)</f>
        <v>-0</v>
      </c>
      <c r="J85" s="70" t="n">
        <f aca="false">MAX(0,-J83)</f>
        <v>-0</v>
      </c>
      <c r="K85" s="70" t="n">
        <f aca="false">MAX(0,-K83)</f>
        <v>-0</v>
      </c>
      <c r="L85" s="70" t="n">
        <f aca="false">MAX(0,-L83)</f>
        <v>-0</v>
      </c>
      <c r="M85" s="70" t="n">
        <f aca="false">MAX(0,-M83)</f>
        <v>-0</v>
      </c>
      <c r="N85" s="70" t="n">
        <f aca="false">MAX(0,-N83)</f>
        <v>-0</v>
      </c>
      <c r="O85" s="70" t="n">
        <f aca="false">MAX(0,-O83)</f>
        <v>-0</v>
      </c>
      <c r="P85" s="70" t="n">
        <f aca="false">MAX(0,-P83)</f>
        <v>-0</v>
      </c>
      <c r="Q85" s="70" t="n">
        <f aca="false">MAX(0,-Q83)</f>
        <v>-0</v>
      </c>
      <c r="R85" s="70" t="n">
        <f aca="false">MAX(0,-R83)</f>
        <v>-0</v>
      </c>
      <c r="S85" s="70" t="n">
        <f aca="false">MAX(0,-S83)</f>
        <v>-0</v>
      </c>
      <c r="T85" s="70" t="n">
        <f aca="false">MAX(0,-T83)</f>
        <v>-0</v>
      </c>
      <c r="U85" s="70" t="n">
        <f aca="false">MAX(0,-U83)</f>
        <v>-0</v>
      </c>
      <c r="V85" s="70" t="n">
        <f aca="false">MAX(0,-V83)</f>
        <v>-0</v>
      </c>
      <c r="W85" s="70" t="n">
        <f aca="false">MAX(0,-W83)</f>
        <v>-0</v>
      </c>
      <c r="X85" s="70" t="n">
        <f aca="false">MAX(0,-X83)</f>
        <v>-0</v>
      </c>
      <c r="Y85" s="70" t="n">
        <f aca="false">MAX(0,-Y83)</f>
        <v>-0</v>
      </c>
      <c r="Z85" s="70" t="n">
        <f aca="false">MAX(0,-Z83)</f>
        <v>-0</v>
      </c>
      <c r="AA85" s="70" t="n">
        <f aca="false">MAX(0,-AA83)</f>
        <v>-0</v>
      </c>
      <c r="AB85" s="70" t="n">
        <f aca="false">MAX(0,-AB83)</f>
        <v>-0</v>
      </c>
    </row>
    <row r="86" customFormat="false" ht="15" hidden="false" customHeight="false" outlineLevel="0" collapsed="false">
      <c r="A86" s="27" t="s">
        <v>769</v>
      </c>
      <c r="B86" s="56"/>
      <c r="C86" s="57" t="n">
        <f aca="false">P86</f>
        <v>524059.38</v>
      </c>
      <c r="D86" s="57" t="n">
        <f aca="false">AB86</f>
        <v>524059.38</v>
      </c>
      <c r="E86" s="58" t="n">
        <f aca="false">Project_Register!$AG$8+E56</f>
        <v>368586.6</v>
      </c>
      <c r="F86" s="70" t="n">
        <f aca="false">E86+F56</f>
        <v>455570.15</v>
      </c>
      <c r="G86" s="70" t="n">
        <f aca="false">F86+G56</f>
        <v>501565.16</v>
      </c>
      <c r="H86" s="70" t="n">
        <f aca="false">G86+H56</f>
        <v>524059.38</v>
      </c>
      <c r="I86" s="70" t="n">
        <f aca="false">H86+I56</f>
        <v>524059.38</v>
      </c>
      <c r="J86" s="70" t="n">
        <f aca="false">I86+J56</f>
        <v>524059.38</v>
      </c>
      <c r="K86" s="70" t="n">
        <f aca="false">J86+K56</f>
        <v>524059.38</v>
      </c>
      <c r="L86" s="70" t="n">
        <f aca="false">K86+L56</f>
        <v>524059.38</v>
      </c>
      <c r="M86" s="70" t="n">
        <f aca="false">L86+M56</f>
        <v>524059.38</v>
      </c>
      <c r="N86" s="70" t="n">
        <f aca="false">M86+N56</f>
        <v>524059.38</v>
      </c>
      <c r="O86" s="70" t="n">
        <f aca="false">N86+O56</f>
        <v>524059.38</v>
      </c>
      <c r="P86" s="70" t="n">
        <f aca="false">O86+P56</f>
        <v>524059.38</v>
      </c>
      <c r="Q86" s="70" t="n">
        <f aca="false">P86+Q56</f>
        <v>524059.38</v>
      </c>
      <c r="R86" s="70" t="n">
        <f aca="false">Q86+R56</f>
        <v>524059.38</v>
      </c>
      <c r="S86" s="70" t="n">
        <f aca="false">R86+S56</f>
        <v>524059.38</v>
      </c>
      <c r="T86" s="70" t="n">
        <f aca="false">S86+T56</f>
        <v>524059.38</v>
      </c>
      <c r="U86" s="70" t="n">
        <f aca="false">T86+U56</f>
        <v>524059.38</v>
      </c>
      <c r="V86" s="70" t="n">
        <f aca="false">U86+V56</f>
        <v>524059.38</v>
      </c>
      <c r="W86" s="70" t="n">
        <f aca="false">V86+W56</f>
        <v>524059.38</v>
      </c>
      <c r="X86" s="70" t="n">
        <f aca="false">W86+X56</f>
        <v>524059.38</v>
      </c>
      <c r="Y86" s="70" t="n">
        <f aca="false">X86+Y56</f>
        <v>524059.38</v>
      </c>
      <c r="Z86" s="70" t="n">
        <f aca="false">Y86+Z56</f>
        <v>524059.38</v>
      </c>
      <c r="AA86" s="70" t="n">
        <f aca="false">Z86+AA56</f>
        <v>524059.38</v>
      </c>
      <c r="AB86" s="70" t="n">
        <f aca="false">AA86+AB56</f>
        <v>524059.38</v>
      </c>
    </row>
    <row r="87" customFormat="false" ht="15" hidden="false" customHeight="false" outlineLevel="0" collapsed="false">
      <c r="A87" s="27" t="s">
        <v>770</v>
      </c>
      <c r="B87" s="56"/>
      <c r="C87" s="57" t="n">
        <f aca="false">P87</f>
        <v>13101.4845</v>
      </c>
      <c r="D87" s="57" t="n">
        <f aca="false">AB87</f>
        <v>0</v>
      </c>
      <c r="E87" s="58" t="n">
        <f aca="false">Project_Register!$U$8*E86*(1-Project_Register!$R$8*(Assumptions!E$96&gt;=Project_Register!$AK$8+1)-(1-Project_Register!$R$8)*(Assumptions!E$96&gt;=Project_Register!$AN$8))</f>
        <v>18429.33</v>
      </c>
      <c r="F87" s="58" t="n">
        <f aca="false">Project_Register!$U$8*F86*(1-Project_Register!$R$8*(Assumptions!F$96&gt;=Project_Register!$AK$8+1)-(1-Project_Register!$R$8)*(Assumptions!F$96&gt;=Project_Register!$AN$8))</f>
        <v>22778.5075</v>
      </c>
      <c r="G87" s="58" t="n">
        <f aca="false">Project_Register!$U$8*G86*(1-Project_Register!$R$8*(Assumptions!G$96&gt;=Project_Register!$AK$8+1)-(1-Project_Register!$R$8)*(Assumptions!G$96&gt;=Project_Register!$AN$8))</f>
        <v>25078.258</v>
      </c>
      <c r="H87" s="58" t="n">
        <f aca="false">Project_Register!$U$8*H86*(1-Project_Register!$R$8*(Assumptions!H$96&gt;=Project_Register!$AK$8+1)-(1-Project_Register!$R$8)*(Assumptions!H$96&gt;=Project_Register!$AN$8))</f>
        <v>26202.969</v>
      </c>
      <c r="I87" s="58" t="n">
        <f aca="false">Project_Register!$U$8*I86*(1-Project_Register!$R$8*(Assumptions!I$96&gt;=Project_Register!$AK$8+1)-(1-Project_Register!$R$8)*(Assumptions!I$96&gt;=Project_Register!$AN$8))</f>
        <v>13101.4845</v>
      </c>
      <c r="J87" s="58" t="n">
        <f aca="false">Project_Register!$U$8*J86*(1-Project_Register!$R$8*(Assumptions!J$96&gt;=Project_Register!$AK$8+1)-(1-Project_Register!$R$8)*(Assumptions!J$96&gt;=Project_Register!$AN$8))</f>
        <v>13101.4845</v>
      </c>
      <c r="K87" s="58" t="n">
        <f aca="false">Project_Register!$U$8*K86*(1-Project_Register!$R$8*(Assumptions!K$96&gt;=Project_Register!$AK$8+1)-(1-Project_Register!$R$8)*(Assumptions!K$96&gt;=Project_Register!$AN$8))</f>
        <v>13101.4845</v>
      </c>
      <c r="L87" s="58" t="n">
        <f aca="false">Project_Register!$U$8*L86*(1-Project_Register!$R$8*(Assumptions!L$96&gt;=Project_Register!$AK$8+1)-(1-Project_Register!$R$8)*(Assumptions!L$96&gt;=Project_Register!$AN$8))</f>
        <v>13101.4845</v>
      </c>
      <c r="M87" s="58" t="n">
        <f aca="false">Project_Register!$U$8*M86*(1-Project_Register!$R$8*(Assumptions!M$96&gt;=Project_Register!$AK$8+1)-(1-Project_Register!$R$8)*(Assumptions!M$96&gt;=Project_Register!$AN$8))</f>
        <v>13101.4845</v>
      </c>
      <c r="N87" s="58" t="n">
        <f aca="false">Project_Register!$U$8*N86*(1-Project_Register!$R$8*(Assumptions!N$96&gt;=Project_Register!$AK$8+1)-(1-Project_Register!$R$8)*(Assumptions!N$96&gt;=Project_Register!$AN$8))</f>
        <v>13101.4845</v>
      </c>
      <c r="O87" s="58" t="n">
        <f aca="false">Project_Register!$U$8*O86*(1-Project_Register!$R$8*(Assumptions!O$96&gt;=Project_Register!$AK$8+1)-(1-Project_Register!$R$8)*(Assumptions!O$96&gt;=Project_Register!$AN$8))</f>
        <v>13101.4845</v>
      </c>
      <c r="P87" s="58" t="n">
        <f aca="false">Project_Register!$U$8*P86*(1-Project_Register!$R$8*(Assumptions!P$96&gt;=Project_Register!$AK$8+1)-(1-Project_Register!$R$8)*(Assumptions!P$96&gt;=Project_Register!$AN$8))</f>
        <v>13101.4845</v>
      </c>
      <c r="Q87" s="58" t="n">
        <f aca="false">Project_Register!$U$8*Q86*(1-Project_Register!$R$8*(Assumptions!Q$96&gt;=Project_Register!$AK$8+1)-(1-Project_Register!$R$8)*(Assumptions!Q$96&gt;=Project_Register!$AN$8))</f>
        <v>13101.4845</v>
      </c>
      <c r="R87" s="58" t="n">
        <f aca="false">Project_Register!$U$8*R86*(1-Project_Register!$R$8*(Assumptions!R$96&gt;=Project_Register!$AK$8+1)-(1-Project_Register!$R$8)*(Assumptions!R$96&gt;=Project_Register!$AN$8))</f>
        <v>13101.4845</v>
      </c>
      <c r="S87" s="58" t="n">
        <f aca="false">Project_Register!$U$8*S86*(1-Project_Register!$R$8*(Assumptions!S$96&gt;=Project_Register!$AK$8+1)-(1-Project_Register!$R$8)*(Assumptions!S$96&gt;=Project_Register!$AN$8))</f>
        <v>13101.4845</v>
      </c>
      <c r="T87" s="58" t="n">
        <f aca="false">Project_Register!$U$8*T86*(1-Project_Register!$R$8*(Assumptions!T$96&gt;=Project_Register!$AK$8+1)-(1-Project_Register!$R$8)*(Assumptions!T$96&gt;=Project_Register!$AN$8))</f>
        <v>13101.4845</v>
      </c>
      <c r="U87" s="58" t="n">
        <f aca="false">Project_Register!$U$8*U86*(1-Project_Register!$R$8*(Assumptions!U$96&gt;=Project_Register!$AK$8+1)-(1-Project_Register!$R$8)*(Assumptions!U$96&gt;=Project_Register!$AN$8))</f>
        <v>0</v>
      </c>
      <c r="V87" s="58" t="n">
        <f aca="false">Project_Register!$U$8*V86*(1-Project_Register!$R$8*(Assumptions!V$96&gt;=Project_Register!$AK$8+1)-(1-Project_Register!$R$8)*(Assumptions!V$96&gt;=Project_Register!$AN$8))</f>
        <v>0</v>
      </c>
      <c r="W87" s="58" t="n">
        <f aca="false">Project_Register!$U$8*W86*(1-Project_Register!$R$8*(Assumptions!W$96&gt;=Project_Register!$AK$8+1)-(1-Project_Register!$R$8)*(Assumptions!W$96&gt;=Project_Register!$AN$8))</f>
        <v>0</v>
      </c>
      <c r="X87" s="58" t="n">
        <f aca="false">Project_Register!$U$8*X86*(1-Project_Register!$R$8*(Assumptions!X$96&gt;=Project_Register!$AK$8+1)-(1-Project_Register!$R$8)*(Assumptions!X$96&gt;=Project_Register!$AN$8))</f>
        <v>0</v>
      </c>
      <c r="Y87" s="58" t="n">
        <f aca="false">Project_Register!$U$8*Y86*(1-Project_Register!$R$8*(Assumptions!Y$96&gt;=Project_Register!$AK$8+1)-(1-Project_Register!$R$8)*(Assumptions!Y$96&gt;=Project_Register!$AN$8))</f>
        <v>0</v>
      </c>
      <c r="Z87" s="58" t="n">
        <f aca="false">Project_Register!$U$8*Z86*(1-Project_Register!$R$8*(Assumptions!Z$96&gt;=Project_Register!$AK$8+1)-(1-Project_Register!$R$8)*(Assumptions!Z$96&gt;=Project_Register!$AN$8))</f>
        <v>0</v>
      </c>
      <c r="AA87" s="58" t="n">
        <f aca="false">Project_Register!$U$8*AA86*(1-Project_Register!$R$8*(Assumptions!AA$96&gt;=Project_Register!$AK$8+1)-(1-Project_Register!$R$8)*(Assumptions!AA$96&gt;=Project_Register!$AN$8))</f>
        <v>0</v>
      </c>
      <c r="AB87" s="58" t="n">
        <f aca="false">Project_Register!$U$8*AB86*(1-Project_Register!$R$8*(Assumptions!AB$96&gt;=Project_Register!$AK$8+1)-(1-Project_Register!$R$8)*(Assumptions!AB$96&gt;=Project_Register!$AN$8))</f>
        <v>0</v>
      </c>
    </row>
    <row r="88" customFormat="false" ht="15" hidden="false" customHeight="false" outlineLevel="0" collapsed="false">
      <c r="A88" s="27" t="s">
        <v>771</v>
      </c>
      <c r="B88" s="56"/>
      <c r="C88" s="57" t="n">
        <f aca="false">SUM(E88:P88)</f>
        <v>464.483</v>
      </c>
      <c r="D88" s="57" t="n">
        <f aca="false">SUM(Q88:AB88)</f>
        <v>-13101.4845</v>
      </c>
      <c r="E88" s="58" t="n">
        <f aca="false">E87-Project_Register!$AX$8</f>
        <v>5792.3285</v>
      </c>
      <c r="F88" s="70" t="n">
        <f aca="false">F87-E87</f>
        <v>4349.1775</v>
      </c>
      <c r="G88" s="70" t="n">
        <f aca="false">G87-F87</f>
        <v>2299.7505</v>
      </c>
      <c r="H88" s="70" t="n">
        <f aca="false">H87-G87</f>
        <v>1124.711</v>
      </c>
      <c r="I88" s="70" t="n">
        <f aca="false">I87-H87</f>
        <v>-13101.4845</v>
      </c>
      <c r="J88" s="70" t="n">
        <f aca="false">J87-I87</f>
        <v>0</v>
      </c>
      <c r="K88" s="70" t="n">
        <f aca="false">K87-J87</f>
        <v>0</v>
      </c>
      <c r="L88" s="70" t="n">
        <f aca="false">L87-K87</f>
        <v>0</v>
      </c>
      <c r="M88" s="70" t="n">
        <f aca="false">M87-L87</f>
        <v>0</v>
      </c>
      <c r="N88" s="70" t="n">
        <f aca="false">N87-M87</f>
        <v>0</v>
      </c>
      <c r="O88" s="70" t="n">
        <f aca="false">O87-N87</f>
        <v>0</v>
      </c>
      <c r="P88" s="70" t="n">
        <f aca="false">P87-O87</f>
        <v>0</v>
      </c>
      <c r="Q88" s="70" t="n">
        <f aca="false">Q87-P87</f>
        <v>0</v>
      </c>
      <c r="R88" s="70" t="n">
        <f aca="false">R87-Q87</f>
        <v>0</v>
      </c>
      <c r="S88" s="70" t="n">
        <f aca="false">S87-R87</f>
        <v>0</v>
      </c>
      <c r="T88" s="70" t="n">
        <f aca="false">T87-S87</f>
        <v>0</v>
      </c>
      <c r="U88" s="70" t="n">
        <f aca="false">U87-T87</f>
        <v>-13101.4845</v>
      </c>
      <c r="V88" s="70" t="n">
        <f aca="false">V87-U87</f>
        <v>0</v>
      </c>
      <c r="W88" s="70" t="n">
        <f aca="false">W87-V87</f>
        <v>0</v>
      </c>
      <c r="X88" s="70" t="n">
        <f aca="false">X87-W87</f>
        <v>0</v>
      </c>
      <c r="Y88" s="70" t="n">
        <f aca="false">Y87-X87</f>
        <v>0</v>
      </c>
      <c r="Z88" s="70" t="n">
        <f aca="false">Z87-Y87</f>
        <v>0</v>
      </c>
      <c r="AA88" s="70" t="n">
        <f aca="false">AA87-Z87</f>
        <v>0</v>
      </c>
      <c r="AB88" s="70" t="n">
        <f aca="false">AB87-AA87</f>
        <v>0</v>
      </c>
    </row>
    <row r="89" customFormat="false" ht="15" hidden="false" customHeight="false" outlineLevel="0" collapsed="false">
      <c r="A89" s="27" t="s">
        <v>772</v>
      </c>
      <c r="B89" s="56" t="s">
        <v>773</v>
      </c>
      <c r="C89" s="57" t="n">
        <f aca="false">P89</f>
        <v>0</v>
      </c>
      <c r="D89" s="57" t="n">
        <f aca="false">AB89</f>
        <v>0</v>
      </c>
      <c r="E89" s="58" t="n">
        <f aca="false">Project_Register!$V$8*Project_Register!$AO$8*(Assumptions!E$96&gt;=Project_Register!$AL$8)*(Assumptions!E$96&lt;=Project_Register!$AK$8)</f>
        <v>108000</v>
      </c>
      <c r="F89" s="58" t="n">
        <f aca="false">Project_Register!$V$8*Project_Register!$AO$8*(Assumptions!F$96&gt;=Project_Register!$AL$8)*(Assumptions!F$96&lt;=Project_Register!$AK$8)</f>
        <v>108000</v>
      </c>
      <c r="G89" s="58" t="n">
        <f aca="false">Project_Register!$V$8*Project_Register!$AO$8*(Assumptions!G$96&gt;=Project_Register!$AL$8)*(Assumptions!G$96&lt;=Project_Register!$AK$8)</f>
        <v>108000</v>
      </c>
      <c r="H89" s="58" t="n">
        <f aca="false">Project_Register!$V$8*Project_Register!$AO$8*(Assumptions!H$96&gt;=Project_Register!$AL$8)*(Assumptions!H$96&lt;=Project_Register!$AK$8)</f>
        <v>108000</v>
      </c>
      <c r="I89" s="58" t="n">
        <f aca="false">Project_Register!$V$8*Project_Register!$AO$8*(Assumptions!I$96&gt;=Project_Register!$AL$8)*(Assumptions!I$96&lt;=Project_Register!$AK$8)</f>
        <v>0</v>
      </c>
      <c r="J89" s="58" t="n">
        <f aca="false">Project_Register!$V$8*Project_Register!$AO$8*(Assumptions!J$96&gt;=Project_Register!$AL$8)*(Assumptions!J$96&lt;=Project_Register!$AK$8)</f>
        <v>0</v>
      </c>
      <c r="K89" s="58" t="n">
        <f aca="false">Project_Register!$V$8*Project_Register!$AO$8*(Assumptions!K$96&gt;=Project_Register!$AL$8)*(Assumptions!K$96&lt;=Project_Register!$AK$8)</f>
        <v>0</v>
      </c>
      <c r="L89" s="58" t="n">
        <f aca="false">Project_Register!$V$8*Project_Register!$AO$8*(Assumptions!L$96&gt;=Project_Register!$AL$8)*(Assumptions!L$96&lt;=Project_Register!$AK$8)</f>
        <v>0</v>
      </c>
      <c r="M89" s="58" t="n">
        <f aca="false">Project_Register!$V$8*Project_Register!$AO$8*(Assumptions!M$96&gt;=Project_Register!$AL$8)*(Assumptions!M$96&lt;=Project_Register!$AK$8)</f>
        <v>0</v>
      </c>
      <c r="N89" s="58" t="n">
        <f aca="false">Project_Register!$V$8*Project_Register!$AO$8*(Assumptions!N$96&gt;=Project_Register!$AL$8)*(Assumptions!N$96&lt;=Project_Register!$AK$8)</f>
        <v>0</v>
      </c>
      <c r="O89" s="58" t="n">
        <f aca="false">Project_Register!$V$8*Project_Register!$AO$8*(Assumptions!O$96&gt;=Project_Register!$AL$8)*(Assumptions!O$96&lt;=Project_Register!$AK$8)</f>
        <v>0</v>
      </c>
      <c r="P89" s="58" t="n">
        <f aca="false">Project_Register!$V$8*Project_Register!$AO$8*(Assumptions!P$96&gt;=Project_Register!$AL$8)*(Assumptions!P$96&lt;=Project_Register!$AK$8)</f>
        <v>0</v>
      </c>
      <c r="Q89" s="58" t="n">
        <f aca="false">Project_Register!$V$8*Project_Register!$AO$8*(Assumptions!Q$96&gt;=Project_Register!$AL$8)*(Assumptions!Q$96&lt;=Project_Register!$AK$8)</f>
        <v>0</v>
      </c>
      <c r="R89" s="58" t="n">
        <f aca="false">Project_Register!$V$8*Project_Register!$AO$8*(Assumptions!R$96&gt;=Project_Register!$AL$8)*(Assumptions!R$96&lt;=Project_Register!$AK$8)</f>
        <v>0</v>
      </c>
      <c r="S89" s="58" t="n">
        <f aca="false">Project_Register!$V$8*Project_Register!$AO$8*(Assumptions!S$96&gt;=Project_Register!$AL$8)*(Assumptions!S$96&lt;=Project_Register!$AK$8)</f>
        <v>0</v>
      </c>
      <c r="T89" s="58" t="n">
        <f aca="false">Project_Register!$V$8*Project_Register!$AO$8*(Assumptions!T$96&gt;=Project_Register!$AL$8)*(Assumptions!T$96&lt;=Project_Register!$AK$8)</f>
        <v>0</v>
      </c>
      <c r="U89" s="58" t="n">
        <f aca="false">Project_Register!$V$8*Project_Register!$AO$8*(Assumptions!U$96&gt;=Project_Register!$AL$8)*(Assumptions!U$96&lt;=Project_Register!$AK$8)</f>
        <v>0</v>
      </c>
      <c r="V89" s="58" t="n">
        <f aca="false">Project_Register!$V$8*Project_Register!$AO$8*(Assumptions!V$96&gt;=Project_Register!$AL$8)*(Assumptions!V$96&lt;=Project_Register!$AK$8)</f>
        <v>0</v>
      </c>
      <c r="W89" s="58" t="n">
        <f aca="false">Project_Register!$V$8*Project_Register!$AO$8*(Assumptions!W$96&gt;=Project_Register!$AL$8)*(Assumptions!W$96&lt;=Project_Register!$AK$8)</f>
        <v>0</v>
      </c>
      <c r="X89" s="58" t="n">
        <f aca="false">Project_Register!$V$8*Project_Register!$AO$8*(Assumptions!X$96&gt;=Project_Register!$AL$8)*(Assumptions!X$96&lt;=Project_Register!$AK$8)</f>
        <v>0</v>
      </c>
      <c r="Y89" s="58" t="n">
        <f aca="false">Project_Register!$V$8*Project_Register!$AO$8*(Assumptions!Y$96&gt;=Project_Register!$AL$8)*(Assumptions!Y$96&lt;=Project_Register!$AK$8)</f>
        <v>0</v>
      </c>
      <c r="Z89" s="58" t="n">
        <f aca="false">Project_Register!$V$8*Project_Register!$AO$8*(Assumptions!Z$96&gt;=Project_Register!$AL$8)*(Assumptions!Z$96&lt;=Project_Register!$AK$8)</f>
        <v>0</v>
      </c>
      <c r="AA89" s="58" t="n">
        <f aca="false">Project_Register!$V$8*Project_Register!$AO$8*(Assumptions!AA$96&gt;=Project_Register!$AL$8)*(Assumptions!AA$96&lt;=Project_Register!$AK$8)</f>
        <v>0</v>
      </c>
      <c r="AB89" s="58" t="n">
        <f aca="false">Project_Register!$V$8*Project_Register!$AO$8*(Assumptions!AB$96&gt;=Project_Register!$AL$8)*(Assumptions!AB$96&lt;=Project_Register!$AK$8)</f>
        <v>0</v>
      </c>
    </row>
    <row r="90" customFormat="false" ht="15" hidden="false" customHeight="false" outlineLevel="0" collapsed="false">
      <c r="A90" s="27" t="s">
        <v>774</v>
      </c>
      <c r="B90" s="56"/>
      <c r="C90" s="57" t="n">
        <f aca="false">P90</f>
        <v>0</v>
      </c>
      <c r="D90" s="57" t="n">
        <f aca="false">AB90</f>
        <v>0</v>
      </c>
      <c r="E90" s="58" t="n">
        <f aca="false">IF(OR(Project_Register!$E$8="Pipeline",Assumptions!E$96&gt;=Project_Register!$AL$8),MAX(0,E67-E68),0)</f>
        <v>327977.83</v>
      </c>
      <c r="F90" s="58" t="n">
        <f aca="false">IF(OR(Project_Register!$E$8="Pipeline",Assumptions!F$96&gt;=Project_Register!$AL$8),MAX(0,F67-F68),0)</f>
        <v>154773.43</v>
      </c>
      <c r="G90" s="58" t="n">
        <f aca="false">IF(OR(Project_Register!$E$8="Pipeline",Assumptions!G$96&gt;=Project_Register!$AL$8),MAX(0,G67-G68),0)</f>
        <v>48899.29</v>
      </c>
      <c r="H90" s="58" t="n">
        <f aca="false">IF(OR(Project_Register!$E$8="Pipeline",Assumptions!H$96&gt;=Project_Register!$AL$8),MAX(0,H67-H68),0)</f>
        <v>0</v>
      </c>
      <c r="I90" s="58" t="n">
        <f aca="false">IF(OR(Project_Register!$E$8="Pipeline",Assumptions!I$96&gt;=Project_Register!$AL$8),MAX(0,I67-I68),0)</f>
        <v>0</v>
      </c>
      <c r="J90" s="58" t="n">
        <f aca="false">IF(OR(Project_Register!$E$8="Pipeline",Assumptions!J$96&gt;=Project_Register!$AL$8),MAX(0,J67-J68),0)</f>
        <v>0</v>
      </c>
      <c r="K90" s="58" t="n">
        <f aca="false">IF(OR(Project_Register!$E$8="Pipeline",Assumptions!K$96&gt;=Project_Register!$AL$8),MAX(0,K67-K68),0)</f>
        <v>0</v>
      </c>
      <c r="L90" s="58" t="n">
        <f aca="false">IF(OR(Project_Register!$E$8="Pipeline",Assumptions!L$96&gt;=Project_Register!$AL$8),MAX(0,L67-L68),0)</f>
        <v>0</v>
      </c>
      <c r="M90" s="58" t="n">
        <f aca="false">IF(OR(Project_Register!$E$8="Pipeline",Assumptions!M$96&gt;=Project_Register!$AL$8),MAX(0,M67-M68),0)</f>
        <v>0</v>
      </c>
      <c r="N90" s="58" t="n">
        <f aca="false">IF(OR(Project_Register!$E$8="Pipeline",Assumptions!N$96&gt;=Project_Register!$AL$8),MAX(0,N67-N68),0)</f>
        <v>0</v>
      </c>
      <c r="O90" s="58" t="n">
        <f aca="false">IF(OR(Project_Register!$E$8="Pipeline",Assumptions!O$96&gt;=Project_Register!$AL$8),MAX(0,O67-O68),0)</f>
        <v>0</v>
      </c>
      <c r="P90" s="58" t="n">
        <f aca="false">IF(OR(Project_Register!$E$8="Pipeline",Assumptions!P$96&gt;=Project_Register!$AL$8),MAX(0,P67-P68),0)</f>
        <v>0</v>
      </c>
      <c r="Q90" s="58" t="n">
        <f aca="false">IF(OR(Project_Register!$E$8="Pipeline",Assumptions!Q$96&gt;=Project_Register!$AL$8),MAX(0,Q67-Q68),0)</f>
        <v>0</v>
      </c>
      <c r="R90" s="58" t="n">
        <f aca="false">IF(OR(Project_Register!$E$8="Pipeline",Assumptions!R$96&gt;=Project_Register!$AL$8),MAX(0,R67-R68),0)</f>
        <v>0</v>
      </c>
      <c r="S90" s="58" t="n">
        <f aca="false">IF(OR(Project_Register!$E$8="Pipeline",Assumptions!S$96&gt;=Project_Register!$AL$8),MAX(0,S67-S68),0)</f>
        <v>0</v>
      </c>
      <c r="T90" s="58" t="n">
        <f aca="false">IF(OR(Project_Register!$E$8="Pipeline",Assumptions!T$96&gt;=Project_Register!$AL$8),MAX(0,T67-T68),0)</f>
        <v>0</v>
      </c>
      <c r="U90" s="58" t="n">
        <f aca="false">IF(OR(Project_Register!$E$8="Pipeline",Assumptions!U$96&gt;=Project_Register!$AL$8),MAX(0,U67-U68),0)</f>
        <v>0</v>
      </c>
      <c r="V90" s="58" t="n">
        <f aca="false">IF(OR(Project_Register!$E$8="Pipeline",Assumptions!V$96&gt;=Project_Register!$AL$8),MAX(0,V67-V68),0)</f>
        <v>0</v>
      </c>
      <c r="W90" s="58" t="n">
        <f aca="false">IF(OR(Project_Register!$E$8="Pipeline",Assumptions!W$96&gt;=Project_Register!$AL$8),MAX(0,W67-W68),0)</f>
        <v>0</v>
      </c>
      <c r="X90" s="58" t="n">
        <f aca="false">IF(OR(Project_Register!$E$8="Pipeline",Assumptions!X$96&gt;=Project_Register!$AL$8),MAX(0,X67-X68),0)</f>
        <v>0</v>
      </c>
      <c r="Y90" s="58" t="n">
        <f aca="false">IF(OR(Project_Register!$E$8="Pipeline",Assumptions!Y$96&gt;=Project_Register!$AL$8),MAX(0,Y67-Y68),0)</f>
        <v>0</v>
      </c>
      <c r="Z90" s="58" t="n">
        <f aca="false">IF(OR(Project_Register!$E$8="Pipeline",Assumptions!Z$96&gt;=Project_Register!$AL$8),MAX(0,Z67-Z68),0)</f>
        <v>0</v>
      </c>
      <c r="AA90" s="58" t="n">
        <f aca="false">IF(OR(Project_Register!$E$8="Pipeline",Assumptions!AA$96&gt;=Project_Register!$AL$8),MAX(0,AA67-AA68),0)</f>
        <v>0</v>
      </c>
      <c r="AB90" s="58" t="n">
        <f aca="false">IF(OR(Project_Register!$E$8="Pipeline",Assumptions!AB$96&gt;=Project_Register!$AL$8),MAX(0,AB67-AB68),0)</f>
        <v>0</v>
      </c>
    </row>
    <row r="91" customFormat="false" ht="15" hidden="false" customHeight="false" outlineLevel="0" collapsed="false">
      <c r="A91" s="27" t="s">
        <v>775</v>
      </c>
      <c r="B91" s="56"/>
      <c r="C91" s="57" t="n">
        <f aca="false">SUM(E91:P91)</f>
        <v>0</v>
      </c>
      <c r="D91" s="57" t="n">
        <f aca="false">SUM(Q91:AB91)</f>
        <v>0</v>
      </c>
      <c r="E91" s="58" t="n">
        <f aca="false">IF(Assumptions!E$96=Project_Register!$AL$8,Project_Register!$AO$8,0)</f>
        <v>0</v>
      </c>
      <c r="F91" s="58" t="n">
        <f aca="false">IF(Assumptions!F$96=Project_Register!$AL$8,Project_Register!$AO$8,0)</f>
        <v>0</v>
      </c>
      <c r="G91" s="58" t="n">
        <f aca="false">IF(Assumptions!G$96=Project_Register!$AL$8,Project_Register!$AO$8,0)</f>
        <v>0</v>
      </c>
      <c r="H91" s="58" t="n">
        <f aca="false">IF(Assumptions!H$96=Project_Register!$AL$8,Project_Register!$AO$8,0)</f>
        <v>0</v>
      </c>
      <c r="I91" s="58" t="n">
        <f aca="false">IF(Assumptions!I$96=Project_Register!$AL$8,Project_Register!$AO$8,0)</f>
        <v>0</v>
      </c>
      <c r="J91" s="58" t="n">
        <f aca="false">IF(Assumptions!J$96=Project_Register!$AL$8,Project_Register!$AO$8,0)</f>
        <v>0</v>
      </c>
      <c r="K91" s="58" t="n">
        <f aca="false">IF(Assumptions!K$96=Project_Register!$AL$8,Project_Register!$AO$8,0)</f>
        <v>0</v>
      </c>
      <c r="L91" s="58" t="n">
        <f aca="false">IF(Assumptions!L$96=Project_Register!$AL$8,Project_Register!$AO$8,0)</f>
        <v>0</v>
      </c>
      <c r="M91" s="58" t="n">
        <f aca="false">IF(Assumptions!M$96=Project_Register!$AL$8,Project_Register!$AO$8,0)</f>
        <v>0</v>
      </c>
      <c r="N91" s="58" t="n">
        <f aca="false">IF(Assumptions!N$96=Project_Register!$AL$8,Project_Register!$AO$8,0)</f>
        <v>0</v>
      </c>
      <c r="O91" s="58" t="n">
        <f aca="false">IF(Assumptions!O$96=Project_Register!$AL$8,Project_Register!$AO$8,0)</f>
        <v>0</v>
      </c>
      <c r="P91" s="58" t="n">
        <f aca="false">IF(Assumptions!P$96=Project_Register!$AL$8,Project_Register!$AO$8,0)</f>
        <v>0</v>
      </c>
      <c r="Q91" s="58" t="n">
        <f aca="false">IF(Assumptions!Q$96=Project_Register!$AL$8,Project_Register!$AO$8,0)</f>
        <v>0</v>
      </c>
      <c r="R91" s="58" t="n">
        <f aca="false">IF(Assumptions!R$96=Project_Register!$AL$8,Project_Register!$AO$8,0)</f>
        <v>0</v>
      </c>
      <c r="S91" s="58" t="n">
        <f aca="false">IF(Assumptions!S$96=Project_Register!$AL$8,Project_Register!$AO$8,0)</f>
        <v>0</v>
      </c>
      <c r="T91" s="58" t="n">
        <f aca="false">IF(Assumptions!T$96=Project_Register!$AL$8,Project_Register!$AO$8,0)</f>
        <v>0</v>
      </c>
      <c r="U91" s="58" t="n">
        <f aca="false">IF(Assumptions!U$96=Project_Register!$AL$8,Project_Register!$AO$8,0)</f>
        <v>0</v>
      </c>
      <c r="V91" s="58" t="n">
        <f aca="false">IF(Assumptions!V$96=Project_Register!$AL$8,Project_Register!$AO$8,0)</f>
        <v>0</v>
      </c>
      <c r="W91" s="58" t="n">
        <f aca="false">IF(Assumptions!W$96=Project_Register!$AL$8,Project_Register!$AO$8,0)</f>
        <v>0</v>
      </c>
      <c r="X91" s="58" t="n">
        <f aca="false">IF(Assumptions!X$96=Project_Register!$AL$8,Project_Register!$AO$8,0)</f>
        <v>0</v>
      </c>
      <c r="Y91" s="58" t="n">
        <f aca="false">IF(Assumptions!Y$96=Project_Register!$AL$8,Project_Register!$AO$8,0)</f>
        <v>0</v>
      </c>
      <c r="Z91" s="58" t="n">
        <f aca="false">IF(Assumptions!Z$96=Project_Register!$AL$8,Project_Register!$AO$8,0)</f>
        <v>0</v>
      </c>
      <c r="AA91" s="58" t="n">
        <f aca="false">IF(Assumptions!AA$96=Project_Register!$AL$8,Project_Register!$AO$8,0)</f>
        <v>0</v>
      </c>
      <c r="AB91" s="58" t="n">
        <f aca="false">IF(Assumptions!AB$96=Project_Register!$AL$8,Project_Register!$AO$8,0)</f>
        <v>0</v>
      </c>
    </row>
    <row r="92" customFormat="false" ht="15" hidden="false" customHeight="false" outlineLevel="0" collapsed="false">
      <c r="A92" s="27" t="s">
        <v>776</v>
      </c>
      <c r="B92" s="56" t="s">
        <v>777</v>
      </c>
      <c r="E92" s="70" t="n">
        <f aca="false">IF(E$5="A",ROUND(E68-E63*E67,0),0)</f>
        <v>0</v>
      </c>
      <c r="F92" s="70" t="n">
        <f aca="false">IF(F$5="A",ROUND(F68-F63*F67,0),0)</f>
        <v>0</v>
      </c>
      <c r="G92" s="70" t="n">
        <f aca="false">IF(G$5="A",ROUND(G68-G63*G67,0),0)</f>
        <v>0</v>
      </c>
      <c r="H92" s="70" t="n">
        <f aca="false">IF(H$5="A",ROUND(H68-H63*H67,0),0)</f>
        <v>0</v>
      </c>
      <c r="I92" s="70" t="n">
        <f aca="false">IF(I$5="A",ROUND(I68-I63*I67,0),0)</f>
        <v>0</v>
      </c>
      <c r="J92" s="70" t="n">
        <f aca="false">IF(J$5="A",ROUND(J68-J63*J67,0),0)</f>
        <v>0</v>
      </c>
      <c r="K92" s="70" t="n">
        <f aca="false">IF(K$5="A",ROUND(K68-K63*K67,0),0)</f>
        <v>0</v>
      </c>
      <c r="L92" s="70" t="n">
        <f aca="false">IF(L$5="A",ROUND(L68-L63*L67,0),0)</f>
        <v>0</v>
      </c>
      <c r="M92" s="70" t="n">
        <f aca="false">IF(M$5="A",ROUND(M68-M63*M67,0),0)</f>
        <v>0</v>
      </c>
      <c r="N92" s="70" t="n">
        <f aca="false">IF(N$5="A",ROUND(N68-N63*N67,0),0)</f>
        <v>0</v>
      </c>
      <c r="O92" s="70" t="n">
        <f aca="false">IF(O$5="A",ROUND(O68-O63*O67,0),0)</f>
        <v>0</v>
      </c>
      <c r="P92" s="70" t="n">
        <f aca="false">IF(P$5="A",ROUND(P68-P63*P67,0),0)</f>
        <v>0</v>
      </c>
      <c r="Q92" s="70" t="n">
        <f aca="false">IF(Q$5="A",ROUND(Q68-Q63*Q67,0),0)</f>
        <v>0</v>
      </c>
      <c r="R92" s="70" t="n">
        <f aca="false">IF(R$5="A",ROUND(R68-R63*R67,0),0)</f>
        <v>0</v>
      </c>
      <c r="S92" s="70" t="n">
        <f aca="false">IF(S$5="A",ROUND(S68-S63*S67,0),0)</f>
        <v>0</v>
      </c>
      <c r="T92" s="70" t="n">
        <f aca="false">IF(T$5="A",ROUND(T68-T63*T67,0),0)</f>
        <v>0</v>
      </c>
      <c r="U92" s="70" t="n">
        <f aca="false">IF(U$5="A",ROUND(U68-U63*U67,0),0)</f>
        <v>0</v>
      </c>
      <c r="V92" s="70" t="n">
        <f aca="false">IF(V$5="A",ROUND(V68-V63*V67,0),0)</f>
        <v>0</v>
      </c>
      <c r="W92" s="70" t="n">
        <f aca="false">IF(W$5="A",ROUND(W68-W63*W67,0),0)</f>
        <v>0</v>
      </c>
      <c r="X92" s="70" t="n">
        <f aca="false">IF(X$5="A",ROUND(X68-X63*X67,0),0)</f>
        <v>0</v>
      </c>
      <c r="Y92" s="70" t="n">
        <f aca="false">IF(Y$5="A",ROUND(Y68-Y63*Y67,0),0)</f>
        <v>0</v>
      </c>
      <c r="Z92" s="70" t="n">
        <f aca="false">IF(Z$5="A",ROUND(Z68-Z63*Z67,0),0)</f>
        <v>0</v>
      </c>
      <c r="AA92" s="70" t="n">
        <f aca="false">IF(AA$5="A",ROUND(AA68-AA63*AA67,0),0)</f>
        <v>0</v>
      </c>
      <c r="AB92" s="70" t="n">
        <f aca="false">IF(AB$5="A",ROUND(AB68-AB63*AB67,0),0)</f>
        <v>0</v>
      </c>
    </row>
    <row r="94" customFormat="false" ht="15" hidden="false" customHeight="false" outlineLevel="0" collapsed="false">
      <c r="A94" s="21" t="s">
        <v>779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row>
    <row r="95" customFormat="false" ht="15" hidden="false" customHeight="false" outlineLevel="0" collapsed="false">
      <c r="A95" s="27" t="s">
        <v>716</v>
      </c>
      <c r="B95" s="56" t="s">
        <v>717</v>
      </c>
      <c r="E95" s="104" t="n">
        <f aca="false">MIN(1,MAX(0,(Assumptions!E$96-Project_Register!$AJ$9+1)/(Project_Register!$AK$9-Project_Register!$AJ$9+1)))</f>
        <v>0</v>
      </c>
      <c r="F95" s="104" t="n">
        <f aca="false">MIN(1,MAX(0,(Assumptions!F$96-Project_Register!$AJ$9+1)/(Project_Register!$AK$9-Project_Register!$AJ$9+1)))</f>
        <v>0</v>
      </c>
      <c r="G95" s="104" t="n">
        <f aca="false">MIN(1,MAX(0,(Assumptions!G$96-Project_Register!$AJ$9+1)/(Project_Register!$AK$9-Project_Register!$AJ$9+1)))</f>
        <v>0.111111111111111</v>
      </c>
      <c r="H95" s="104" t="n">
        <f aca="false">MIN(1,MAX(0,(Assumptions!H$96-Project_Register!$AJ$9+1)/(Project_Register!$AK$9-Project_Register!$AJ$9+1)))</f>
        <v>0.222222222222222</v>
      </c>
      <c r="I95" s="104" t="n">
        <f aca="false">MIN(1,MAX(0,(Assumptions!I$96-Project_Register!$AJ$9+1)/(Project_Register!$AK$9-Project_Register!$AJ$9+1)))</f>
        <v>0.333333333333333</v>
      </c>
      <c r="J95" s="104" t="n">
        <f aca="false">MIN(1,MAX(0,(Assumptions!J$96-Project_Register!$AJ$9+1)/(Project_Register!$AK$9-Project_Register!$AJ$9+1)))</f>
        <v>0.444444444444444</v>
      </c>
      <c r="K95" s="104" t="n">
        <f aca="false">MIN(1,MAX(0,(Assumptions!K$96-Project_Register!$AJ$9+1)/(Project_Register!$AK$9-Project_Register!$AJ$9+1)))</f>
        <v>0.555555555555556</v>
      </c>
      <c r="L95" s="104" t="n">
        <f aca="false">MIN(1,MAX(0,(Assumptions!L$96-Project_Register!$AJ$9+1)/(Project_Register!$AK$9-Project_Register!$AJ$9+1)))</f>
        <v>0.666666666666667</v>
      </c>
      <c r="M95" s="104" t="n">
        <f aca="false">MIN(1,MAX(0,(Assumptions!M$96-Project_Register!$AJ$9+1)/(Project_Register!$AK$9-Project_Register!$AJ$9+1)))</f>
        <v>0.777777777777778</v>
      </c>
      <c r="N95" s="104" t="n">
        <f aca="false">MIN(1,MAX(0,(Assumptions!N$96-Project_Register!$AJ$9+1)/(Project_Register!$AK$9-Project_Register!$AJ$9+1)))</f>
        <v>0.888888888888889</v>
      </c>
      <c r="O95" s="104" t="n">
        <f aca="false">MIN(1,MAX(0,(Assumptions!O$96-Project_Register!$AJ$9+1)/(Project_Register!$AK$9-Project_Register!$AJ$9+1)))</f>
        <v>1</v>
      </c>
      <c r="P95" s="104" t="n">
        <f aca="false">MIN(1,MAX(0,(Assumptions!P$96-Project_Register!$AJ$9+1)/(Project_Register!$AK$9-Project_Register!$AJ$9+1)))</f>
        <v>1</v>
      </c>
      <c r="Q95" s="104" t="n">
        <f aca="false">MIN(1,MAX(0,(Assumptions!Q$96-Project_Register!$AJ$9+1)/(Project_Register!$AK$9-Project_Register!$AJ$9+1)))</f>
        <v>1</v>
      </c>
      <c r="R95" s="104" t="n">
        <f aca="false">MIN(1,MAX(0,(Assumptions!R$96-Project_Register!$AJ$9+1)/(Project_Register!$AK$9-Project_Register!$AJ$9+1)))</f>
        <v>1</v>
      </c>
      <c r="S95" s="104" t="n">
        <f aca="false">MIN(1,MAX(0,(Assumptions!S$96-Project_Register!$AJ$9+1)/(Project_Register!$AK$9-Project_Register!$AJ$9+1)))</f>
        <v>1</v>
      </c>
      <c r="T95" s="104" t="n">
        <f aca="false">MIN(1,MAX(0,(Assumptions!T$96-Project_Register!$AJ$9+1)/(Project_Register!$AK$9-Project_Register!$AJ$9+1)))</f>
        <v>1</v>
      </c>
      <c r="U95" s="104" t="n">
        <f aca="false">MIN(1,MAX(0,(Assumptions!U$96-Project_Register!$AJ$9+1)/(Project_Register!$AK$9-Project_Register!$AJ$9+1)))</f>
        <v>1</v>
      </c>
      <c r="V95" s="104" t="n">
        <f aca="false">MIN(1,MAX(0,(Assumptions!V$96-Project_Register!$AJ$9+1)/(Project_Register!$AK$9-Project_Register!$AJ$9+1)))</f>
        <v>1</v>
      </c>
      <c r="W95" s="104" t="n">
        <f aca="false">MIN(1,MAX(0,(Assumptions!W$96-Project_Register!$AJ$9+1)/(Project_Register!$AK$9-Project_Register!$AJ$9+1)))</f>
        <v>1</v>
      </c>
      <c r="X95" s="104" t="n">
        <f aca="false">MIN(1,MAX(0,(Assumptions!X$96-Project_Register!$AJ$9+1)/(Project_Register!$AK$9-Project_Register!$AJ$9+1)))</f>
        <v>1</v>
      </c>
      <c r="Y95" s="104" t="n">
        <f aca="false">MIN(1,MAX(0,(Assumptions!Y$96-Project_Register!$AJ$9+1)/(Project_Register!$AK$9-Project_Register!$AJ$9+1)))</f>
        <v>1</v>
      </c>
      <c r="Z95" s="104" t="n">
        <f aca="false">MIN(1,MAX(0,(Assumptions!Z$96-Project_Register!$AJ$9+1)/(Project_Register!$AK$9-Project_Register!$AJ$9+1)))</f>
        <v>1</v>
      </c>
      <c r="AA95" s="104" t="n">
        <f aca="false">MIN(1,MAX(0,(Assumptions!AA$96-Project_Register!$AJ$9+1)/(Project_Register!$AK$9-Project_Register!$AJ$9+1)))</f>
        <v>1</v>
      </c>
      <c r="AB95" s="104" t="n">
        <f aca="false">MIN(1,MAX(0,(Assumptions!AB$96-Project_Register!$AJ$9+1)/(Project_Register!$AK$9-Project_Register!$AJ$9+1)))</f>
        <v>1</v>
      </c>
    </row>
    <row r="96" customFormat="false" ht="15" hidden="false" customHeight="false" outlineLevel="0" collapsed="false">
      <c r="A96" s="27" t="s">
        <v>718</v>
      </c>
      <c r="B96" s="56" t="s">
        <v>719</v>
      </c>
      <c r="E96" s="105" t="n">
        <f aca="false">3*E95^2-2*E95^3</f>
        <v>0</v>
      </c>
      <c r="F96" s="105" t="n">
        <f aca="false">3*F95^2-2*F95^3</f>
        <v>0</v>
      </c>
      <c r="G96" s="105" t="n">
        <f aca="false">3*G95^2-2*G95^3</f>
        <v>0.0342935528120713</v>
      </c>
      <c r="H96" s="105" t="n">
        <f aca="false">3*H95^2-2*H95^3</f>
        <v>0.126200274348423</v>
      </c>
      <c r="I96" s="105" t="n">
        <f aca="false">3*I95^2-2*I95^3</f>
        <v>0.259259259259259</v>
      </c>
      <c r="J96" s="105" t="n">
        <f aca="false">3*J95^2-2*J95^3</f>
        <v>0.417009602194787</v>
      </c>
      <c r="K96" s="105" t="n">
        <f aca="false">3*K95^2-2*K95^3</f>
        <v>0.582990397805213</v>
      </c>
      <c r="L96" s="105" t="n">
        <f aca="false">3*L95^2-2*L95^3</f>
        <v>0.740740740740741</v>
      </c>
      <c r="M96" s="105" t="n">
        <f aca="false">3*M95^2-2*M95^3</f>
        <v>0.873799725651578</v>
      </c>
      <c r="N96" s="105" t="n">
        <f aca="false">3*N95^2-2*N95^3</f>
        <v>0.965706447187929</v>
      </c>
      <c r="O96" s="105" t="n">
        <f aca="false">3*O95^2-2*O95^3</f>
        <v>1</v>
      </c>
      <c r="P96" s="105" t="n">
        <f aca="false">3*P95^2-2*P95^3</f>
        <v>1</v>
      </c>
      <c r="Q96" s="105" t="n">
        <f aca="false">3*Q95^2-2*Q95^3</f>
        <v>1</v>
      </c>
      <c r="R96" s="105" t="n">
        <f aca="false">3*R95^2-2*R95^3</f>
        <v>1</v>
      </c>
      <c r="S96" s="105" t="n">
        <f aca="false">3*S95^2-2*S95^3</f>
        <v>1</v>
      </c>
      <c r="T96" s="105" t="n">
        <f aca="false">3*T95^2-2*T95^3</f>
        <v>1</v>
      </c>
      <c r="U96" s="105" t="n">
        <f aca="false">3*U95^2-2*U95^3</f>
        <v>1</v>
      </c>
      <c r="V96" s="105" t="n">
        <f aca="false">3*V95^2-2*V95^3</f>
        <v>1</v>
      </c>
      <c r="W96" s="105" t="n">
        <f aca="false">3*W95^2-2*W95^3</f>
        <v>1</v>
      </c>
      <c r="X96" s="105" t="n">
        <f aca="false">3*X95^2-2*X95^3</f>
        <v>1</v>
      </c>
      <c r="Y96" s="105" t="n">
        <f aca="false">3*Y95^2-2*Y95^3</f>
        <v>1</v>
      </c>
      <c r="Z96" s="105" t="n">
        <f aca="false">3*Z95^2-2*Z95^3</f>
        <v>1</v>
      </c>
      <c r="AA96" s="105" t="n">
        <f aca="false">3*AA95^2-2*AA95^3</f>
        <v>1</v>
      </c>
      <c r="AB96" s="105" t="n">
        <f aca="false">3*AB95^2-2*AB95^3</f>
        <v>1</v>
      </c>
    </row>
    <row r="97" customFormat="false" ht="15" hidden="false" customHeight="false" outlineLevel="0" collapsed="false">
      <c r="A97" s="27" t="s">
        <v>720</v>
      </c>
      <c r="B97" s="56"/>
      <c r="E97" s="104" t="n">
        <f aca="false">3*MIN(1,MAX(0,(Assumptions!E$96-Project_Register!$AJ$9)/(Project_Register!$AK$9-Project_Register!$AJ$9+1)))^2-2*MIN(1,MAX(0,(Assumptions!E$96-Project_Register!$AJ$9)/(Project_Register!$AK$9-Project_Register!$AJ$9+1)))^3</f>
        <v>0</v>
      </c>
      <c r="F97" s="104" t="n">
        <f aca="false">3*MIN(1,MAX(0,(Assumptions!F$96-Project_Register!$AJ$9)/(Project_Register!$AK$9-Project_Register!$AJ$9+1)))^2-2*MIN(1,MAX(0,(Assumptions!F$96-Project_Register!$AJ$9)/(Project_Register!$AK$9-Project_Register!$AJ$9+1)))^3</f>
        <v>0</v>
      </c>
      <c r="G97" s="104" t="n">
        <f aca="false">3*MIN(1,MAX(0,(Assumptions!G$96-Project_Register!$AJ$9)/(Project_Register!$AK$9-Project_Register!$AJ$9+1)))^2-2*MIN(1,MAX(0,(Assumptions!G$96-Project_Register!$AJ$9)/(Project_Register!$AK$9-Project_Register!$AJ$9+1)))^3</f>
        <v>0</v>
      </c>
      <c r="H97" s="104" t="n">
        <f aca="false">3*MIN(1,MAX(0,(Assumptions!H$96-Project_Register!$AJ$9)/(Project_Register!$AK$9-Project_Register!$AJ$9+1)))^2-2*MIN(1,MAX(0,(Assumptions!H$96-Project_Register!$AJ$9)/(Project_Register!$AK$9-Project_Register!$AJ$9+1)))^3</f>
        <v>0.0342935528120713</v>
      </c>
      <c r="I97" s="104" t="n">
        <f aca="false">3*MIN(1,MAX(0,(Assumptions!I$96-Project_Register!$AJ$9)/(Project_Register!$AK$9-Project_Register!$AJ$9+1)))^2-2*MIN(1,MAX(0,(Assumptions!I$96-Project_Register!$AJ$9)/(Project_Register!$AK$9-Project_Register!$AJ$9+1)))^3</f>
        <v>0.126200274348423</v>
      </c>
      <c r="J97" s="104" t="n">
        <f aca="false">3*MIN(1,MAX(0,(Assumptions!J$96-Project_Register!$AJ$9)/(Project_Register!$AK$9-Project_Register!$AJ$9+1)))^2-2*MIN(1,MAX(0,(Assumptions!J$96-Project_Register!$AJ$9)/(Project_Register!$AK$9-Project_Register!$AJ$9+1)))^3</f>
        <v>0.259259259259259</v>
      </c>
      <c r="K97" s="104" t="n">
        <f aca="false">3*MIN(1,MAX(0,(Assumptions!K$96-Project_Register!$AJ$9)/(Project_Register!$AK$9-Project_Register!$AJ$9+1)))^2-2*MIN(1,MAX(0,(Assumptions!K$96-Project_Register!$AJ$9)/(Project_Register!$AK$9-Project_Register!$AJ$9+1)))^3</f>
        <v>0.417009602194787</v>
      </c>
      <c r="L97" s="104" t="n">
        <f aca="false">3*MIN(1,MAX(0,(Assumptions!L$96-Project_Register!$AJ$9)/(Project_Register!$AK$9-Project_Register!$AJ$9+1)))^2-2*MIN(1,MAX(0,(Assumptions!L$96-Project_Register!$AJ$9)/(Project_Register!$AK$9-Project_Register!$AJ$9+1)))^3</f>
        <v>0.582990397805213</v>
      </c>
      <c r="M97" s="104" t="n">
        <f aca="false">3*MIN(1,MAX(0,(Assumptions!M$96-Project_Register!$AJ$9)/(Project_Register!$AK$9-Project_Register!$AJ$9+1)))^2-2*MIN(1,MAX(0,(Assumptions!M$96-Project_Register!$AJ$9)/(Project_Register!$AK$9-Project_Register!$AJ$9+1)))^3</f>
        <v>0.740740740740741</v>
      </c>
      <c r="N97" s="104" t="n">
        <f aca="false">3*MIN(1,MAX(0,(Assumptions!N$96-Project_Register!$AJ$9)/(Project_Register!$AK$9-Project_Register!$AJ$9+1)))^2-2*MIN(1,MAX(0,(Assumptions!N$96-Project_Register!$AJ$9)/(Project_Register!$AK$9-Project_Register!$AJ$9+1)))^3</f>
        <v>0.873799725651578</v>
      </c>
      <c r="O97" s="104" t="n">
        <f aca="false">3*MIN(1,MAX(0,(Assumptions!O$96-Project_Register!$AJ$9)/(Project_Register!$AK$9-Project_Register!$AJ$9+1)))^2-2*MIN(1,MAX(0,(Assumptions!O$96-Project_Register!$AJ$9)/(Project_Register!$AK$9-Project_Register!$AJ$9+1)))^3</f>
        <v>0.965706447187929</v>
      </c>
      <c r="P97" s="104" t="n">
        <f aca="false">3*MIN(1,MAX(0,(Assumptions!P$96-Project_Register!$AJ$9)/(Project_Register!$AK$9-Project_Register!$AJ$9+1)))^2-2*MIN(1,MAX(0,(Assumptions!P$96-Project_Register!$AJ$9)/(Project_Register!$AK$9-Project_Register!$AJ$9+1)))^3</f>
        <v>1</v>
      </c>
      <c r="Q97" s="104" t="n">
        <f aca="false">3*MIN(1,MAX(0,(Assumptions!Q$96-Project_Register!$AJ$9)/(Project_Register!$AK$9-Project_Register!$AJ$9+1)))^2-2*MIN(1,MAX(0,(Assumptions!Q$96-Project_Register!$AJ$9)/(Project_Register!$AK$9-Project_Register!$AJ$9+1)))^3</f>
        <v>1</v>
      </c>
      <c r="R97" s="104" t="n">
        <f aca="false">3*MIN(1,MAX(0,(Assumptions!R$96-Project_Register!$AJ$9)/(Project_Register!$AK$9-Project_Register!$AJ$9+1)))^2-2*MIN(1,MAX(0,(Assumptions!R$96-Project_Register!$AJ$9)/(Project_Register!$AK$9-Project_Register!$AJ$9+1)))^3</f>
        <v>1</v>
      </c>
      <c r="S97" s="104" t="n">
        <f aca="false">3*MIN(1,MAX(0,(Assumptions!S$96-Project_Register!$AJ$9)/(Project_Register!$AK$9-Project_Register!$AJ$9+1)))^2-2*MIN(1,MAX(0,(Assumptions!S$96-Project_Register!$AJ$9)/(Project_Register!$AK$9-Project_Register!$AJ$9+1)))^3</f>
        <v>1</v>
      </c>
      <c r="T97" s="104" t="n">
        <f aca="false">3*MIN(1,MAX(0,(Assumptions!T$96-Project_Register!$AJ$9)/(Project_Register!$AK$9-Project_Register!$AJ$9+1)))^2-2*MIN(1,MAX(0,(Assumptions!T$96-Project_Register!$AJ$9)/(Project_Register!$AK$9-Project_Register!$AJ$9+1)))^3</f>
        <v>1</v>
      </c>
      <c r="U97" s="104" t="n">
        <f aca="false">3*MIN(1,MAX(0,(Assumptions!U$96-Project_Register!$AJ$9)/(Project_Register!$AK$9-Project_Register!$AJ$9+1)))^2-2*MIN(1,MAX(0,(Assumptions!U$96-Project_Register!$AJ$9)/(Project_Register!$AK$9-Project_Register!$AJ$9+1)))^3</f>
        <v>1</v>
      </c>
      <c r="V97" s="104" t="n">
        <f aca="false">3*MIN(1,MAX(0,(Assumptions!V$96-Project_Register!$AJ$9)/(Project_Register!$AK$9-Project_Register!$AJ$9+1)))^2-2*MIN(1,MAX(0,(Assumptions!V$96-Project_Register!$AJ$9)/(Project_Register!$AK$9-Project_Register!$AJ$9+1)))^3</f>
        <v>1</v>
      </c>
      <c r="W97" s="104" t="n">
        <f aca="false">3*MIN(1,MAX(0,(Assumptions!W$96-Project_Register!$AJ$9)/(Project_Register!$AK$9-Project_Register!$AJ$9+1)))^2-2*MIN(1,MAX(0,(Assumptions!W$96-Project_Register!$AJ$9)/(Project_Register!$AK$9-Project_Register!$AJ$9+1)))^3</f>
        <v>1</v>
      </c>
      <c r="X97" s="104" t="n">
        <f aca="false">3*MIN(1,MAX(0,(Assumptions!X$96-Project_Register!$AJ$9)/(Project_Register!$AK$9-Project_Register!$AJ$9+1)))^2-2*MIN(1,MAX(0,(Assumptions!X$96-Project_Register!$AJ$9)/(Project_Register!$AK$9-Project_Register!$AJ$9+1)))^3</f>
        <v>1</v>
      </c>
      <c r="Y97" s="104" t="n">
        <f aca="false">3*MIN(1,MAX(0,(Assumptions!Y$96-Project_Register!$AJ$9)/(Project_Register!$AK$9-Project_Register!$AJ$9+1)))^2-2*MIN(1,MAX(0,(Assumptions!Y$96-Project_Register!$AJ$9)/(Project_Register!$AK$9-Project_Register!$AJ$9+1)))^3</f>
        <v>1</v>
      </c>
      <c r="Z97" s="104" t="n">
        <f aca="false">3*MIN(1,MAX(0,(Assumptions!Z$96-Project_Register!$AJ$9)/(Project_Register!$AK$9-Project_Register!$AJ$9+1)))^2-2*MIN(1,MAX(0,(Assumptions!Z$96-Project_Register!$AJ$9)/(Project_Register!$AK$9-Project_Register!$AJ$9+1)))^3</f>
        <v>1</v>
      </c>
      <c r="AA97" s="104" t="n">
        <f aca="false">3*MIN(1,MAX(0,(Assumptions!AA$96-Project_Register!$AJ$9)/(Project_Register!$AK$9-Project_Register!$AJ$9+1)))^2-2*MIN(1,MAX(0,(Assumptions!AA$96-Project_Register!$AJ$9)/(Project_Register!$AK$9-Project_Register!$AJ$9+1)))^3</f>
        <v>1</v>
      </c>
      <c r="AB97" s="104" t="n">
        <f aca="false">3*MIN(1,MAX(0,(Assumptions!AB$96-Project_Register!$AJ$9)/(Project_Register!$AK$9-Project_Register!$AJ$9+1)))^2-2*MIN(1,MAX(0,(Assumptions!AB$96-Project_Register!$AJ$9)/(Project_Register!$AK$9-Project_Register!$AJ$9+1)))^3</f>
        <v>1</v>
      </c>
    </row>
    <row r="98" customFormat="false" ht="15" hidden="false" customHeight="false" outlineLevel="0" collapsed="false">
      <c r="A98" s="27" t="s">
        <v>721</v>
      </c>
      <c r="B98" s="56" t="s">
        <v>722</v>
      </c>
      <c r="C98" s="57" t="n">
        <f aca="false">SUM(E98:P98)</f>
        <v>190556.2896</v>
      </c>
      <c r="D98" s="57" t="n">
        <f aca="false">SUM(Q98:AB98)</f>
        <v>0</v>
      </c>
      <c r="E98" s="58" t="n">
        <f aca="false">IF(E$5="A",Inputs_Actuals!E27,IF((Project_Register!$AT$9-Project_Register!$AQ$9)&lt;=0,0,IF(1-Project_Register!$AV$9&lt;=0.000001,IF(Assumptions!E$96=Assumptions!$C$10+1,(Project_Register!$AT$9-Project_Register!$AQ$9),0),(Project_Register!$AT$9-Project_Register!$AQ$9)*(E96-E97)/(1-Project_Register!$AV$9)))*Project_Register!$X$9)</f>
        <v>0</v>
      </c>
      <c r="F98" s="58" t="n">
        <f aca="false">IF(F$5="A",Inputs_Actuals!F27,IF((Project_Register!$AT$9-Project_Register!$AQ$9)&lt;=0,0,IF(1-Project_Register!$AV$9&lt;=0.000001,IF(Assumptions!F$96=Assumptions!$C$10+1,(Project_Register!$AT$9-Project_Register!$AQ$9),0),(Project_Register!$AT$9-Project_Register!$AQ$9)*(F96-F97)/(1-Project_Register!$AV$9)))*Project_Register!$X$9)</f>
        <v>0</v>
      </c>
      <c r="G98" s="58" t="n">
        <f aca="false">IF(G$5="A",Inputs_Actuals!G27,IF((Project_Register!$AT$9-Project_Register!$AQ$9)&lt;=0,0,IF(1-Project_Register!$AV$9&lt;=0.000001,IF(Assumptions!G$96=Assumptions!$C$10+1,(Project_Register!$AT$9-Project_Register!$AQ$9),0),(Project_Register!$AT$9-Project_Register!$AQ$9)*(G96-G97)/(1-Project_Register!$AV$9)))*Project_Register!$X$9)</f>
        <v>4847.06</v>
      </c>
      <c r="H98" s="58" t="n">
        <f aca="false">IF(H$5="A",Inputs_Actuals!H27,IF((Project_Register!$AT$9-Project_Register!$AQ$9)&lt;=0,0,IF(1-Project_Register!$AV$9&lt;=0.000001,IF(Assumptions!H$96=Assumptions!$C$10+1,(Project_Register!$AT$9-Project_Register!$AQ$9),0),(Project_Register!$AT$9-Project_Register!$AQ$9)*(H96-H97)/(1-Project_Register!$AV$9)))*Project_Register!$X$9)</f>
        <v>13397.14</v>
      </c>
      <c r="I98" s="58" t="n">
        <f aca="false">IF(I$5="A",Inputs_Actuals!I27,IF((Project_Register!$AT$9-Project_Register!$AQ$9)&lt;=0,0,IF(1-Project_Register!$AV$9&lt;=0.000001,IF(Assumptions!I$96=Assumptions!$C$10+1,(Project_Register!$AT$9-Project_Register!$AQ$9),0),(Project_Register!$AT$9-Project_Register!$AQ$9)*(I96-I97)/(1-Project_Register!$AV$9)))*Project_Register!$X$9)</f>
        <v>23717.38</v>
      </c>
      <c r="J98" s="58" t="n">
        <f aca="false">IF(J$5="A",Inputs_Actuals!J27,IF((Project_Register!$AT$9-Project_Register!$AQ$9)&lt;=0,0,IF(1-Project_Register!$AV$9&lt;=0.000001,IF(Assumptions!J$96=Assumptions!$C$10+1,(Project_Register!$AT$9-Project_Register!$AQ$9),0),(Project_Register!$AT$9-Project_Register!$AQ$9)*(J96-J97)/(1-Project_Register!$AV$9)))*Project_Register!$X$9)</f>
        <v>29166.41</v>
      </c>
      <c r="K98" s="58" t="n">
        <f aca="false">IF(K$5="A",Inputs_Actuals!K27,IF((Project_Register!$AT$9-Project_Register!$AQ$9)&lt;=0,0,IF(1-Project_Register!$AV$9&lt;=0.000001,IF(Assumptions!K$96=Assumptions!$C$10+1,(Project_Register!$AT$9-Project_Register!$AQ$9),0),(Project_Register!$AT$9-Project_Register!$AQ$9)*(K96-K97)/(1-Project_Register!$AV$9)))*Project_Register!$X$9)</f>
        <v>35066.67</v>
      </c>
      <c r="L98" s="58" t="n">
        <f aca="false">IF(L$5="A",Inputs_Actuals!L27,IF((Project_Register!$AT$9-Project_Register!$AQ$9)&lt;=0,0,IF(1-Project_Register!$AV$9&lt;=0.000001,IF(Assumptions!L$96=Assumptions!$C$10+1,(Project_Register!$AT$9-Project_Register!$AQ$9),0),(Project_Register!$AT$9-Project_Register!$AQ$9)*(L96-L97)/(1-Project_Register!$AV$9)))*Project_Register!$X$9)</f>
        <v>30036.98</v>
      </c>
      <c r="M98" s="58" t="n">
        <f aca="false">IF(M$5="A",Inputs_Actuals!M27,IF((Project_Register!$AT$9-Project_Register!$AQ$9)&lt;=0,0,IF(1-Project_Register!$AV$9&lt;=0.000001,IF(Assumptions!M$96=Assumptions!$C$10+1,(Project_Register!$AT$9-Project_Register!$AQ$9),0),(Project_Register!$AT$9-Project_Register!$AQ$9)*(M96-M97)/(1-Project_Register!$AV$9)))*Project_Register!$X$9)</f>
        <v>27880.904821164</v>
      </c>
      <c r="N98" s="58" t="n">
        <f aca="false">IF(N$5="A",Inputs_Actuals!N27,IF((Project_Register!$AT$9-Project_Register!$AQ$9)&lt;=0,0,IF(1-Project_Register!$AV$9&lt;=0.000001,IF(Assumptions!N$96=Assumptions!$C$10+1,(Project_Register!$AT$9-Project_Register!$AQ$9),0),(Project_Register!$AT$9-Project_Register!$AQ$9)*(N96-N97)/(1-Project_Register!$AV$9)))*Project_Register!$X$9)</f>
        <v>19257.9445671958</v>
      </c>
      <c r="O98" s="58" t="n">
        <f aca="false">IF(O$5="A",Inputs_Actuals!O27,IF((Project_Register!$AT$9-Project_Register!$AQ$9)&lt;=0,0,IF(1-Project_Register!$AV$9&lt;=0.000001,IF(Assumptions!O$96=Assumptions!$C$10+1,(Project_Register!$AT$9-Project_Register!$AQ$9),0),(Project_Register!$AT$9-Project_Register!$AQ$9)*(O96-O97)/(1-Project_Register!$AV$9)))*Project_Register!$X$9)</f>
        <v>7185.80021164017</v>
      </c>
      <c r="P98" s="58" t="n">
        <f aca="false">IF(P$5="A",Inputs_Actuals!P27,IF((Project_Register!$AT$9-Project_Register!$AQ$9)&lt;=0,0,IF(1-Project_Register!$AV$9&lt;=0.000001,IF(Assumptions!P$96=Assumptions!$C$10+1,(Project_Register!$AT$9-Project_Register!$AQ$9),0),(Project_Register!$AT$9-Project_Register!$AQ$9)*(P96-P97)/(1-Project_Register!$AV$9)))*Project_Register!$X$9)</f>
        <v>0</v>
      </c>
      <c r="Q98" s="58" t="n">
        <f aca="false">IF(Q$5="A",Inputs_Actuals!Q27,IF((Project_Register!$AT$9-Project_Register!$AQ$9)&lt;=0,0,IF(1-Project_Register!$AV$9&lt;=0.000001,IF(Assumptions!Q$96=Assumptions!$C$10+1,(Project_Register!$AT$9-Project_Register!$AQ$9),0),(Project_Register!$AT$9-Project_Register!$AQ$9)*(Q96-Q97)/(1-Project_Register!$AV$9)))*Project_Register!$X$9)</f>
        <v>0</v>
      </c>
      <c r="R98" s="58" t="n">
        <f aca="false">IF(R$5="A",Inputs_Actuals!R27,IF((Project_Register!$AT$9-Project_Register!$AQ$9)&lt;=0,0,IF(1-Project_Register!$AV$9&lt;=0.000001,IF(Assumptions!R$96=Assumptions!$C$10+1,(Project_Register!$AT$9-Project_Register!$AQ$9),0),(Project_Register!$AT$9-Project_Register!$AQ$9)*(R96-R97)/(1-Project_Register!$AV$9)))*Project_Register!$X$9)</f>
        <v>0</v>
      </c>
      <c r="S98" s="58" t="n">
        <f aca="false">IF(S$5="A",Inputs_Actuals!S27,IF((Project_Register!$AT$9-Project_Register!$AQ$9)&lt;=0,0,IF(1-Project_Register!$AV$9&lt;=0.000001,IF(Assumptions!S$96=Assumptions!$C$10+1,(Project_Register!$AT$9-Project_Register!$AQ$9),0),(Project_Register!$AT$9-Project_Register!$AQ$9)*(S96-S97)/(1-Project_Register!$AV$9)))*Project_Register!$X$9)</f>
        <v>0</v>
      </c>
      <c r="T98" s="58" t="n">
        <f aca="false">IF(T$5="A",Inputs_Actuals!T27,IF((Project_Register!$AT$9-Project_Register!$AQ$9)&lt;=0,0,IF(1-Project_Register!$AV$9&lt;=0.000001,IF(Assumptions!T$96=Assumptions!$C$10+1,(Project_Register!$AT$9-Project_Register!$AQ$9),0),(Project_Register!$AT$9-Project_Register!$AQ$9)*(T96-T97)/(1-Project_Register!$AV$9)))*Project_Register!$X$9)</f>
        <v>0</v>
      </c>
      <c r="U98" s="58" t="n">
        <f aca="false">IF(U$5="A",Inputs_Actuals!U27,IF((Project_Register!$AT$9-Project_Register!$AQ$9)&lt;=0,0,IF(1-Project_Register!$AV$9&lt;=0.000001,IF(Assumptions!U$96=Assumptions!$C$10+1,(Project_Register!$AT$9-Project_Register!$AQ$9),0),(Project_Register!$AT$9-Project_Register!$AQ$9)*(U96-U97)/(1-Project_Register!$AV$9)))*Project_Register!$X$9)</f>
        <v>0</v>
      </c>
      <c r="V98" s="58" t="n">
        <f aca="false">IF(V$5="A",Inputs_Actuals!V27,IF((Project_Register!$AT$9-Project_Register!$AQ$9)&lt;=0,0,IF(1-Project_Register!$AV$9&lt;=0.000001,IF(Assumptions!V$96=Assumptions!$C$10+1,(Project_Register!$AT$9-Project_Register!$AQ$9),0),(Project_Register!$AT$9-Project_Register!$AQ$9)*(V96-V97)/(1-Project_Register!$AV$9)))*Project_Register!$X$9)</f>
        <v>0</v>
      </c>
      <c r="W98" s="58" t="n">
        <f aca="false">IF(W$5="A",Inputs_Actuals!W27,IF((Project_Register!$AT$9-Project_Register!$AQ$9)&lt;=0,0,IF(1-Project_Register!$AV$9&lt;=0.000001,IF(Assumptions!W$96=Assumptions!$C$10+1,(Project_Register!$AT$9-Project_Register!$AQ$9),0),(Project_Register!$AT$9-Project_Register!$AQ$9)*(W96-W97)/(1-Project_Register!$AV$9)))*Project_Register!$X$9)</f>
        <v>0</v>
      </c>
      <c r="X98" s="58" t="n">
        <f aca="false">IF(X$5="A",Inputs_Actuals!X27,IF((Project_Register!$AT$9-Project_Register!$AQ$9)&lt;=0,0,IF(1-Project_Register!$AV$9&lt;=0.000001,IF(Assumptions!X$96=Assumptions!$C$10+1,(Project_Register!$AT$9-Project_Register!$AQ$9),0),(Project_Register!$AT$9-Project_Register!$AQ$9)*(X96-X97)/(1-Project_Register!$AV$9)))*Project_Register!$X$9)</f>
        <v>0</v>
      </c>
      <c r="Y98" s="58" t="n">
        <f aca="false">IF(Y$5="A",Inputs_Actuals!Y27,IF((Project_Register!$AT$9-Project_Register!$AQ$9)&lt;=0,0,IF(1-Project_Register!$AV$9&lt;=0.000001,IF(Assumptions!Y$96=Assumptions!$C$10+1,(Project_Register!$AT$9-Project_Register!$AQ$9),0),(Project_Register!$AT$9-Project_Register!$AQ$9)*(Y96-Y97)/(1-Project_Register!$AV$9)))*Project_Register!$X$9)</f>
        <v>0</v>
      </c>
      <c r="Z98" s="58" t="n">
        <f aca="false">IF(Z$5="A",Inputs_Actuals!Z27,IF((Project_Register!$AT$9-Project_Register!$AQ$9)&lt;=0,0,IF(1-Project_Register!$AV$9&lt;=0.000001,IF(Assumptions!Z$96=Assumptions!$C$10+1,(Project_Register!$AT$9-Project_Register!$AQ$9),0),(Project_Register!$AT$9-Project_Register!$AQ$9)*(Z96-Z97)/(1-Project_Register!$AV$9)))*Project_Register!$X$9)</f>
        <v>0</v>
      </c>
      <c r="AA98" s="58" t="n">
        <f aca="false">IF(AA$5="A",Inputs_Actuals!AA27,IF((Project_Register!$AT$9-Project_Register!$AQ$9)&lt;=0,0,IF(1-Project_Register!$AV$9&lt;=0.000001,IF(Assumptions!AA$96=Assumptions!$C$10+1,(Project_Register!$AT$9-Project_Register!$AQ$9),0),(Project_Register!$AT$9-Project_Register!$AQ$9)*(AA96-AA97)/(1-Project_Register!$AV$9)))*Project_Register!$X$9)</f>
        <v>0</v>
      </c>
      <c r="AB98" s="58" t="n">
        <f aca="false">IF(AB$5="A",Inputs_Actuals!AB27,IF((Project_Register!$AT$9-Project_Register!$AQ$9)&lt;=0,0,IF(1-Project_Register!$AV$9&lt;=0.000001,IF(Assumptions!AB$96=Assumptions!$C$10+1,(Project_Register!$AT$9-Project_Register!$AQ$9),0),(Project_Register!$AT$9-Project_Register!$AQ$9)*(AB96-AB97)/(1-Project_Register!$AV$9)))*Project_Register!$X$9)</f>
        <v>0</v>
      </c>
    </row>
    <row r="99" customFormat="false" ht="15" hidden="false" customHeight="false" outlineLevel="0" collapsed="false">
      <c r="A99" s="27" t="s">
        <v>723</v>
      </c>
      <c r="B99" s="56" t="s">
        <v>722</v>
      </c>
      <c r="C99" s="57" t="n">
        <f aca="false">SUM(E99:P99)</f>
        <v>592896.86</v>
      </c>
      <c r="D99" s="57" t="n">
        <f aca="false">SUM(Q99:AB99)</f>
        <v>0</v>
      </c>
      <c r="E99" s="58" t="n">
        <f aca="false">IF(E$5="A",Inputs_Actuals!E28,IF((Project_Register!$AT$9-Project_Register!$AQ$9)&lt;=0,0,IF(1-Project_Register!$AV$9&lt;=0.000001,IF(Assumptions!E$96=Assumptions!$C$10+1,(Project_Register!$AT$9-Project_Register!$AQ$9),0),(Project_Register!$AT$9-Project_Register!$AQ$9)*(E96-E97)/(1-Project_Register!$AV$9)))*Project_Register!$Y$9)</f>
        <v>0</v>
      </c>
      <c r="F99" s="58" t="n">
        <f aca="false">IF(F$5="A",Inputs_Actuals!F28,IF((Project_Register!$AT$9-Project_Register!$AQ$9)&lt;=0,0,IF(1-Project_Register!$AV$9&lt;=0.000001,IF(Assumptions!F$96=Assumptions!$C$10+1,(Project_Register!$AT$9-Project_Register!$AQ$9),0),(Project_Register!$AT$9-Project_Register!$AQ$9)*(F96-F97)/(1-Project_Register!$AV$9)))*Project_Register!$Y$9)</f>
        <v>0</v>
      </c>
      <c r="G99" s="58" t="n">
        <f aca="false">IF(G$5="A",Inputs_Actuals!G28,IF((Project_Register!$AT$9-Project_Register!$AQ$9)&lt;=0,0,IF(1-Project_Register!$AV$9&lt;=0.000001,IF(Assumptions!G$96=Assumptions!$C$10+1,(Project_Register!$AT$9-Project_Register!$AQ$9),0),(Project_Register!$AT$9-Project_Register!$AQ$9)*(G96-G97)/(1-Project_Register!$AV$9)))*Project_Register!$Y$9)</f>
        <v>18113.03</v>
      </c>
      <c r="H99" s="58" t="n">
        <f aca="false">IF(H$5="A",Inputs_Actuals!H28,IF((Project_Register!$AT$9-Project_Register!$AQ$9)&lt;=0,0,IF(1-Project_Register!$AV$9&lt;=0.000001,IF(Assumptions!H$96=Assumptions!$C$10+1,(Project_Register!$AT$9-Project_Register!$AQ$9),0),(Project_Register!$AT$9-Project_Register!$AQ$9)*(H96-H97)/(1-Project_Register!$AV$9)))*Project_Register!$Y$9)</f>
        <v>44923.87</v>
      </c>
      <c r="I99" s="58" t="n">
        <f aca="false">IF(I$5="A",Inputs_Actuals!I28,IF((Project_Register!$AT$9-Project_Register!$AQ$9)&lt;=0,0,IF(1-Project_Register!$AV$9&lt;=0.000001,IF(Assumptions!I$96=Assumptions!$C$10+1,(Project_Register!$AT$9-Project_Register!$AQ$9),0),(Project_Register!$AT$9-Project_Register!$AQ$9)*(I96-I97)/(1-Project_Register!$AV$9)))*Project_Register!$Y$9)</f>
        <v>70640.96</v>
      </c>
      <c r="J99" s="58" t="n">
        <f aca="false">IF(J$5="A",Inputs_Actuals!J28,IF((Project_Register!$AT$9-Project_Register!$AQ$9)&lt;=0,0,IF(1-Project_Register!$AV$9&lt;=0.000001,IF(Assumptions!J$96=Assumptions!$C$10+1,(Project_Register!$AT$9-Project_Register!$AQ$9),0),(Project_Register!$AT$9-Project_Register!$AQ$9)*(J96-J97)/(1-Project_Register!$AV$9)))*Project_Register!$Y$9)</f>
        <v>89625.98</v>
      </c>
      <c r="K99" s="58" t="n">
        <f aca="false">IF(K$5="A",Inputs_Actuals!K28,IF((Project_Register!$AT$9-Project_Register!$AQ$9)&lt;=0,0,IF(1-Project_Register!$AV$9&lt;=0.000001,IF(Assumptions!K$96=Assumptions!$C$10+1,(Project_Register!$AT$9-Project_Register!$AQ$9),0),(Project_Register!$AT$9-Project_Register!$AQ$9)*(K96-K97)/(1-Project_Register!$AV$9)))*Project_Register!$Y$9)</f>
        <v>109569.75</v>
      </c>
      <c r="L99" s="58" t="n">
        <f aca="false">IF(L$5="A",Inputs_Actuals!L28,IF((Project_Register!$AT$9-Project_Register!$AQ$9)&lt;=0,0,IF(1-Project_Register!$AV$9&lt;=0.000001,IF(Assumptions!L$96=Assumptions!$C$10+1,(Project_Register!$AT$9-Project_Register!$AQ$9),0),(Project_Register!$AT$9-Project_Register!$AQ$9)*(L96-L97)/(1-Project_Register!$AV$9)))*Project_Register!$Y$9)</f>
        <v>90258.74</v>
      </c>
      <c r="M99" s="58" t="n">
        <f aca="false">IF(M$5="A",Inputs_Actuals!M28,IF((Project_Register!$AT$9-Project_Register!$AQ$9)&lt;=0,0,IF(1-Project_Register!$AV$9&lt;=0.000001,IF(Assumptions!M$96=Assumptions!$C$10+1,(Project_Register!$AT$9-Project_Register!$AQ$9),0),(Project_Register!$AT$9-Project_Register!$AQ$9)*(M96-M97)/(1-Project_Register!$AV$9)))*Project_Register!$Y$9)</f>
        <v>87127.8275661375</v>
      </c>
      <c r="N99" s="58" t="n">
        <f aca="false">IF(N$5="A",Inputs_Actuals!N28,IF((Project_Register!$AT$9-Project_Register!$AQ$9)&lt;=0,0,IF(1-Project_Register!$AV$9&lt;=0.000001,IF(Assumptions!N$96=Assumptions!$C$10+1,(Project_Register!$AT$9-Project_Register!$AQ$9),0),(Project_Register!$AT$9-Project_Register!$AQ$9)*(N96-N97)/(1-Project_Register!$AV$9)))*Project_Register!$Y$9)</f>
        <v>60181.0767724869</v>
      </c>
      <c r="O99" s="58" t="n">
        <f aca="false">IF(O$5="A",Inputs_Actuals!O28,IF((Project_Register!$AT$9-Project_Register!$AQ$9)&lt;=0,0,IF(1-Project_Register!$AV$9&lt;=0.000001,IF(Assumptions!O$96=Assumptions!$C$10+1,(Project_Register!$AT$9-Project_Register!$AQ$9),0),(Project_Register!$AT$9-Project_Register!$AQ$9)*(O96-O97)/(1-Project_Register!$AV$9)))*Project_Register!$Y$9)</f>
        <v>22455.6256613755</v>
      </c>
      <c r="P99" s="58" t="n">
        <f aca="false">IF(P$5="A",Inputs_Actuals!P28,IF((Project_Register!$AT$9-Project_Register!$AQ$9)&lt;=0,0,IF(1-Project_Register!$AV$9&lt;=0.000001,IF(Assumptions!P$96=Assumptions!$C$10+1,(Project_Register!$AT$9-Project_Register!$AQ$9),0),(Project_Register!$AT$9-Project_Register!$AQ$9)*(P96-P97)/(1-Project_Register!$AV$9)))*Project_Register!$Y$9)</f>
        <v>0</v>
      </c>
      <c r="Q99" s="58" t="n">
        <f aca="false">IF(Q$5="A",Inputs_Actuals!Q28,IF((Project_Register!$AT$9-Project_Register!$AQ$9)&lt;=0,0,IF(1-Project_Register!$AV$9&lt;=0.000001,IF(Assumptions!Q$96=Assumptions!$C$10+1,(Project_Register!$AT$9-Project_Register!$AQ$9),0),(Project_Register!$AT$9-Project_Register!$AQ$9)*(Q96-Q97)/(1-Project_Register!$AV$9)))*Project_Register!$Y$9)</f>
        <v>0</v>
      </c>
      <c r="R99" s="58" t="n">
        <f aca="false">IF(R$5="A",Inputs_Actuals!R28,IF((Project_Register!$AT$9-Project_Register!$AQ$9)&lt;=0,0,IF(1-Project_Register!$AV$9&lt;=0.000001,IF(Assumptions!R$96=Assumptions!$C$10+1,(Project_Register!$AT$9-Project_Register!$AQ$9),0),(Project_Register!$AT$9-Project_Register!$AQ$9)*(R96-R97)/(1-Project_Register!$AV$9)))*Project_Register!$Y$9)</f>
        <v>0</v>
      </c>
      <c r="S99" s="58" t="n">
        <f aca="false">IF(S$5="A",Inputs_Actuals!S28,IF((Project_Register!$AT$9-Project_Register!$AQ$9)&lt;=0,0,IF(1-Project_Register!$AV$9&lt;=0.000001,IF(Assumptions!S$96=Assumptions!$C$10+1,(Project_Register!$AT$9-Project_Register!$AQ$9),0),(Project_Register!$AT$9-Project_Register!$AQ$9)*(S96-S97)/(1-Project_Register!$AV$9)))*Project_Register!$Y$9)</f>
        <v>0</v>
      </c>
      <c r="T99" s="58" t="n">
        <f aca="false">IF(T$5="A",Inputs_Actuals!T28,IF((Project_Register!$AT$9-Project_Register!$AQ$9)&lt;=0,0,IF(1-Project_Register!$AV$9&lt;=0.000001,IF(Assumptions!T$96=Assumptions!$C$10+1,(Project_Register!$AT$9-Project_Register!$AQ$9),0),(Project_Register!$AT$9-Project_Register!$AQ$9)*(T96-T97)/(1-Project_Register!$AV$9)))*Project_Register!$Y$9)</f>
        <v>0</v>
      </c>
      <c r="U99" s="58" t="n">
        <f aca="false">IF(U$5="A",Inputs_Actuals!U28,IF((Project_Register!$AT$9-Project_Register!$AQ$9)&lt;=0,0,IF(1-Project_Register!$AV$9&lt;=0.000001,IF(Assumptions!U$96=Assumptions!$C$10+1,(Project_Register!$AT$9-Project_Register!$AQ$9),0),(Project_Register!$AT$9-Project_Register!$AQ$9)*(U96-U97)/(1-Project_Register!$AV$9)))*Project_Register!$Y$9)</f>
        <v>0</v>
      </c>
      <c r="V99" s="58" t="n">
        <f aca="false">IF(V$5="A",Inputs_Actuals!V28,IF((Project_Register!$AT$9-Project_Register!$AQ$9)&lt;=0,0,IF(1-Project_Register!$AV$9&lt;=0.000001,IF(Assumptions!V$96=Assumptions!$C$10+1,(Project_Register!$AT$9-Project_Register!$AQ$9),0),(Project_Register!$AT$9-Project_Register!$AQ$9)*(V96-V97)/(1-Project_Register!$AV$9)))*Project_Register!$Y$9)</f>
        <v>0</v>
      </c>
      <c r="W99" s="58" t="n">
        <f aca="false">IF(W$5="A",Inputs_Actuals!W28,IF((Project_Register!$AT$9-Project_Register!$AQ$9)&lt;=0,0,IF(1-Project_Register!$AV$9&lt;=0.000001,IF(Assumptions!W$96=Assumptions!$C$10+1,(Project_Register!$AT$9-Project_Register!$AQ$9),0),(Project_Register!$AT$9-Project_Register!$AQ$9)*(W96-W97)/(1-Project_Register!$AV$9)))*Project_Register!$Y$9)</f>
        <v>0</v>
      </c>
      <c r="X99" s="58" t="n">
        <f aca="false">IF(X$5="A",Inputs_Actuals!X28,IF((Project_Register!$AT$9-Project_Register!$AQ$9)&lt;=0,0,IF(1-Project_Register!$AV$9&lt;=0.000001,IF(Assumptions!X$96=Assumptions!$C$10+1,(Project_Register!$AT$9-Project_Register!$AQ$9),0),(Project_Register!$AT$9-Project_Register!$AQ$9)*(X96-X97)/(1-Project_Register!$AV$9)))*Project_Register!$Y$9)</f>
        <v>0</v>
      </c>
      <c r="Y99" s="58" t="n">
        <f aca="false">IF(Y$5="A",Inputs_Actuals!Y28,IF((Project_Register!$AT$9-Project_Register!$AQ$9)&lt;=0,0,IF(1-Project_Register!$AV$9&lt;=0.000001,IF(Assumptions!Y$96=Assumptions!$C$10+1,(Project_Register!$AT$9-Project_Register!$AQ$9),0),(Project_Register!$AT$9-Project_Register!$AQ$9)*(Y96-Y97)/(1-Project_Register!$AV$9)))*Project_Register!$Y$9)</f>
        <v>0</v>
      </c>
      <c r="Z99" s="58" t="n">
        <f aca="false">IF(Z$5="A",Inputs_Actuals!Z28,IF((Project_Register!$AT$9-Project_Register!$AQ$9)&lt;=0,0,IF(1-Project_Register!$AV$9&lt;=0.000001,IF(Assumptions!Z$96=Assumptions!$C$10+1,(Project_Register!$AT$9-Project_Register!$AQ$9),0),(Project_Register!$AT$9-Project_Register!$AQ$9)*(Z96-Z97)/(1-Project_Register!$AV$9)))*Project_Register!$Y$9)</f>
        <v>0</v>
      </c>
      <c r="AA99" s="58" t="n">
        <f aca="false">IF(AA$5="A",Inputs_Actuals!AA28,IF((Project_Register!$AT$9-Project_Register!$AQ$9)&lt;=0,0,IF(1-Project_Register!$AV$9&lt;=0.000001,IF(Assumptions!AA$96=Assumptions!$C$10+1,(Project_Register!$AT$9-Project_Register!$AQ$9),0),(Project_Register!$AT$9-Project_Register!$AQ$9)*(AA96-AA97)/(1-Project_Register!$AV$9)))*Project_Register!$Y$9)</f>
        <v>0</v>
      </c>
      <c r="AB99" s="58" t="n">
        <f aca="false">IF(AB$5="A",Inputs_Actuals!AB28,IF((Project_Register!$AT$9-Project_Register!$AQ$9)&lt;=0,0,IF(1-Project_Register!$AV$9&lt;=0.000001,IF(Assumptions!AB$96=Assumptions!$C$10+1,(Project_Register!$AT$9-Project_Register!$AQ$9),0),(Project_Register!$AT$9-Project_Register!$AQ$9)*(AB96-AB97)/(1-Project_Register!$AV$9)))*Project_Register!$Y$9)</f>
        <v>0</v>
      </c>
    </row>
    <row r="100" customFormat="false" ht="15" hidden="false" customHeight="false" outlineLevel="0" collapsed="false">
      <c r="A100" s="27" t="s">
        <v>724</v>
      </c>
      <c r="B100" s="56" t="s">
        <v>722</v>
      </c>
      <c r="C100" s="57" t="n">
        <f aca="false">SUM(E100:P100)</f>
        <v>286204.7844</v>
      </c>
      <c r="D100" s="57" t="n">
        <f aca="false">SUM(Q100:AB100)</f>
        <v>0</v>
      </c>
      <c r="E100" s="58" t="n">
        <f aca="false">IF(E$5="A",Inputs_Actuals!E29,IF((Project_Register!$AT$9-Project_Register!$AQ$9)&lt;=0,0,IF(1-Project_Register!$AV$9&lt;=0.000001,IF(Assumptions!E$96=Assumptions!$C$10+1,(Project_Register!$AT$9-Project_Register!$AQ$9),0),(Project_Register!$AT$9-Project_Register!$AQ$9)*(E96-E97)/(1-Project_Register!$AV$9)))*Project_Register!$Z$9)</f>
        <v>0</v>
      </c>
      <c r="F100" s="58" t="n">
        <f aca="false">IF(F$5="A",Inputs_Actuals!F29,IF((Project_Register!$AT$9-Project_Register!$AQ$9)&lt;=0,0,IF(1-Project_Register!$AV$9&lt;=0.000001,IF(Assumptions!F$96=Assumptions!$C$10+1,(Project_Register!$AT$9-Project_Register!$AQ$9),0),(Project_Register!$AT$9-Project_Register!$AQ$9)*(F96-F97)/(1-Project_Register!$AV$9)))*Project_Register!$Z$9)</f>
        <v>0</v>
      </c>
      <c r="G100" s="58" t="n">
        <f aca="false">IF(G$5="A",Inputs_Actuals!G29,IF((Project_Register!$AT$9-Project_Register!$AQ$9)&lt;=0,0,IF(1-Project_Register!$AV$9&lt;=0.000001,IF(Assumptions!G$96=Assumptions!$C$10+1,(Project_Register!$AT$9-Project_Register!$AQ$9),0),(Project_Register!$AT$9-Project_Register!$AQ$9)*(G96-G97)/(1-Project_Register!$AV$9)))*Project_Register!$Z$9)</f>
        <v>7969.6</v>
      </c>
      <c r="H100" s="58" t="n">
        <f aca="false">IF(H$5="A",Inputs_Actuals!H29,IF((Project_Register!$AT$9-Project_Register!$AQ$9)&lt;=0,0,IF(1-Project_Register!$AV$9&lt;=0.000001,IF(Assumptions!H$96=Assumptions!$C$10+1,(Project_Register!$AT$9-Project_Register!$AQ$9),0),(Project_Register!$AT$9-Project_Register!$AQ$9)*(H96-H97)/(1-Project_Register!$AV$9)))*Project_Register!$Z$9)</f>
        <v>21409.7</v>
      </c>
      <c r="I100" s="58" t="n">
        <f aca="false">IF(I$5="A",Inputs_Actuals!I29,IF((Project_Register!$AT$9-Project_Register!$AQ$9)&lt;=0,0,IF(1-Project_Register!$AV$9&lt;=0.000001,IF(Assumptions!I$96=Assumptions!$C$10+1,(Project_Register!$AT$9-Project_Register!$AQ$9),0),(Project_Register!$AT$9-Project_Register!$AQ$9)*(I96-I97)/(1-Project_Register!$AV$9)))*Project_Register!$Z$9)</f>
        <v>34121.09</v>
      </c>
      <c r="J100" s="58" t="n">
        <f aca="false">IF(J$5="A",Inputs_Actuals!J29,IF((Project_Register!$AT$9-Project_Register!$AQ$9)&lt;=0,0,IF(1-Project_Register!$AV$9&lt;=0.000001,IF(Assumptions!J$96=Assumptions!$C$10+1,(Project_Register!$AT$9-Project_Register!$AQ$9),0),(Project_Register!$AT$9-Project_Register!$AQ$9)*(J96-J97)/(1-Project_Register!$AV$9)))*Project_Register!$Z$9)</f>
        <v>47617.47</v>
      </c>
      <c r="K100" s="58" t="n">
        <f aca="false">IF(K$5="A",Inputs_Actuals!K29,IF((Project_Register!$AT$9-Project_Register!$AQ$9)&lt;=0,0,IF(1-Project_Register!$AV$9&lt;=0.000001,IF(Assumptions!K$96=Assumptions!$C$10+1,(Project_Register!$AT$9-Project_Register!$AQ$9),0),(Project_Register!$AT$9-Project_Register!$AQ$9)*(K96-K97)/(1-Project_Register!$AV$9)))*Project_Register!$Z$9)</f>
        <v>55295.75</v>
      </c>
      <c r="L100" s="58" t="n">
        <f aca="false">IF(L$5="A",Inputs_Actuals!L29,IF((Project_Register!$AT$9-Project_Register!$AQ$9)&lt;=0,0,IF(1-Project_Register!$AV$9&lt;=0.000001,IF(Assumptions!L$96=Assumptions!$C$10+1,(Project_Register!$AT$9-Project_Register!$AQ$9),0),(Project_Register!$AT$9-Project_Register!$AQ$9)*(L96-L97)/(1-Project_Register!$AV$9)))*Project_Register!$Z$9)</f>
        <v>38304.2</v>
      </c>
      <c r="M100" s="58" t="n">
        <f aca="false">IF(M$5="A",Inputs_Actuals!M29,IF((Project_Register!$AT$9-Project_Register!$AQ$9)&lt;=0,0,IF(1-Project_Register!$AV$9&lt;=0.000001,IF(Assumptions!M$96=Assumptions!$C$10+1,(Project_Register!$AT$9-Project_Register!$AQ$9),0),(Project_Register!$AT$9-Project_Register!$AQ$9)*(M96-M97)/(1-Project_Register!$AV$9)))*Project_Register!$Z$9)</f>
        <v>41821.357231746</v>
      </c>
      <c r="N100" s="58" t="n">
        <f aca="false">IF(N$5="A",Inputs_Actuals!N29,IF((Project_Register!$AT$9-Project_Register!$AQ$9)&lt;=0,0,IF(1-Project_Register!$AV$9&lt;=0.000001,IF(Assumptions!N$96=Assumptions!$C$10+1,(Project_Register!$AT$9-Project_Register!$AQ$9),0),(Project_Register!$AT$9-Project_Register!$AQ$9)*(N96-N97)/(1-Project_Register!$AV$9)))*Project_Register!$Z$9)</f>
        <v>28886.9168507937</v>
      </c>
      <c r="O100" s="58" t="n">
        <f aca="false">IF(O$5="A",Inputs_Actuals!O29,IF((Project_Register!$AT$9-Project_Register!$AQ$9)&lt;=0,0,IF(1-Project_Register!$AV$9&lt;=0.000001,IF(Assumptions!O$96=Assumptions!$C$10+1,(Project_Register!$AT$9-Project_Register!$AQ$9),0),(Project_Register!$AT$9-Project_Register!$AQ$9)*(O96-O97)/(1-Project_Register!$AV$9)))*Project_Register!$Z$9)</f>
        <v>10778.7003174603</v>
      </c>
      <c r="P100" s="58" t="n">
        <f aca="false">IF(P$5="A",Inputs_Actuals!P29,IF((Project_Register!$AT$9-Project_Register!$AQ$9)&lt;=0,0,IF(1-Project_Register!$AV$9&lt;=0.000001,IF(Assumptions!P$96=Assumptions!$C$10+1,(Project_Register!$AT$9-Project_Register!$AQ$9),0),(Project_Register!$AT$9-Project_Register!$AQ$9)*(P96-P97)/(1-Project_Register!$AV$9)))*Project_Register!$Z$9)</f>
        <v>0</v>
      </c>
      <c r="Q100" s="58" t="n">
        <f aca="false">IF(Q$5="A",Inputs_Actuals!Q29,IF((Project_Register!$AT$9-Project_Register!$AQ$9)&lt;=0,0,IF(1-Project_Register!$AV$9&lt;=0.000001,IF(Assumptions!Q$96=Assumptions!$C$10+1,(Project_Register!$AT$9-Project_Register!$AQ$9),0),(Project_Register!$AT$9-Project_Register!$AQ$9)*(Q96-Q97)/(1-Project_Register!$AV$9)))*Project_Register!$Z$9)</f>
        <v>0</v>
      </c>
      <c r="R100" s="58" t="n">
        <f aca="false">IF(R$5="A",Inputs_Actuals!R29,IF((Project_Register!$AT$9-Project_Register!$AQ$9)&lt;=0,0,IF(1-Project_Register!$AV$9&lt;=0.000001,IF(Assumptions!R$96=Assumptions!$C$10+1,(Project_Register!$AT$9-Project_Register!$AQ$9),0),(Project_Register!$AT$9-Project_Register!$AQ$9)*(R96-R97)/(1-Project_Register!$AV$9)))*Project_Register!$Z$9)</f>
        <v>0</v>
      </c>
      <c r="S100" s="58" t="n">
        <f aca="false">IF(S$5="A",Inputs_Actuals!S29,IF((Project_Register!$AT$9-Project_Register!$AQ$9)&lt;=0,0,IF(1-Project_Register!$AV$9&lt;=0.000001,IF(Assumptions!S$96=Assumptions!$C$10+1,(Project_Register!$AT$9-Project_Register!$AQ$9),0),(Project_Register!$AT$9-Project_Register!$AQ$9)*(S96-S97)/(1-Project_Register!$AV$9)))*Project_Register!$Z$9)</f>
        <v>0</v>
      </c>
      <c r="T100" s="58" t="n">
        <f aca="false">IF(T$5="A",Inputs_Actuals!T29,IF((Project_Register!$AT$9-Project_Register!$AQ$9)&lt;=0,0,IF(1-Project_Register!$AV$9&lt;=0.000001,IF(Assumptions!T$96=Assumptions!$C$10+1,(Project_Register!$AT$9-Project_Register!$AQ$9),0),(Project_Register!$AT$9-Project_Register!$AQ$9)*(T96-T97)/(1-Project_Register!$AV$9)))*Project_Register!$Z$9)</f>
        <v>0</v>
      </c>
      <c r="U100" s="58" t="n">
        <f aca="false">IF(U$5="A",Inputs_Actuals!U29,IF((Project_Register!$AT$9-Project_Register!$AQ$9)&lt;=0,0,IF(1-Project_Register!$AV$9&lt;=0.000001,IF(Assumptions!U$96=Assumptions!$C$10+1,(Project_Register!$AT$9-Project_Register!$AQ$9),0),(Project_Register!$AT$9-Project_Register!$AQ$9)*(U96-U97)/(1-Project_Register!$AV$9)))*Project_Register!$Z$9)</f>
        <v>0</v>
      </c>
      <c r="V100" s="58" t="n">
        <f aca="false">IF(V$5="A",Inputs_Actuals!V29,IF((Project_Register!$AT$9-Project_Register!$AQ$9)&lt;=0,0,IF(1-Project_Register!$AV$9&lt;=0.000001,IF(Assumptions!V$96=Assumptions!$C$10+1,(Project_Register!$AT$9-Project_Register!$AQ$9),0),(Project_Register!$AT$9-Project_Register!$AQ$9)*(V96-V97)/(1-Project_Register!$AV$9)))*Project_Register!$Z$9)</f>
        <v>0</v>
      </c>
      <c r="W100" s="58" t="n">
        <f aca="false">IF(W$5="A",Inputs_Actuals!W29,IF((Project_Register!$AT$9-Project_Register!$AQ$9)&lt;=0,0,IF(1-Project_Register!$AV$9&lt;=0.000001,IF(Assumptions!W$96=Assumptions!$C$10+1,(Project_Register!$AT$9-Project_Register!$AQ$9),0),(Project_Register!$AT$9-Project_Register!$AQ$9)*(W96-W97)/(1-Project_Register!$AV$9)))*Project_Register!$Z$9)</f>
        <v>0</v>
      </c>
      <c r="X100" s="58" t="n">
        <f aca="false">IF(X$5="A",Inputs_Actuals!X29,IF((Project_Register!$AT$9-Project_Register!$AQ$9)&lt;=0,0,IF(1-Project_Register!$AV$9&lt;=0.000001,IF(Assumptions!X$96=Assumptions!$C$10+1,(Project_Register!$AT$9-Project_Register!$AQ$9),0),(Project_Register!$AT$9-Project_Register!$AQ$9)*(X96-X97)/(1-Project_Register!$AV$9)))*Project_Register!$Z$9)</f>
        <v>0</v>
      </c>
      <c r="Y100" s="58" t="n">
        <f aca="false">IF(Y$5="A",Inputs_Actuals!Y29,IF((Project_Register!$AT$9-Project_Register!$AQ$9)&lt;=0,0,IF(1-Project_Register!$AV$9&lt;=0.000001,IF(Assumptions!Y$96=Assumptions!$C$10+1,(Project_Register!$AT$9-Project_Register!$AQ$9),0),(Project_Register!$AT$9-Project_Register!$AQ$9)*(Y96-Y97)/(1-Project_Register!$AV$9)))*Project_Register!$Z$9)</f>
        <v>0</v>
      </c>
      <c r="Z100" s="58" t="n">
        <f aca="false">IF(Z$5="A",Inputs_Actuals!Z29,IF((Project_Register!$AT$9-Project_Register!$AQ$9)&lt;=0,0,IF(1-Project_Register!$AV$9&lt;=0.000001,IF(Assumptions!Z$96=Assumptions!$C$10+1,(Project_Register!$AT$9-Project_Register!$AQ$9),0),(Project_Register!$AT$9-Project_Register!$AQ$9)*(Z96-Z97)/(1-Project_Register!$AV$9)))*Project_Register!$Z$9)</f>
        <v>0</v>
      </c>
      <c r="AA100" s="58" t="n">
        <f aca="false">IF(AA$5="A",Inputs_Actuals!AA29,IF((Project_Register!$AT$9-Project_Register!$AQ$9)&lt;=0,0,IF(1-Project_Register!$AV$9&lt;=0.000001,IF(Assumptions!AA$96=Assumptions!$C$10+1,(Project_Register!$AT$9-Project_Register!$AQ$9),0),(Project_Register!$AT$9-Project_Register!$AQ$9)*(AA96-AA97)/(1-Project_Register!$AV$9)))*Project_Register!$Z$9)</f>
        <v>0</v>
      </c>
      <c r="AB100" s="58" t="n">
        <f aca="false">IF(AB$5="A",Inputs_Actuals!AB29,IF((Project_Register!$AT$9-Project_Register!$AQ$9)&lt;=0,0,IF(1-Project_Register!$AV$9&lt;=0.000001,IF(Assumptions!AB$96=Assumptions!$C$10+1,(Project_Register!$AT$9-Project_Register!$AQ$9),0),(Project_Register!$AT$9-Project_Register!$AQ$9)*(AB96-AB97)/(1-Project_Register!$AV$9)))*Project_Register!$Z$9)</f>
        <v>0</v>
      </c>
    </row>
    <row r="101" customFormat="false" ht="15" hidden="false" customHeight="false" outlineLevel="0" collapsed="false">
      <c r="A101" s="27" t="s">
        <v>725</v>
      </c>
      <c r="B101" s="56" t="s">
        <v>722</v>
      </c>
      <c r="C101" s="57" t="n">
        <f aca="false">SUM(E101:P101)</f>
        <v>35360.5218</v>
      </c>
      <c r="D101" s="57" t="n">
        <f aca="false">SUM(Q101:AB101)</f>
        <v>0</v>
      </c>
      <c r="E101" s="58" t="n">
        <f aca="false">IF(E$5="A",Inputs_Actuals!E30,IF((Project_Register!$AT$9-Project_Register!$AQ$9)&lt;=0,0,IF(1-Project_Register!$AV$9&lt;=0.000001,IF(Assumptions!E$96=Assumptions!$C$10+1,(Project_Register!$AT$9-Project_Register!$AQ$9),0),(Project_Register!$AT$9-Project_Register!$AQ$9)*(E96-E97)/(1-Project_Register!$AV$9)))*Project_Register!$AA$9)</f>
        <v>0</v>
      </c>
      <c r="F101" s="58" t="n">
        <f aca="false">IF(F$5="A",Inputs_Actuals!F30,IF((Project_Register!$AT$9-Project_Register!$AQ$9)&lt;=0,0,IF(1-Project_Register!$AV$9&lt;=0.000001,IF(Assumptions!F$96=Assumptions!$C$10+1,(Project_Register!$AT$9-Project_Register!$AQ$9),0),(Project_Register!$AT$9-Project_Register!$AQ$9)*(F96-F97)/(1-Project_Register!$AV$9)))*Project_Register!$AA$9)</f>
        <v>0</v>
      </c>
      <c r="G101" s="58" t="n">
        <f aca="false">IF(G$5="A",Inputs_Actuals!G30,IF((Project_Register!$AT$9-Project_Register!$AQ$9)&lt;=0,0,IF(1-Project_Register!$AV$9&lt;=0.000001,IF(Assumptions!G$96=Assumptions!$C$10+1,(Project_Register!$AT$9-Project_Register!$AQ$9),0),(Project_Register!$AT$9-Project_Register!$AQ$9)*(G96-G97)/(1-Project_Register!$AV$9)))*Project_Register!$AA$9)</f>
        <v>989.86</v>
      </c>
      <c r="H101" s="58" t="n">
        <f aca="false">IF(H$5="A",Inputs_Actuals!H30,IF((Project_Register!$AT$9-Project_Register!$AQ$9)&lt;=0,0,IF(1-Project_Register!$AV$9&lt;=0.000001,IF(Assumptions!H$96=Assumptions!$C$10+1,(Project_Register!$AT$9-Project_Register!$AQ$9),0),(Project_Register!$AT$9-Project_Register!$AQ$9)*(H96-H97)/(1-Project_Register!$AV$9)))*Project_Register!$AA$9)</f>
        <v>2574.07</v>
      </c>
      <c r="I101" s="58" t="n">
        <f aca="false">IF(I$5="A",Inputs_Actuals!I30,IF((Project_Register!$AT$9-Project_Register!$AQ$9)&lt;=0,0,IF(1-Project_Register!$AV$9&lt;=0.000001,IF(Assumptions!I$96=Assumptions!$C$10+1,(Project_Register!$AT$9-Project_Register!$AQ$9),0),(Project_Register!$AT$9-Project_Register!$AQ$9)*(I96-I97)/(1-Project_Register!$AV$9)))*Project_Register!$AA$9)</f>
        <v>4285.88</v>
      </c>
      <c r="J101" s="58" t="n">
        <f aca="false">IF(J$5="A",Inputs_Actuals!J30,IF((Project_Register!$AT$9-Project_Register!$AQ$9)&lt;=0,0,IF(1-Project_Register!$AV$9&lt;=0.000001,IF(Assumptions!J$96=Assumptions!$C$10+1,(Project_Register!$AT$9-Project_Register!$AQ$9),0),(Project_Register!$AT$9-Project_Register!$AQ$9)*(J96-J97)/(1-Project_Register!$AV$9)))*Project_Register!$AA$9)</f>
        <v>5906.54</v>
      </c>
      <c r="K101" s="58" t="n">
        <f aca="false">IF(K$5="A",Inputs_Actuals!K30,IF((Project_Register!$AT$9-Project_Register!$AQ$9)&lt;=0,0,IF(1-Project_Register!$AV$9&lt;=0.000001,IF(Assumptions!K$96=Assumptions!$C$10+1,(Project_Register!$AT$9-Project_Register!$AQ$9),0),(Project_Register!$AT$9-Project_Register!$AQ$9)*(K96-K97)/(1-Project_Register!$AV$9)))*Project_Register!$AA$9)</f>
        <v>6585.68</v>
      </c>
      <c r="L101" s="58" t="n">
        <f aca="false">IF(L$5="A",Inputs_Actuals!L30,IF((Project_Register!$AT$9-Project_Register!$AQ$9)&lt;=0,0,IF(1-Project_Register!$AV$9&lt;=0.000001,IF(Assumptions!L$96=Assumptions!$C$10+1,(Project_Register!$AT$9-Project_Register!$AQ$9),0),(Project_Register!$AT$9-Project_Register!$AQ$9)*(L96-L97)/(1-Project_Register!$AV$9)))*Project_Register!$AA$9)</f>
        <v>4832.62</v>
      </c>
      <c r="M101" s="58" t="n">
        <f aca="false">IF(M$5="A",Inputs_Actuals!M30,IF((Project_Register!$AT$9-Project_Register!$AQ$9)&lt;=0,0,IF(1-Project_Register!$AV$9&lt;=0.000001,IF(Assumptions!M$96=Assumptions!$C$10+1,(Project_Register!$AT$9-Project_Register!$AQ$9),0),(Project_Register!$AT$9-Project_Register!$AQ$9)*(M96-M97)/(1-Project_Register!$AV$9)))*Project_Register!$AA$9)</f>
        <v>5227.66965396825</v>
      </c>
      <c r="N101" s="58" t="n">
        <f aca="false">IF(N$5="A",Inputs_Actuals!N30,IF((Project_Register!$AT$9-Project_Register!$AQ$9)&lt;=0,0,IF(1-Project_Register!$AV$9&lt;=0.000001,IF(Assumptions!N$96=Assumptions!$C$10+1,(Project_Register!$AT$9-Project_Register!$AQ$9),0),(Project_Register!$AT$9-Project_Register!$AQ$9)*(N96-N97)/(1-Project_Register!$AV$9)))*Project_Register!$AA$9)</f>
        <v>3610.86460634922</v>
      </c>
      <c r="O101" s="58" t="n">
        <f aca="false">IF(O$5="A",Inputs_Actuals!O30,IF((Project_Register!$AT$9-Project_Register!$AQ$9)&lt;=0,0,IF(1-Project_Register!$AV$9&lt;=0.000001,IF(Assumptions!O$96=Assumptions!$C$10+1,(Project_Register!$AT$9-Project_Register!$AQ$9),0),(Project_Register!$AT$9-Project_Register!$AQ$9)*(O96-O97)/(1-Project_Register!$AV$9)))*Project_Register!$AA$9)</f>
        <v>1347.33753968253</v>
      </c>
      <c r="P101" s="58" t="n">
        <f aca="false">IF(P$5="A",Inputs_Actuals!P30,IF((Project_Register!$AT$9-Project_Register!$AQ$9)&lt;=0,0,IF(1-Project_Register!$AV$9&lt;=0.000001,IF(Assumptions!P$96=Assumptions!$C$10+1,(Project_Register!$AT$9-Project_Register!$AQ$9),0),(Project_Register!$AT$9-Project_Register!$AQ$9)*(P96-P97)/(1-Project_Register!$AV$9)))*Project_Register!$AA$9)</f>
        <v>0</v>
      </c>
      <c r="Q101" s="58" t="n">
        <f aca="false">IF(Q$5="A",Inputs_Actuals!Q30,IF((Project_Register!$AT$9-Project_Register!$AQ$9)&lt;=0,0,IF(1-Project_Register!$AV$9&lt;=0.000001,IF(Assumptions!Q$96=Assumptions!$C$10+1,(Project_Register!$AT$9-Project_Register!$AQ$9),0),(Project_Register!$AT$9-Project_Register!$AQ$9)*(Q96-Q97)/(1-Project_Register!$AV$9)))*Project_Register!$AA$9)</f>
        <v>0</v>
      </c>
      <c r="R101" s="58" t="n">
        <f aca="false">IF(R$5="A",Inputs_Actuals!R30,IF((Project_Register!$AT$9-Project_Register!$AQ$9)&lt;=0,0,IF(1-Project_Register!$AV$9&lt;=0.000001,IF(Assumptions!R$96=Assumptions!$C$10+1,(Project_Register!$AT$9-Project_Register!$AQ$9),0),(Project_Register!$AT$9-Project_Register!$AQ$9)*(R96-R97)/(1-Project_Register!$AV$9)))*Project_Register!$AA$9)</f>
        <v>0</v>
      </c>
      <c r="S101" s="58" t="n">
        <f aca="false">IF(S$5="A",Inputs_Actuals!S30,IF((Project_Register!$AT$9-Project_Register!$AQ$9)&lt;=0,0,IF(1-Project_Register!$AV$9&lt;=0.000001,IF(Assumptions!S$96=Assumptions!$C$10+1,(Project_Register!$AT$9-Project_Register!$AQ$9),0),(Project_Register!$AT$9-Project_Register!$AQ$9)*(S96-S97)/(1-Project_Register!$AV$9)))*Project_Register!$AA$9)</f>
        <v>0</v>
      </c>
      <c r="T101" s="58" t="n">
        <f aca="false">IF(T$5="A",Inputs_Actuals!T30,IF((Project_Register!$AT$9-Project_Register!$AQ$9)&lt;=0,0,IF(1-Project_Register!$AV$9&lt;=0.000001,IF(Assumptions!T$96=Assumptions!$C$10+1,(Project_Register!$AT$9-Project_Register!$AQ$9),0),(Project_Register!$AT$9-Project_Register!$AQ$9)*(T96-T97)/(1-Project_Register!$AV$9)))*Project_Register!$AA$9)</f>
        <v>0</v>
      </c>
      <c r="U101" s="58" t="n">
        <f aca="false">IF(U$5="A",Inputs_Actuals!U30,IF((Project_Register!$AT$9-Project_Register!$AQ$9)&lt;=0,0,IF(1-Project_Register!$AV$9&lt;=0.000001,IF(Assumptions!U$96=Assumptions!$C$10+1,(Project_Register!$AT$9-Project_Register!$AQ$9),0),(Project_Register!$AT$9-Project_Register!$AQ$9)*(U96-U97)/(1-Project_Register!$AV$9)))*Project_Register!$AA$9)</f>
        <v>0</v>
      </c>
      <c r="V101" s="58" t="n">
        <f aca="false">IF(V$5="A",Inputs_Actuals!V30,IF((Project_Register!$AT$9-Project_Register!$AQ$9)&lt;=0,0,IF(1-Project_Register!$AV$9&lt;=0.000001,IF(Assumptions!V$96=Assumptions!$C$10+1,(Project_Register!$AT$9-Project_Register!$AQ$9),0),(Project_Register!$AT$9-Project_Register!$AQ$9)*(V96-V97)/(1-Project_Register!$AV$9)))*Project_Register!$AA$9)</f>
        <v>0</v>
      </c>
      <c r="W101" s="58" t="n">
        <f aca="false">IF(W$5="A",Inputs_Actuals!W30,IF((Project_Register!$AT$9-Project_Register!$AQ$9)&lt;=0,0,IF(1-Project_Register!$AV$9&lt;=0.000001,IF(Assumptions!W$96=Assumptions!$C$10+1,(Project_Register!$AT$9-Project_Register!$AQ$9),0),(Project_Register!$AT$9-Project_Register!$AQ$9)*(W96-W97)/(1-Project_Register!$AV$9)))*Project_Register!$AA$9)</f>
        <v>0</v>
      </c>
      <c r="X101" s="58" t="n">
        <f aca="false">IF(X$5="A",Inputs_Actuals!X30,IF((Project_Register!$AT$9-Project_Register!$AQ$9)&lt;=0,0,IF(1-Project_Register!$AV$9&lt;=0.000001,IF(Assumptions!X$96=Assumptions!$C$10+1,(Project_Register!$AT$9-Project_Register!$AQ$9),0),(Project_Register!$AT$9-Project_Register!$AQ$9)*(X96-X97)/(1-Project_Register!$AV$9)))*Project_Register!$AA$9)</f>
        <v>0</v>
      </c>
      <c r="Y101" s="58" t="n">
        <f aca="false">IF(Y$5="A",Inputs_Actuals!Y30,IF((Project_Register!$AT$9-Project_Register!$AQ$9)&lt;=0,0,IF(1-Project_Register!$AV$9&lt;=0.000001,IF(Assumptions!Y$96=Assumptions!$C$10+1,(Project_Register!$AT$9-Project_Register!$AQ$9),0),(Project_Register!$AT$9-Project_Register!$AQ$9)*(Y96-Y97)/(1-Project_Register!$AV$9)))*Project_Register!$AA$9)</f>
        <v>0</v>
      </c>
      <c r="Z101" s="58" t="n">
        <f aca="false">IF(Z$5="A",Inputs_Actuals!Z30,IF((Project_Register!$AT$9-Project_Register!$AQ$9)&lt;=0,0,IF(1-Project_Register!$AV$9&lt;=0.000001,IF(Assumptions!Z$96=Assumptions!$C$10+1,(Project_Register!$AT$9-Project_Register!$AQ$9),0),(Project_Register!$AT$9-Project_Register!$AQ$9)*(Z96-Z97)/(1-Project_Register!$AV$9)))*Project_Register!$AA$9)</f>
        <v>0</v>
      </c>
      <c r="AA101" s="58" t="n">
        <f aca="false">IF(AA$5="A",Inputs_Actuals!AA30,IF((Project_Register!$AT$9-Project_Register!$AQ$9)&lt;=0,0,IF(1-Project_Register!$AV$9&lt;=0.000001,IF(Assumptions!AA$96=Assumptions!$C$10+1,(Project_Register!$AT$9-Project_Register!$AQ$9),0),(Project_Register!$AT$9-Project_Register!$AQ$9)*(AA96-AA97)/(1-Project_Register!$AV$9)))*Project_Register!$AA$9)</f>
        <v>0</v>
      </c>
      <c r="AB101" s="58" t="n">
        <f aca="false">IF(AB$5="A",Inputs_Actuals!AB30,IF((Project_Register!$AT$9-Project_Register!$AQ$9)&lt;=0,0,IF(1-Project_Register!$AV$9&lt;=0.000001,IF(Assumptions!AB$96=Assumptions!$C$10+1,(Project_Register!$AT$9-Project_Register!$AQ$9),0),(Project_Register!$AT$9-Project_Register!$AQ$9)*(AB96-AB97)/(1-Project_Register!$AV$9)))*Project_Register!$AA$9)</f>
        <v>0</v>
      </c>
    </row>
    <row r="102" customFormat="false" ht="15" hidden="false" customHeight="false" outlineLevel="0" collapsed="false">
      <c r="A102" s="27" t="s">
        <v>726</v>
      </c>
      <c r="B102" s="56" t="s">
        <v>722</v>
      </c>
      <c r="C102" s="57" t="n">
        <f aca="false">SUM(E102:P102)</f>
        <v>84981.5442</v>
      </c>
      <c r="D102" s="57" t="n">
        <f aca="false">SUM(Q102:AB102)</f>
        <v>0</v>
      </c>
      <c r="E102" s="58" t="n">
        <f aca="false">IF(E$5="A",Inputs_Actuals!E31,IF((Project_Register!$AT$9-Project_Register!$AQ$9)&lt;=0,0,IF(1-Project_Register!$AV$9&lt;=0.000001,IF(Assumptions!E$96=Assumptions!$C$10+1,(Project_Register!$AT$9-Project_Register!$AQ$9),0),(Project_Register!$AT$9-Project_Register!$AQ$9)*(E96-E97)/(1-Project_Register!$AV$9)))*Project_Register!$AB$9)</f>
        <v>0</v>
      </c>
      <c r="F102" s="58" t="n">
        <f aca="false">IF(F$5="A",Inputs_Actuals!F31,IF((Project_Register!$AT$9-Project_Register!$AQ$9)&lt;=0,0,IF(1-Project_Register!$AV$9&lt;=0.000001,IF(Assumptions!F$96=Assumptions!$C$10+1,(Project_Register!$AT$9-Project_Register!$AQ$9),0),(Project_Register!$AT$9-Project_Register!$AQ$9)*(F96-F97)/(1-Project_Register!$AV$9)))*Project_Register!$AB$9)</f>
        <v>0</v>
      </c>
      <c r="G102" s="58" t="n">
        <f aca="false">IF(G$5="A",Inputs_Actuals!G31,IF((Project_Register!$AT$9-Project_Register!$AQ$9)&lt;=0,0,IF(1-Project_Register!$AV$9&lt;=0.000001,IF(Assumptions!G$96=Assumptions!$C$10+1,(Project_Register!$AT$9-Project_Register!$AQ$9),0),(Project_Register!$AT$9-Project_Register!$AQ$9)*(G96-G97)/(1-Project_Register!$AV$9)))*Project_Register!$AB$9)</f>
        <v>2446.98</v>
      </c>
      <c r="H102" s="58" t="n">
        <f aca="false">IF(H$5="A",Inputs_Actuals!H31,IF((Project_Register!$AT$9-Project_Register!$AQ$9)&lt;=0,0,IF(1-Project_Register!$AV$9&lt;=0.000001,IF(Assumptions!H$96=Assumptions!$C$10+1,(Project_Register!$AT$9-Project_Register!$AQ$9),0),(Project_Register!$AT$9-Project_Register!$AQ$9)*(H96-H97)/(1-Project_Register!$AV$9)))*Project_Register!$AB$9)</f>
        <v>6577.39</v>
      </c>
      <c r="I102" s="58" t="n">
        <f aca="false">IF(I$5="A",Inputs_Actuals!I31,IF((Project_Register!$AT$9-Project_Register!$AQ$9)&lt;=0,0,IF(1-Project_Register!$AV$9&lt;=0.000001,IF(Assumptions!I$96=Assumptions!$C$10+1,(Project_Register!$AT$9-Project_Register!$AQ$9),0),(Project_Register!$AT$9-Project_Register!$AQ$9)*(I96-I97)/(1-Project_Register!$AV$9)))*Project_Register!$AB$9)</f>
        <v>10558.36</v>
      </c>
      <c r="J102" s="58" t="n">
        <f aca="false">IF(J$5="A",Inputs_Actuals!J31,IF((Project_Register!$AT$9-Project_Register!$AQ$9)&lt;=0,0,IF(1-Project_Register!$AV$9&lt;=0.000001,IF(Assumptions!J$96=Assumptions!$C$10+1,(Project_Register!$AT$9-Project_Register!$AQ$9),0),(Project_Register!$AT$9-Project_Register!$AQ$9)*(J96-J97)/(1-Project_Register!$AV$9)))*Project_Register!$AB$9)</f>
        <v>13057.1</v>
      </c>
      <c r="K102" s="58" t="n">
        <f aca="false">IF(K$5="A",Inputs_Actuals!K31,IF((Project_Register!$AT$9-Project_Register!$AQ$9)&lt;=0,0,IF(1-Project_Register!$AV$9&lt;=0.000001,IF(Assumptions!K$96=Assumptions!$C$10+1,(Project_Register!$AT$9-Project_Register!$AQ$9),0),(Project_Register!$AT$9-Project_Register!$AQ$9)*(K96-K97)/(1-Project_Register!$AV$9)))*Project_Register!$AB$9)</f>
        <v>16107.85</v>
      </c>
      <c r="L102" s="58" t="n">
        <f aca="false">IF(L$5="A",Inputs_Actuals!L31,IF((Project_Register!$AT$9-Project_Register!$AQ$9)&lt;=0,0,IF(1-Project_Register!$AV$9&lt;=0.000001,IF(Assumptions!L$96=Assumptions!$C$10+1,(Project_Register!$AT$9-Project_Register!$AQ$9),0),(Project_Register!$AT$9-Project_Register!$AQ$9)*(L96-L97)/(1-Project_Register!$AV$9)))*Project_Register!$AB$9)</f>
        <v>12466.83</v>
      </c>
      <c r="M102" s="58" t="n">
        <f aca="false">IF(M$5="A",Inputs_Actuals!M31,IF((Project_Register!$AT$9-Project_Register!$AQ$9)&lt;=0,0,IF(1-Project_Register!$AV$9&lt;=0.000001,IF(Assumptions!M$96=Assumptions!$C$10+1,(Project_Register!$AT$9-Project_Register!$AQ$9),0),(Project_Register!$AT$9-Project_Register!$AQ$9)*(M96-M97)/(1-Project_Register!$AV$9)))*Project_Register!$AB$9)</f>
        <v>12197.8958592592</v>
      </c>
      <c r="N102" s="58" t="n">
        <f aca="false">IF(N$5="A",Inputs_Actuals!N31,IF((Project_Register!$AT$9-Project_Register!$AQ$9)&lt;=0,0,IF(1-Project_Register!$AV$9&lt;=0.000001,IF(Assumptions!N$96=Assumptions!$C$10+1,(Project_Register!$AT$9-Project_Register!$AQ$9),0),(Project_Register!$AT$9-Project_Register!$AQ$9)*(N96-N97)/(1-Project_Register!$AV$9)))*Project_Register!$AB$9)</f>
        <v>8425.35074814817</v>
      </c>
      <c r="O102" s="58" t="n">
        <f aca="false">IF(O$5="A",Inputs_Actuals!O31,IF((Project_Register!$AT$9-Project_Register!$AQ$9)&lt;=0,0,IF(1-Project_Register!$AV$9&lt;=0.000001,IF(Assumptions!O$96=Assumptions!$C$10+1,(Project_Register!$AT$9-Project_Register!$AQ$9),0),(Project_Register!$AT$9-Project_Register!$AQ$9)*(O96-O97)/(1-Project_Register!$AV$9)))*Project_Register!$AB$9)</f>
        <v>3143.78759259257</v>
      </c>
      <c r="P102" s="58" t="n">
        <f aca="false">IF(P$5="A",Inputs_Actuals!P31,IF((Project_Register!$AT$9-Project_Register!$AQ$9)&lt;=0,0,IF(1-Project_Register!$AV$9&lt;=0.000001,IF(Assumptions!P$96=Assumptions!$C$10+1,(Project_Register!$AT$9-Project_Register!$AQ$9),0),(Project_Register!$AT$9-Project_Register!$AQ$9)*(P96-P97)/(1-Project_Register!$AV$9)))*Project_Register!$AB$9)</f>
        <v>0</v>
      </c>
      <c r="Q102" s="58" t="n">
        <f aca="false">IF(Q$5="A",Inputs_Actuals!Q31,IF((Project_Register!$AT$9-Project_Register!$AQ$9)&lt;=0,0,IF(1-Project_Register!$AV$9&lt;=0.000001,IF(Assumptions!Q$96=Assumptions!$C$10+1,(Project_Register!$AT$9-Project_Register!$AQ$9),0),(Project_Register!$AT$9-Project_Register!$AQ$9)*(Q96-Q97)/(1-Project_Register!$AV$9)))*Project_Register!$AB$9)</f>
        <v>0</v>
      </c>
      <c r="R102" s="58" t="n">
        <f aca="false">IF(R$5="A",Inputs_Actuals!R31,IF((Project_Register!$AT$9-Project_Register!$AQ$9)&lt;=0,0,IF(1-Project_Register!$AV$9&lt;=0.000001,IF(Assumptions!R$96=Assumptions!$C$10+1,(Project_Register!$AT$9-Project_Register!$AQ$9),0),(Project_Register!$AT$9-Project_Register!$AQ$9)*(R96-R97)/(1-Project_Register!$AV$9)))*Project_Register!$AB$9)</f>
        <v>0</v>
      </c>
      <c r="S102" s="58" t="n">
        <f aca="false">IF(S$5="A",Inputs_Actuals!S31,IF((Project_Register!$AT$9-Project_Register!$AQ$9)&lt;=0,0,IF(1-Project_Register!$AV$9&lt;=0.000001,IF(Assumptions!S$96=Assumptions!$C$10+1,(Project_Register!$AT$9-Project_Register!$AQ$9),0),(Project_Register!$AT$9-Project_Register!$AQ$9)*(S96-S97)/(1-Project_Register!$AV$9)))*Project_Register!$AB$9)</f>
        <v>0</v>
      </c>
      <c r="T102" s="58" t="n">
        <f aca="false">IF(T$5="A",Inputs_Actuals!T31,IF((Project_Register!$AT$9-Project_Register!$AQ$9)&lt;=0,0,IF(1-Project_Register!$AV$9&lt;=0.000001,IF(Assumptions!T$96=Assumptions!$C$10+1,(Project_Register!$AT$9-Project_Register!$AQ$9),0),(Project_Register!$AT$9-Project_Register!$AQ$9)*(T96-T97)/(1-Project_Register!$AV$9)))*Project_Register!$AB$9)</f>
        <v>0</v>
      </c>
      <c r="U102" s="58" t="n">
        <f aca="false">IF(U$5="A",Inputs_Actuals!U31,IF((Project_Register!$AT$9-Project_Register!$AQ$9)&lt;=0,0,IF(1-Project_Register!$AV$9&lt;=0.000001,IF(Assumptions!U$96=Assumptions!$C$10+1,(Project_Register!$AT$9-Project_Register!$AQ$9),0),(Project_Register!$AT$9-Project_Register!$AQ$9)*(U96-U97)/(1-Project_Register!$AV$9)))*Project_Register!$AB$9)</f>
        <v>0</v>
      </c>
      <c r="V102" s="58" t="n">
        <f aca="false">IF(V$5="A",Inputs_Actuals!V31,IF((Project_Register!$AT$9-Project_Register!$AQ$9)&lt;=0,0,IF(1-Project_Register!$AV$9&lt;=0.000001,IF(Assumptions!V$96=Assumptions!$C$10+1,(Project_Register!$AT$9-Project_Register!$AQ$9),0),(Project_Register!$AT$9-Project_Register!$AQ$9)*(V96-V97)/(1-Project_Register!$AV$9)))*Project_Register!$AB$9)</f>
        <v>0</v>
      </c>
      <c r="W102" s="58" t="n">
        <f aca="false">IF(W$5="A",Inputs_Actuals!W31,IF((Project_Register!$AT$9-Project_Register!$AQ$9)&lt;=0,0,IF(1-Project_Register!$AV$9&lt;=0.000001,IF(Assumptions!W$96=Assumptions!$C$10+1,(Project_Register!$AT$9-Project_Register!$AQ$9),0),(Project_Register!$AT$9-Project_Register!$AQ$9)*(W96-W97)/(1-Project_Register!$AV$9)))*Project_Register!$AB$9)</f>
        <v>0</v>
      </c>
      <c r="X102" s="58" t="n">
        <f aca="false">IF(X$5="A",Inputs_Actuals!X31,IF((Project_Register!$AT$9-Project_Register!$AQ$9)&lt;=0,0,IF(1-Project_Register!$AV$9&lt;=0.000001,IF(Assumptions!X$96=Assumptions!$C$10+1,(Project_Register!$AT$9-Project_Register!$AQ$9),0),(Project_Register!$AT$9-Project_Register!$AQ$9)*(X96-X97)/(1-Project_Register!$AV$9)))*Project_Register!$AB$9)</f>
        <v>0</v>
      </c>
      <c r="Y102" s="58" t="n">
        <f aca="false">IF(Y$5="A",Inputs_Actuals!Y31,IF((Project_Register!$AT$9-Project_Register!$AQ$9)&lt;=0,0,IF(1-Project_Register!$AV$9&lt;=0.000001,IF(Assumptions!Y$96=Assumptions!$C$10+1,(Project_Register!$AT$9-Project_Register!$AQ$9),0),(Project_Register!$AT$9-Project_Register!$AQ$9)*(Y96-Y97)/(1-Project_Register!$AV$9)))*Project_Register!$AB$9)</f>
        <v>0</v>
      </c>
      <c r="Z102" s="58" t="n">
        <f aca="false">IF(Z$5="A",Inputs_Actuals!Z31,IF((Project_Register!$AT$9-Project_Register!$AQ$9)&lt;=0,0,IF(1-Project_Register!$AV$9&lt;=0.000001,IF(Assumptions!Z$96=Assumptions!$C$10+1,(Project_Register!$AT$9-Project_Register!$AQ$9),0),(Project_Register!$AT$9-Project_Register!$AQ$9)*(Z96-Z97)/(1-Project_Register!$AV$9)))*Project_Register!$AB$9)</f>
        <v>0</v>
      </c>
      <c r="AA102" s="58" t="n">
        <f aca="false">IF(AA$5="A",Inputs_Actuals!AA31,IF((Project_Register!$AT$9-Project_Register!$AQ$9)&lt;=0,0,IF(1-Project_Register!$AV$9&lt;=0.000001,IF(Assumptions!AA$96=Assumptions!$C$10+1,(Project_Register!$AT$9-Project_Register!$AQ$9),0),(Project_Register!$AT$9-Project_Register!$AQ$9)*(AA96-AA97)/(1-Project_Register!$AV$9)))*Project_Register!$AB$9)</f>
        <v>0</v>
      </c>
      <c r="AB102" s="58" t="n">
        <f aca="false">IF(AB$5="A",Inputs_Actuals!AB31,IF((Project_Register!$AT$9-Project_Register!$AQ$9)&lt;=0,0,IF(1-Project_Register!$AV$9&lt;=0.000001,IF(Assumptions!AB$96=Assumptions!$C$10+1,(Project_Register!$AT$9-Project_Register!$AQ$9),0),(Project_Register!$AT$9-Project_Register!$AQ$9)*(AB96-AB97)/(1-Project_Register!$AV$9)))*Project_Register!$AB$9)</f>
        <v>0</v>
      </c>
    </row>
    <row r="103" customFormat="false" ht="15" hidden="false" customHeight="false" outlineLevel="0" collapsed="false">
      <c r="A103" s="67" t="s">
        <v>727</v>
      </c>
      <c r="B103" s="68" t="s">
        <v>728</v>
      </c>
      <c r="C103" s="69" t="n">
        <f aca="false">SUM(E103:P103)</f>
        <v>1190000</v>
      </c>
      <c r="D103" s="69" t="n">
        <f aca="false">SUM(Q103:AB103)</f>
        <v>0</v>
      </c>
      <c r="E103" s="69" t="n">
        <f aca="false">SUM(E98:E102)</f>
        <v>0</v>
      </c>
      <c r="F103" s="69" t="n">
        <f aca="false">SUM(F98:F102)</f>
        <v>0</v>
      </c>
      <c r="G103" s="69" t="n">
        <f aca="false">SUM(G98:G102)</f>
        <v>34366.53</v>
      </c>
      <c r="H103" s="69" t="n">
        <f aca="false">SUM(H98:H102)</f>
        <v>88882.17</v>
      </c>
      <c r="I103" s="69" t="n">
        <f aca="false">SUM(I98:I102)</f>
        <v>143323.67</v>
      </c>
      <c r="J103" s="69" t="n">
        <f aca="false">SUM(J98:J102)</f>
        <v>185373.5</v>
      </c>
      <c r="K103" s="69" t="n">
        <f aca="false">SUM(K98:K102)</f>
        <v>222625.7</v>
      </c>
      <c r="L103" s="69" t="n">
        <f aca="false">SUM(L98:L102)</f>
        <v>175899.37</v>
      </c>
      <c r="M103" s="69" t="n">
        <f aca="false">SUM(M98:M102)</f>
        <v>174255.655132275</v>
      </c>
      <c r="N103" s="69" t="n">
        <f aca="false">SUM(N98:N102)</f>
        <v>120362.153544974</v>
      </c>
      <c r="O103" s="69" t="n">
        <f aca="false">SUM(O98:O102)</f>
        <v>44911.2513227511</v>
      </c>
      <c r="P103" s="69" t="n">
        <f aca="false">SUM(P98:P102)</f>
        <v>0</v>
      </c>
      <c r="Q103" s="69" t="n">
        <f aca="false">SUM(Q98:Q102)</f>
        <v>0</v>
      </c>
      <c r="R103" s="69" t="n">
        <f aca="false">SUM(R98:R102)</f>
        <v>0</v>
      </c>
      <c r="S103" s="69" t="n">
        <f aca="false">SUM(S98:S102)</f>
        <v>0</v>
      </c>
      <c r="T103" s="69" t="n">
        <f aca="false">SUM(T98:T102)</f>
        <v>0</v>
      </c>
      <c r="U103" s="69" t="n">
        <f aca="false">SUM(U98:U102)</f>
        <v>0</v>
      </c>
      <c r="V103" s="69" t="n">
        <f aca="false">SUM(V98:V102)</f>
        <v>0</v>
      </c>
      <c r="W103" s="69" t="n">
        <f aca="false">SUM(W98:W102)</f>
        <v>0</v>
      </c>
      <c r="X103" s="69" t="n">
        <f aca="false">SUM(X98:X102)</f>
        <v>0</v>
      </c>
      <c r="Y103" s="69" t="n">
        <f aca="false">SUM(Y98:Y102)</f>
        <v>0</v>
      </c>
      <c r="Z103" s="69" t="n">
        <f aca="false">SUM(Z98:Z102)</f>
        <v>0</v>
      </c>
      <c r="AA103" s="69" t="n">
        <f aca="false">SUM(AA98:AA102)</f>
        <v>0</v>
      </c>
      <c r="AB103" s="69" t="n">
        <f aca="false">SUM(AB98:AB102)</f>
        <v>0</v>
      </c>
    </row>
    <row r="104" customFormat="false" ht="15" hidden="false" customHeight="false" outlineLevel="0" collapsed="false">
      <c r="A104" s="27" t="s">
        <v>729</v>
      </c>
      <c r="B104" s="56" t="s">
        <v>730</v>
      </c>
      <c r="C104" s="57" t="n">
        <f aca="false">P104</f>
        <v>1190000</v>
      </c>
      <c r="D104" s="57" t="n">
        <f aca="false">AB104</f>
        <v>1190000</v>
      </c>
      <c r="E104" s="58" t="n">
        <f aca="false">Project_Register!$AC$9+E103</f>
        <v>0</v>
      </c>
      <c r="F104" s="70" t="n">
        <f aca="false">E104+F103</f>
        <v>0</v>
      </c>
      <c r="G104" s="70" t="n">
        <f aca="false">F104+G103</f>
        <v>34366.53</v>
      </c>
      <c r="H104" s="70" t="n">
        <f aca="false">G104+H103</f>
        <v>123248.7</v>
      </c>
      <c r="I104" s="70" t="n">
        <f aca="false">H104+I103</f>
        <v>266572.37</v>
      </c>
      <c r="J104" s="70" t="n">
        <f aca="false">I104+J103</f>
        <v>451945.87</v>
      </c>
      <c r="K104" s="70" t="n">
        <f aca="false">J104+K103</f>
        <v>674571.57</v>
      </c>
      <c r="L104" s="70" t="n">
        <f aca="false">K104+L103</f>
        <v>850470.94</v>
      </c>
      <c r="M104" s="70" t="n">
        <f aca="false">L104+M103</f>
        <v>1024726.59513228</v>
      </c>
      <c r="N104" s="70" t="n">
        <f aca="false">M104+N103</f>
        <v>1145088.74867725</v>
      </c>
      <c r="O104" s="70" t="n">
        <f aca="false">N104+O103</f>
        <v>1190000</v>
      </c>
      <c r="P104" s="70" t="n">
        <f aca="false">O104+P103</f>
        <v>1190000</v>
      </c>
      <c r="Q104" s="70" t="n">
        <f aca="false">P104+Q103</f>
        <v>1190000</v>
      </c>
      <c r="R104" s="70" t="n">
        <f aca="false">Q104+R103</f>
        <v>1190000</v>
      </c>
      <c r="S104" s="70" t="n">
        <f aca="false">R104+S103</f>
        <v>1190000</v>
      </c>
      <c r="T104" s="70" t="n">
        <f aca="false">S104+T103</f>
        <v>1190000</v>
      </c>
      <c r="U104" s="70" t="n">
        <f aca="false">T104+U103</f>
        <v>1190000</v>
      </c>
      <c r="V104" s="70" t="n">
        <f aca="false">U104+V103</f>
        <v>1190000</v>
      </c>
      <c r="W104" s="70" t="n">
        <f aca="false">V104+W103</f>
        <v>1190000</v>
      </c>
      <c r="X104" s="70" t="n">
        <f aca="false">W104+X103</f>
        <v>1190000</v>
      </c>
      <c r="Y104" s="70" t="n">
        <f aca="false">X104+Y103</f>
        <v>1190000</v>
      </c>
      <c r="Z104" s="70" t="n">
        <f aca="false">Y104+Z103</f>
        <v>1190000</v>
      </c>
      <c r="AA104" s="70" t="n">
        <f aca="false">Z104+AA103</f>
        <v>1190000</v>
      </c>
      <c r="AB104" s="70" t="n">
        <f aca="false">AA104+AB103</f>
        <v>1190000</v>
      </c>
    </row>
    <row r="105" customFormat="false" ht="15" hidden="false" customHeight="false" outlineLevel="0" collapsed="false">
      <c r="A105" s="27" t="s">
        <v>731</v>
      </c>
      <c r="B105" s="56" t="s">
        <v>732</v>
      </c>
      <c r="C105" s="57" t="n">
        <f aca="false">P105</f>
        <v>1190000</v>
      </c>
      <c r="D105" s="57" t="n">
        <f aca="false">AB105</f>
        <v>1190000</v>
      </c>
      <c r="E105" s="58" t="n">
        <f aca="false">IF(E$5="A",IF(E104+N(Inputs_Actuals!E32)&lt;=0,Project_Register!$AP$9,E104+N(Inputs_Actuals!E32)),Project_Register!$AT$9)</f>
        <v>1018000</v>
      </c>
      <c r="F105" s="58" t="n">
        <f aca="false">IF(F$5="A",IF(F104+N(Inputs_Actuals!F32)&lt;=0,Project_Register!$AP$9,F104+N(Inputs_Actuals!F32)),Project_Register!$AT$9)</f>
        <v>1018000</v>
      </c>
      <c r="G105" s="58" t="n">
        <f aca="false">IF(G$5="A",IF(G104+N(Inputs_Actuals!G32)&lt;=0,Project_Register!$AP$9,G104+N(Inputs_Actuals!G32)),Project_Register!$AT$9)</f>
        <v>1018000</v>
      </c>
      <c r="H105" s="58" t="n">
        <f aca="false">IF(H$5="A",IF(H104+N(Inputs_Actuals!H32)&lt;=0,Project_Register!$AP$9,H104+N(Inputs_Actuals!H32)),Project_Register!$AT$9)</f>
        <v>1018000</v>
      </c>
      <c r="I105" s="58" t="n">
        <f aca="false">IF(I$5="A",IF(I104+N(Inputs_Actuals!I32)&lt;=0,Project_Register!$AP$9,I104+N(Inputs_Actuals!I32)),Project_Register!$AT$9)</f>
        <v>1114000</v>
      </c>
      <c r="J105" s="58" t="n">
        <f aca="false">IF(J$5="A",IF(J104+N(Inputs_Actuals!J32)&lt;=0,Project_Register!$AP$9,J104+N(Inputs_Actuals!J32)),Project_Register!$AT$9)</f>
        <v>1158000</v>
      </c>
      <c r="K105" s="58" t="n">
        <f aca="false">IF(K$5="A",IF(K104+N(Inputs_Actuals!K32)&lt;=0,Project_Register!$AP$9,K104+N(Inputs_Actuals!K32)),Project_Register!$AT$9)</f>
        <v>1158000</v>
      </c>
      <c r="L105" s="58" t="n">
        <f aca="false">IF(L$5="A",IF(L104+N(Inputs_Actuals!L32)&lt;=0,Project_Register!$AP$9,L104+N(Inputs_Actuals!L32)),Project_Register!$AT$9)</f>
        <v>1190000</v>
      </c>
      <c r="M105" s="58" t="n">
        <f aca="false">IF(M$5="A",IF(M104+N(Inputs_Actuals!M32)&lt;=0,Project_Register!$AP$9,M104+N(Inputs_Actuals!M32)),Project_Register!$AT$9)</f>
        <v>1190000</v>
      </c>
      <c r="N105" s="58" t="n">
        <f aca="false">IF(N$5="A",IF(N104+N(Inputs_Actuals!N32)&lt;=0,Project_Register!$AP$9,N104+N(Inputs_Actuals!N32)),Project_Register!$AT$9)</f>
        <v>1190000</v>
      </c>
      <c r="O105" s="58" t="n">
        <f aca="false">IF(O$5="A",IF(O104+N(Inputs_Actuals!O32)&lt;=0,Project_Register!$AP$9,O104+N(Inputs_Actuals!O32)),Project_Register!$AT$9)</f>
        <v>1190000</v>
      </c>
      <c r="P105" s="58" t="n">
        <f aca="false">IF(P$5="A",IF(P104+N(Inputs_Actuals!P32)&lt;=0,Project_Register!$AP$9,P104+N(Inputs_Actuals!P32)),Project_Register!$AT$9)</f>
        <v>1190000</v>
      </c>
      <c r="Q105" s="58" t="n">
        <f aca="false">IF(Q$5="A",IF(Q104+N(Inputs_Actuals!Q32)&lt;=0,Project_Register!$AP$9,Q104+N(Inputs_Actuals!Q32)),Project_Register!$AT$9)</f>
        <v>1190000</v>
      </c>
      <c r="R105" s="58" t="n">
        <f aca="false">IF(R$5="A",IF(R104+N(Inputs_Actuals!R32)&lt;=0,Project_Register!$AP$9,R104+N(Inputs_Actuals!R32)),Project_Register!$AT$9)</f>
        <v>1190000</v>
      </c>
      <c r="S105" s="58" t="n">
        <f aca="false">IF(S$5="A",IF(S104+N(Inputs_Actuals!S32)&lt;=0,Project_Register!$AP$9,S104+N(Inputs_Actuals!S32)),Project_Register!$AT$9)</f>
        <v>1190000</v>
      </c>
      <c r="T105" s="58" t="n">
        <f aca="false">IF(T$5="A",IF(T104+N(Inputs_Actuals!T32)&lt;=0,Project_Register!$AP$9,T104+N(Inputs_Actuals!T32)),Project_Register!$AT$9)</f>
        <v>1190000</v>
      </c>
      <c r="U105" s="58" t="n">
        <f aca="false">IF(U$5="A",IF(U104+N(Inputs_Actuals!U32)&lt;=0,Project_Register!$AP$9,U104+N(Inputs_Actuals!U32)),Project_Register!$AT$9)</f>
        <v>1190000</v>
      </c>
      <c r="V105" s="58" t="n">
        <f aca="false">IF(V$5="A",IF(V104+N(Inputs_Actuals!V32)&lt;=0,Project_Register!$AP$9,V104+N(Inputs_Actuals!V32)),Project_Register!$AT$9)</f>
        <v>1190000</v>
      </c>
      <c r="W105" s="58" t="n">
        <f aca="false">IF(W$5="A",IF(W104+N(Inputs_Actuals!W32)&lt;=0,Project_Register!$AP$9,W104+N(Inputs_Actuals!W32)),Project_Register!$AT$9)</f>
        <v>1190000</v>
      </c>
      <c r="X105" s="58" t="n">
        <f aca="false">IF(X$5="A",IF(X104+N(Inputs_Actuals!X32)&lt;=0,Project_Register!$AP$9,X104+N(Inputs_Actuals!X32)),Project_Register!$AT$9)</f>
        <v>1190000</v>
      </c>
      <c r="Y105" s="58" t="n">
        <f aca="false">IF(Y$5="A",IF(Y104+N(Inputs_Actuals!Y32)&lt;=0,Project_Register!$AP$9,Y104+N(Inputs_Actuals!Y32)),Project_Register!$AT$9)</f>
        <v>1190000</v>
      </c>
      <c r="Z105" s="58" t="n">
        <f aca="false">IF(Z$5="A",IF(Z104+N(Inputs_Actuals!Z32)&lt;=0,Project_Register!$AP$9,Z104+N(Inputs_Actuals!Z32)),Project_Register!$AT$9)</f>
        <v>1190000</v>
      </c>
      <c r="AA105" s="58" t="n">
        <f aca="false">IF(AA$5="A",IF(AA104+N(Inputs_Actuals!AA32)&lt;=0,Project_Register!$AP$9,AA104+N(Inputs_Actuals!AA32)),Project_Register!$AT$9)</f>
        <v>1190000</v>
      </c>
      <c r="AB105" s="58" t="n">
        <f aca="false">IF(AB$5="A",IF(AB104+N(Inputs_Actuals!AB32)&lt;=0,Project_Register!$AP$9,AB104+N(Inputs_Actuals!AB32)),Project_Register!$AT$9)</f>
        <v>1190000</v>
      </c>
    </row>
    <row r="106" customFormat="false" ht="15" hidden="false" customHeight="false" outlineLevel="0" collapsed="false">
      <c r="A106" s="27" t="s">
        <v>733</v>
      </c>
      <c r="B106" s="56" t="s">
        <v>734</v>
      </c>
      <c r="C106" s="59" t="n">
        <f aca="false">P106</f>
        <v>1</v>
      </c>
      <c r="D106" s="59" t="n">
        <f aca="false">AB106</f>
        <v>1</v>
      </c>
      <c r="E106" s="60" t="n">
        <f aca="false">IF(E105&lt;=0,0,MIN(1,E104/E105))</f>
        <v>0</v>
      </c>
      <c r="F106" s="60" t="n">
        <f aca="false">IF(F105&lt;=0,0,MIN(1,F104/F105))</f>
        <v>0</v>
      </c>
      <c r="G106" s="60" t="n">
        <f aca="false">IF(G105&lt;=0,0,MIN(1,G104/G105))</f>
        <v>0.0337588703339882</v>
      </c>
      <c r="H106" s="60" t="n">
        <f aca="false">IF(H105&lt;=0,0,MIN(1,H104/H105))</f>
        <v>0.121069449901768</v>
      </c>
      <c r="I106" s="60" t="n">
        <f aca="false">IF(I105&lt;=0,0,MIN(1,I104/I105))</f>
        <v>0.239292971274686</v>
      </c>
      <c r="J106" s="60" t="n">
        <f aca="false">IF(J105&lt;=0,0,MIN(1,J104/J105))</f>
        <v>0.390281407599309</v>
      </c>
      <c r="K106" s="60" t="n">
        <f aca="false">IF(K105&lt;=0,0,MIN(1,K104/K105))</f>
        <v>0.582531580310881</v>
      </c>
      <c r="L106" s="60" t="n">
        <f aca="false">IF(L105&lt;=0,0,MIN(1,L104/L105))</f>
        <v>0.714681462184874</v>
      </c>
      <c r="M106" s="60" t="n">
        <f aca="false">IF(M105&lt;=0,0,MIN(1,M104/M105))</f>
        <v>0.861114785825441</v>
      </c>
      <c r="N106" s="60" t="n">
        <f aca="false">IF(N105&lt;=0,0,MIN(1,N104/N105))</f>
        <v>0.962259452669957</v>
      </c>
      <c r="O106" s="60" t="n">
        <f aca="false">IF(O105&lt;=0,0,MIN(1,O104/O105))</f>
        <v>1</v>
      </c>
      <c r="P106" s="60" t="n">
        <f aca="false">IF(P105&lt;=0,0,MIN(1,P104/P105))</f>
        <v>1</v>
      </c>
      <c r="Q106" s="60" t="n">
        <f aca="false">IF(Q105&lt;=0,0,MIN(1,Q104/Q105))</f>
        <v>1</v>
      </c>
      <c r="R106" s="60" t="n">
        <f aca="false">IF(R105&lt;=0,0,MIN(1,R104/R105))</f>
        <v>1</v>
      </c>
      <c r="S106" s="60" t="n">
        <f aca="false">IF(S105&lt;=0,0,MIN(1,S104/S105))</f>
        <v>1</v>
      </c>
      <c r="T106" s="60" t="n">
        <f aca="false">IF(T105&lt;=0,0,MIN(1,T104/T105))</f>
        <v>1</v>
      </c>
      <c r="U106" s="60" t="n">
        <f aca="false">IF(U105&lt;=0,0,MIN(1,U104/U105))</f>
        <v>1</v>
      </c>
      <c r="V106" s="60" t="n">
        <f aca="false">IF(V105&lt;=0,0,MIN(1,V104/V105))</f>
        <v>1</v>
      </c>
      <c r="W106" s="60" t="n">
        <f aca="false">IF(W105&lt;=0,0,MIN(1,W104/W105))</f>
        <v>1</v>
      </c>
      <c r="X106" s="60" t="n">
        <f aca="false">IF(X105&lt;=0,0,MIN(1,X104/X105))</f>
        <v>1</v>
      </c>
      <c r="Y106" s="60" t="n">
        <f aca="false">IF(Y105&lt;=0,0,MIN(1,Y104/Y105))</f>
        <v>1</v>
      </c>
      <c r="Z106" s="60" t="n">
        <f aca="false">IF(Z105&lt;=0,0,MIN(1,Z104/Z105))</f>
        <v>1</v>
      </c>
      <c r="AA106" s="60" t="n">
        <f aca="false">IF(AA105&lt;=0,0,MIN(1,AA104/AA105))</f>
        <v>1</v>
      </c>
      <c r="AB106" s="60" t="n">
        <f aca="false">IF(AB105&lt;=0,0,MIN(1,AB104/AB105))</f>
        <v>1</v>
      </c>
    </row>
    <row r="107" customFormat="false" ht="15" hidden="false" customHeight="false" outlineLevel="0" collapsed="false">
      <c r="A107" s="27" t="s">
        <v>735</v>
      </c>
      <c r="B107" s="56" t="s">
        <v>736</v>
      </c>
      <c r="C107" s="57" t="n">
        <f aca="false">P107</f>
        <v>33000</v>
      </c>
      <c r="D107" s="57" t="n">
        <f aca="false">AB107</f>
        <v>33000</v>
      </c>
      <c r="E107" s="58" t="n">
        <f aca="false">SUMIFS(Variations!$H$6:$H$21,Variations!$B$6:$B$21,"CF-2601",Variations!$F$6:$F$21,"Approved",Variations!$G$6:$G$21,"&lt;="&amp;Assumptions!E$95)</f>
        <v>0</v>
      </c>
      <c r="F107" s="58" t="n">
        <f aca="false">SUMIFS(Variations!$H$6:$H$21,Variations!$B$6:$B$21,"CF-2601",Variations!$F$6:$F$21,"Approved",Variations!$G$6:$G$21,"&lt;="&amp;Assumptions!F$95)</f>
        <v>0</v>
      </c>
      <c r="G107" s="58" t="n">
        <f aca="false">SUMIFS(Variations!$H$6:$H$21,Variations!$B$6:$B$21,"CF-2601",Variations!$F$6:$F$21,"Approved",Variations!$G$6:$G$21,"&lt;="&amp;Assumptions!G$95)</f>
        <v>0</v>
      </c>
      <c r="H107" s="58" t="n">
        <f aca="false">SUMIFS(Variations!$H$6:$H$21,Variations!$B$6:$B$21,"CF-2601",Variations!$F$6:$F$21,"Approved",Variations!$G$6:$G$21,"&lt;="&amp;Assumptions!H$95)</f>
        <v>0</v>
      </c>
      <c r="I107" s="58" t="n">
        <f aca="false">SUMIFS(Variations!$H$6:$H$21,Variations!$B$6:$B$21,"CF-2601",Variations!$F$6:$F$21,"Approved",Variations!$G$6:$G$21,"&lt;="&amp;Assumptions!I$95)</f>
        <v>0</v>
      </c>
      <c r="J107" s="58" t="n">
        <f aca="false">SUMIFS(Variations!$H$6:$H$21,Variations!$B$6:$B$21,"CF-2601",Variations!$F$6:$F$21,"Approved",Variations!$G$6:$G$21,"&lt;="&amp;Assumptions!J$95)</f>
        <v>0</v>
      </c>
      <c r="K107" s="58" t="n">
        <f aca="false">SUMIFS(Variations!$H$6:$H$21,Variations!$B$6:$B$21,"CF-2601",Variations!$F$6:$F$21,"Approved",Variations!$G$6:$G$21,"&lt;="&amp;Assumptions!K$95)</f>
        <v>33000</v>
      </c>
      <c r="L107" s="58" t="n">
        <f aca="false">SUMIFS(Variations!$H$6:$H$21,Variations!$B$6:$B$21,"CF-2601",Variations!$F$6:$F$21,"Approved",Variations!$G$6:$G$21,"&lt;="&amp;Assumptions!L$95)</f>
        <v>33000</v>
      </c>
      <c r="M107" s="58" t="n">
        <f aca="false">SUMIFS(Variations!$H$6:$H$21,Variations!$B$6:$B$21,"CF-2601",Variations!$F$6:$F$21,"Approved",Variations!$G$6:$G$21,"&lt;="&amp;Assumptions!M$95)</f>
        <v>33000</v>
      </c>
      <c r="N107" s="58" t="n">
        <f aca="false">SUMIFS(Variations!$H$6:$H$21,Variations!$B$6:$B$21,"CF-2601",Variations!$F$6:$F$21,"Approved",Variations!$G$6:$G$21,"&lt;="&amp;Assumptions!N$95)</f>
        <v>33000</v>
      </c>
      <c r="O107" s="58" t="n">
        <f aca="false">SUMIFS(Variations!$H$6:$H$21,Variations!$B$6:$B$21,"CF-2601",Variations!$F$6:$F$21,"Approved",Variations!$G$6:$G$21,"&lt;="&amp;Assumptions!O$95)</f>
        <v>33000</v>
      </c>
      <c r="P107" s="58" t="n">
        <f aca="false">SUMIFS(Variations!$H$6:$H$21,Variations!$B$6:$B$21,"CF-2601",Variations!$F$6:$F$21,"Approved",Variations!$G$6:$G$21,"&lt;="&amp;Assumptions!P$95)</f>
        <v>33000</v>
      </c>
      <c r="Q107" s="58" t="n">
        <f aca="false">SUMIFS(Variations!$H$6:$H$21,Variations!$B$6:$B$21,"CF-2601",Variations!$F$6:$F$21,"Approved",Variations!$G$6:$G$21,"&lt;="&amp;Assumptions!Q$95)</f>
        <v>33000</v>
      </c>
      <c r="R107" s="58" t="n">
        <f aca="false">SUMIFS(Variations!$H$6:$H$21,Variations!$B$6:$B$21,"CF-2601",Variations!$F$6:$F$21,"Approved",Variations!$G$6:$G$21,"&lt;="&amp;Assumptions!R$95)</f>
        <v>33000</v>
      </c>
      <c r="S107" s="58" t="n">
        <f aca="false">SUMIFS(Variations!$H$6:$H$21,Variations!$B$6:$B$21,"CF-2601",Variations!$F$6:$F$21,"Approved",Variations!$G$6:$G$21,"&lt;="&amp;Assumptions!S$95)</f>
        <v>33000</v>
      </c>
      <c r="T107" s="58" t="n">
        <f aca="false">SUMIFS(Variations!$H$6:$H$21,Variations!$B$6:$B$21,"CF-2601",Variations!$F$6:$F$21,"Approved",Variations!$G$6:$G$21,"&lt;="&amp;Assumptions!T$95)</f>
        <v>33000</v>
      </c>
      <c r="U107" s="58" t="n">
        <f aca="false">SUMIFS(Variations!$H$6:$H$21,Variations!$B$6:$B$21,"CF-2601",Variations!$F$6:$F$21,"Approved",Variations!$G$6:$G$21,"&lt;="&amp;Assumptions!U$95)</f>
        <v>33000</v>
      </c>
      <c r="V107" s="58" t="n">
        <f aca="false">SUMIFS(Variations!$H$6:$H$21,Variations!$B$6:$B$21,"CF-2601",Variations!$F$6:$F$21,"Approved",Variations!$G$6:$G$21,"&lt;="&amp;Assumptions!V$95)</f>
        <v>33000</v>
      </c>
      <c r="W107" s="58" t="n">
        <f aca="false">SUMIFS(Variations!$H$6:$H$21,Variations!$B$6:$B$21,"CF-2601",Variations!$F$6:$F$21,"Approved",Variations!$G$6:$G$21,"&lt;="&amp;Assumptions!W$95)</f>
        <v>33000</v>
      </c>
      <c r="X107" s="58" t="n">
        <f aca="false">SUMIFS(Variations!$H$6:$H$21,Variations!$B$6:$B$21,"CF-2601",Variations!$F$6:$F$21,"Approved",Variations!$G$6:$G$21,"&lt;="&amp;Assumptions!X$95)</f>
        <v>33000</v>
      </c>
      <c r="Y107" s="58" t="n">
        <f aca="false">SUMIFS(Variations!$H$6:$H$21,Variations!$B$6:$B$21,"CF-2601",Variations!$F$6:$F$21,"Approved",Variations!$G$6:$G$21,"&lt;="&amp;Assumptions!Y$95)</f>
        <v>33000</v>
      </c>
      <c r="Z107" s="58" t="n">
        <f aca="false">SUMIFS(Variations!$H$6:$H$21,Variations!$B$6:$B$21,"CF-2601",Variations!$F$6:$F$21,"Approved",Variations!$G$6:$G$21,"&lt;="&amp;Assumptions!Z$95)</f>
        <v>33000</v>
      </c>
      <c r="AA107" s="58" t="n">
        <f aca="false">SUMIFS(Variations!$H$6:$H$21,Variations!$B$6:$B$21,"CF-2601",Variations!$F$6:$F$21,"Approved",Variations!$G$6:$G$21,"&lt;="&amp;Assumptions!AA$95)</f>
        <v>33000</v>
      </c>
      <c r="AB107" s="58" t="n">
        <f aca="false">SUMIFS(Variations!$H$6:$H$21,Variations!$B$6:$B$21,"CF-2601",Variations!$F$6:$F$21,"Approved",Variations!$G$6:$G$21,"&lt;="&amp;Assumptions!AB$95)</f>
        <v>33000</v>
      </c>
    </row>
    <row r="108" customFormat="false" ht="15" hidden="false" customHeight="false" outlineLevel="0" collapsed="false">
      <c r="A108" s="27" t="s">
        <v>737</v>
      </c>
      <c r="B108" s="56"/>
      <c r="C108" s="57" t="n">
        <f aca="false">P108</f>
        <v>0</v>
      </c>
      <c r="D108" s="57" t="n">
        <f aca="false">AB108</f>
        <v>0</v>
      </c>
      <c r="E108" s="58" t="n">
        <f aca="false">SUMIFS(Variations!$E$6:$E$21,Variations!$B$6:$B$21,"CF-2601",Variations!$D$6:$D$21,"&lt;="&amp;Assumptions!E$95,Variations!$G$6:$G$21,"&gt;"&amp;Assumptions!E$95)</f>
        <v>0</v>
      </c>
      <c r="F108" s="58" t="n">
        <f aca="false">SUMIFS(Variations!$E$6:$E$21,Variations!$B$6:$B$21,"CF-2601",Variations!$D$6:$D$21,"&lt;="&amp;Assumptions!F$95,Variations!$G$6:$G$21,"&gt;"&amp;Assumptions!F$95)</f>
        <v>0</v>
      </c>
      <c r="G108" s="58" t="n">
        <f aca="false">SUMIFS(Variations!$E$6:$E$21,Variations!$B$6:$B$21,"CF-2601",Variations!$D$6:$D$21,"&lt;="&amp;Assumptions!G$95,Variations!$G$6:$G$21,"&gt;"&amp;Assumptions!G$95)</f>
        <v>0</v>
      </c>
      <c r="H108" s="58" t="n">
        <f aca="false">SUMIFS(Variations!$E$6:$E$21,Variations!$B$6:$B$21,"CF-2601",Variations!$D$6:$D$21,"&lt;="&amp;Assumptions!H$95,Variations!$G$6:$G$21,"&gt;"&amp;Assumptions!H$95)</f>
        <v>6900</v>
      </c>
      <c r="I108" s="58" t="n">
        <f aca="false">SUMIFS(Variations!$E$6:$E$21,Variations!$B$6:$B$21,"CF-2601",Variations!$D$6:$D$21,"&lt;="&amp;Assumptions!I$95,Variations!$G$6:$G$21,"&gt;"&amp;Assumptions!I$95)</f>
        <v>41400</v>
      </c>
      <c r="J108" s="58" t="n">
        <f aca="false">SUMIFS(Variations!$E$6:$E$21,Variations!$B$6:$B$21,"CF-2601",Variations!$D$6:$D$21,"&lt;="&amp;Assumptions!J$95,Variations!$G$6:$G$21,"&gt;"&amp;Assumptions!J$95)</f>
        <v>76300</v>
      </c>
      <c r="K108" s="58" t="n">
        <f aca="false">SUMIFS(Variations!$E$6:$E$21,Variations!$B$6:$B$21,"CF-2601",Variations!$D$6:$D$21,"&lt;="&amp;Assumptions!K$95,Variations!$G$6:$G$21,"&gt;"&amp;Assumptions!K$95)</f>
        <v>80400</v>
      </c>
      <c r="L108" s="58" t="n">
        <f aca="false">SUMIFS(Variations!$E$6:$E$21,Variations!$B$6:$B$21,"CF-2601",Variations!$D$6:$D$21,"&lt;="&amp;Assumptions!L$95,Variations!$G$6:$G$21,"&gt;"&amp;Assumptions!L$95)</f>
        <v>118000</v>
      </c>
      <c r="M108" s="58" t="n">
        <f aca="false">SUMIFS(Variations!$E$6:$E$21,Variations!$B$6:$B$21,"CF-2601",Variations!$D$6:$D$21,"&lt;="&amp;Assumptions!M$95,Variations!$G$6:$G$21,"&gt;"&amp;Assumptions!M$95)</f>
        <v>118000</v>
      </c>
      <c r="N108" s="58" t="n">
        <f aca="false">SUMIFS(Variations!$E$6:$E$21,Variations!$B$6:$B$21,"CF-2601",Variations!$D$6:$D$21,"&lt;="&amp;Assumptions!N$95,Variations!$G$6:$G$21,"&gt;"&amp;Assumptions!N$95)</f>
        <v>76200</v>
      </c>
      <c r="O108" s="58" t="n">
        <f aca="false">SUMIFS(Variations!$E$6:$E$21,Variations!$B$6:$B$21,"CF-2601",Variations!$D$6:$D$21,"&lt;="&amp;Assumptions!O$95,Variations!$G$6:$G$21,"&gt;"&amp;Assumptions!O$95)</f>
        <v>37600</v>
      </c>
      <c r="P108" s="58" t="n">
        <f aca="false">SUMIFS(Variations!$E$6:$E$21,Variations!$B$6:$B$21,"CF-2601",Variations!$D$6:$D$21,"&lt;="&amp;Assumptions!P$95,Variations!$G$6:$G$21,"&gt;"&amp;Assumptions!P$95)</f>
        <v>0</v>
      </c>
      <c r="Q108" s="58" t="n">
        <f aca="false">SUMIFS(Variations!$E$6:$E$21,Variations!$B$6:$B$21,"CF-2601",Variations!$D$6:$D$21,"&lt;="&amp;Assumptions!Q$95,Variations!$G$6:$G$21,"&gt;"&amp;Assumptions!Q$95)</f>
        <v>0</v>
      </c>
      <c r="R108" s="58" t="n">
        <f aca="false">SUMIFS(Variations!$E$6:$E$21,Variations!$B$6:$B$21,"CF-2601",Variations!$D$6:$D$21,"&lt;="&amp;Assumptions!R$95,Variations!$G$6:$G$21,"&gt;"&amp;Assumptions!R$95)</f>
        <v>0</v>
      </c>
      <c r="S108" s="58" t="n">
        <f aca="false">SUMIFS(Variations!$E$6:$E$21,Variations!$B$6:$B$21,"CF-2601",Variations!$D$6:$D$21,"&lt;="&amp;Assumptions!S$95,Variations!$G$6:$G$21,"&gt;"&amp;Assumptions!S$95)</f>
        <v>0</v>
      </c>
      <c r="T108" s="58" t="n">
        <f aca="false">SUMIFS(Variations!$E$6:$E$21,Variations!$B$6:$B$21,"CF-2601",Variations!$D$6:$D$21,"&lt;="&amp;Assumptions!T$95,Variations!$G$6:$G$21,"&gt;"&amp;Assumptions!T$95)</f>
        <v>0</v>
      </c>
      <c r="U108" s="58" t="n">
        <f aca="false">SUMIFS(Variations!$E$6:$E$21,Variations!$B$6:$B$21,"CF-2601",Variations!$D$6:$D$21,"&lt;="&amp;Assumptions!U$95,Variations!$G$6:$G$21,"&gt;"&amp;Assumptions!U$95)</f>
        <v>0</v>
      </c>
      <c r="V108" s="58" t="n">
        <f aca="false">SUMIFS(Variations!$E$6:$E$21,Variations!$B$6:$B$21,"CF-2601",Variations!$D$6:$D$21,"&lt;="&amp;Assumptions!V$95,Variations!$G$6:$G$21,"&gt;"&amp;Assumptions!V$95)</f>
        <v>0</v>
      </c>
      <c r="W108" s="58" t="n">
        <f aca="false">SUMIFS(Variations!$E$6:$E$21,Variations!$B$6:$B$21,"CF-2601",Variations!$D$6:$D$21,"&lt;="&amp;Assumptions!W$95,Variations!$G$6:$G$21,"&gt;"&amp;Assumptions!W$95)</f>
        <v>0</v>
      </c>
      <c r="X108" s="58" t="n">
        <f aca="false">SUMIFS(Variations!$E$6:$E$21,Variations!$B$6:$B$21,"CF-2601",Variations!$D$6:$D$21,"&lt;="&amp;Assumptions!X$95,Variations!$G$6:$G$21,"&gt;"&amp;Assumptions!X$95)</f>
        <v>0</v>
      </c>
      <c r="Y108" s="58" t="n">
        <f aca="false">SUMIFS(Variations!$E$6:$E$21,Variations!$B$6:$B$21,"CF-2601",Variations!$D$6:$D$21,"&lt;="&amp;Assumptions!Y$95,Variations!$G$6:$G$21,"&gt;"&amp;Assumptions!Y$95)</f>
        <v>0</v>
      </c>
      <c r="Z108" s="58" t="n">
        <f aca="false">SUMIFS(Variations!$E$6:$E$21,Variations!$B$6:$B$21,"CF-2601",Variations!$D$6:$D$21,"&lt;="&amp;Assumptions!Z$95,Variations!$G$6:$G$21,"&gt;"&amp;Assumptions!Z$95)</f>
        <v>0</v>
      </c>
      <c r="AA108" s="58" t="n">
        <f aca="false">SUMIFS(Variations!$E$6:$E$21,Variations!$B$6:$B$21,"CF-2601",Variations!$D$6:$D$21,"&lt;="&amp;Assumptions!AA$95,Variations!$G$6:$G$21,"&gt;"&amp;Assumptions!AA$95)</f>
        <v>0</v>
      </c>
      <c r="AB108" s="58" t="n">
        <f aca="false">SUMIFS(Variations!$E$6:$E$21,Variations!$B$6:$B$21,"CF-2601",Variations!$D$6:$D$21,"&lt;="&amp;Assumptions!AB$95,Variations!$G$6:$G$21,"&gt;"&amp;Assumptions!AB$95)</f>
        <v>0</v>
      </c>
    </row>
    <row r="109" customFormat="false" ht="15" hidden="false" customHeight="false" outlineLevel="0" collapsed="false">
      <c r="A109" s="27" t="s">
        <v>738</v>
      </c>
      <c r="B109" s="56"/>
      <c r="C109" s="57" t="n">
        <f aca="false">P109</f>
        <v>118000</v>
      </c>
      <c r="D109" s="57" t="n">
        <f aca="false">AB109</f>
        <v>118000</v>
      </c>
      <c r="E109" s="58" t="n">
        <f aca="false">SUMIFS(Variations!$E$6:$E$21,Variations!$B$6:$B$21,"CF-2601",Variations!$F$6:$F$21,"Pending",Variations!$G$6:$G$21,"&lt;="&amp;Assumptions!E$95)</f>
        <v>0</v>
      </c>
      <c r="F109" s="58" t="n">
        <f aca="false">SUMIFS(Variations!$E$6:$E$21,Variations!$B$6:$B$21,"CF-2601",Variations!$F$6:$F$21,"Pending",Variations!$G$6:$G$21,"&lt;="&amp;Assumptions!F$95)</f>
        <v>0</v>
      </c>
      <c r="G109" s="58" t="n">
        <f aca="false">SUMIFS(Variations!$E$6:$E$21,Variations!$B$6:$B$21,"CF-2601",Variations!$F$6:$F$21,"Pending",Variations!$G$6:$G$21,"&lt;="&amp;Assumptions!G$95)</f>
        <v>0</v>
      </c>
      <c r="H109" s="58" t="n">
        <f aca="false">SUMIFS(Variations!$E$6:$E$21,Variations!$B$6:$B$21,"CF-2601",Variations!$F$6:$F$21,"Pending",Variations!$G$6:$G$21,"&lt;="&amp;Assumptions!H$95)</f>
        <v>0</v>
      </c>
      <c r="I109" s="58" t="n">
        <f aca="false">SUMIFS(Variations!$E$6:$E$21,Variations!$B$6:$B$21,"CF-2601",Variations!$F$6:$F$21,"Pending",Variations!$G$6:$G$21,"&lt;="&amp;Assumptions!I$95)</f>
        <v>0</v>
      </c>
      <c r="J109" s="58" t="n">
        <f aca="false">SUMIFS(Variations!$E$6:$E$21,Variations!$B$6:$B$21,"CF-2601",Variations!$F$6:$F$21,"Pending",Variations!$G$6:$G$21,"&lt;="&amp;Assumptions!J$95)</f>
        <v>0</v>
      </c>
      <c r="K109" s="58" t="n">
        <f aca="false">SUMIFS(Variations!$E$6:$E$21,Variations!$B$6:$B$21,"CF-2601",Variations!$F$6:$F$21,"Pending",Variations!$G$6:$G$21,"&lt;="&amp;Assumptions!K$95)</f>
        <v>0</v>
      </c>
      <c r="L109" s="58" t="n">
        <f aca="false">SUMIFS(Variations!$E$6:$E$21,Variations!$B$6:$B$21,"CF-2601",Variations!$F$6:$F$21,"Pending",Variations!$G$6:$G$21,"&lt;="&amp;Assumptions!L$95)</f>
        <v>0</v>
      </c>
      <c r="M109" s="58" t="n">
        <f aca="false">SUMIFS(Variations!$E$6:$E$21,Variations!$B$6:$B$21,"CF-2601",Variations!$F$6:$F$21,"Pending",Variations!$G$6:$G$21,"&lt;="&amp;Assumptions!M$95)</f>
        <v>0</v>
      </c>
      <c r="N109" s="58" t="n">
        <f aca="false">SUMIFS(Variations!$E$6:$E$21,Variations!$B$6:$B$21,"CF-2601",Variations!$F$6:$F$21,"Pending",Variations!$G$6:$G$21,"&lt;="&amp;Assumptions!N$95)</f>
        <v>41800</v>
      </c>
      <c r="O109" s="58" t="n">
        <f aca="false">SUMIFS(Variations!$E$6:$E$21,Variations!$B$6:$B$21,"CF-2601",Variations!$F$6:$F$21,"Pending",Variations!$G$6:$G$21,"&lt;="&amp;Assumptions!O$95)</f>
        <v>80400</v>
      </c>
      <c r="P109" s="58" t="n">
        <f aca="false">SUMIFS(Variations!$E$6:$E$21,Variations!$B$6:$B$21,"CF-2601",Variations!$F$6:$F$21,"Pending",Variations!$G$6:$G$21,"&lt;="&amp;Assumptions!P$95)</f>
        <v>118000</v>
      </c>
      <c r="Q109" s="58" t="n">
        <f aca="false">SUMIFS(Variations!$E$6:$E$21,Variations!$B$6:$B$21,"CF-2601",Variations!$F$6:$F$21,"Pending",Variations!$G$6:$G$21,"&lt;="&amp;Assumptions!Q$95)</f>
        <v>118000</v>
      </c>
      <c r="R109" s="58" t="n">
        <f aca="false">SUMIFS(Variations!$E$6:$E$21,Variations!$B$6:$B$21,"CF-2601",Variations!$F$6:$F$21,"Pending",Variations!$G$6:$G$21,"&lt;="&amp;Assumptions!R$95)</f>
        <v>118000</v>
      </c>
      <c r="S109" s="58" t="n">
        <f aca="false">SUMIFS(Variations!$E$6:$E$21,Variations!$B$6:$B$21,"CF-2601",Variations!$F$6:$F$21,"Pending",Variations!$G$6:$G$21,"&lt;="&amp;Assumptions!S$95)</f>
        <v>118000</v>
      </c>
      <c r="T109" s="58" t="n">
        <f aca="false">SUMIFS(Variations!$E$6:$E$21,Variations!$B$6:$B$21,"CF-2601",Variations!$F$6:$F$21,"Pending",Variations!$G$6:$G$21,"&lt;="&amp;Assumptions!T$95)</f>
        <v>118000</v>
      </c>
      <c r="U109" s="58" t="n">
        <f aca="false">SUMIFS(Variations!$E$6:$E$21,Variations!$B$6:$B$21,"CF-2601",Variations!$F$6:$F$21,"Pending",Variations!$G$6:$G$21,"&lt;="&amp;Assumptions!U$95)</f>
        <v>118000</v>
      </c>
      <c r="V109" s="58" t="n">
        <f aca="false">SUMIFS(Variations!$E$6:$E$21,Variations!$B$6:$B$21,"CF-2601",Variations!$F$6:$F$21,"Pending",Variations!$G$6:$G$21,"&lt;="&amp;Assumptions!V$95)</f>
        <v>118000</v>
      </c>
      <c r="W109" s="58" t="n">
        <f aca="false">SUMIFS(Variations!$E$6:$E$21,Variations!$B$6:$B$21,"CF-2601",Variations!$F$6:$F$21,"Pending",Variations!$G$6:$G$21,"&lt;="&amp;Assumptions!W$95)</f>
        <v>118000</v>
      </c>
      <c r="X109" s="58" t="n">
        <f aca="false">SUMIFS(Variations!$E$6:$E$21,Variations!$B$6:$B$21,"CF-2601",Variations!$F$6:$F$21,"Pending",Variations!$G$6:$G$21,"&lt;="&amp;Assumptions!X$95)</f>
        <v>118000</v>
      </c>
      <c r="Y109" s="58" t="n">
        <f aca="false">SUMIFS(Variations!$E$6:$E$21,Variations!$B$6:$B$21,"CF-2601",Variations!$F$6:$F$21,"Pending",Variations!$G$6:$G$21,"&lt;="&amp;Assumptions!Y$95)</f>
        <v>118000</v>
      </c>
      <c r="Z109" s="58" t="n">
        <f aca="false">SUMIFS(Variations!$E$6:$E$21,Variations!$B$6:$B$21,"CF-2601",Variations!$F$6:$F$21,"Pending",Variations!$G$6:$G$21,"&lt;="&amp;Assumptions!Z$95)</f>
        <v>118000</v>
      </c>
      <c r="AA109" s="58" t="n">
        <f aca="false">SUMIFS(Variations!$E$6:$E$21,Variations!$B$6:$B$21,"CF-2601",Variations!$F$6:$F$21,"Pending",Variations!$G$6:$G$21,"&lt;="&amp;Assumptions!AA$95)</f>
        <v>118000</v>
      </c>
      <c r="AB109" s="58" t="n">
        <f aca="false">SUMIFS(Variations!$E$6:$E$21,Variations!$B$6:$B$21,"CF-2601",Variations!$F$6:$F$21,"Pending",Variations!$G$6:$G$21,"&lt;="&amp;Assumptions!AB$95)</f>
        <v>118000</v>
      </c>
    </row>
    <row r="110" customFormat="false" ht="15" hidden="false" customHeight="false" outlineLevel="0" collapsed="false">
      <c r="A110" s="27" t="s">
        <v>739</v>
      </c>
      <c r="B110" s="56" t="s">
        <v>740</v>
      </c>
      <c r="C110" s="57" t="n">
        <f aca="false">P110</f>
        <v>1289700</v>
      </c>
      <c r="D110" s="57" t="n">
        <f aca="false">AB110</f>
        <v>1289700</v>
      </c>
      <c r="E110" s="58" t="n">
        <f aca="false">Project_Register!$AO$9+E107+Assumptions!$C$74*E108+Assumptions!$F$121*E109</f>
        <v>1180000</v>
      </c>
      <c r="F110" s="58" t="n">
        <f aca="false">Project_Register!$AO$9+F107+Assumptions!$C$74*F108+Assumptions!$F$121*F109</f>
        <v>1180000</v>
      </c>
      <c r="G110" s="58" t="n">
        <f aca="false">Project_Register!$AO$9+G107+Assumptions!$C$74*G108+Assumptions!$F$121*G109</f>
        <v>1180000</v>
      </c>
      <c r="H110" s="58" t="n">
        <f aca="false">Project_Register!$AO$9+H107+Assumptions!$C$74*H108+Assumptions!$F$121*H109</f>
        <v>1183450</v>
      </c>
      <c r="I110" s="58" t="n">
        <f aca="false">Project_Register!$AO$9+I107+Assumptions!$C$74*I108+Assumptions!$F$121*I109</f>
        <v>1200700</v>
      </c>
      <c r="J110" s="58" t="n">
        <f aca="false">Project_Register!$AO$9+J107+Assumptions!$C$74*J108+Assumptions!$F$121*J109</f>
        <v>1218150</v>
      </c>
      <c r="K110" s="58" t="n">
        <f aca="false">Project_Register!$AO$9+K107+Assumptions!$C$74*K108+Assumptions!$F$121*K109</f>
        <v>1253200</v>
      </c>
      <c r="L110" s="58" t="n">
        <f aca="false">Project_Register!$AO$9+L107+Assumptions!$C$74*L108+Assumptions!$F$121*L109</f>
        <v>1272000</v>
      </c>
      <c r="M110" s="58" t="n">
        <f aca="false">Project_Register!$AO$9+M107+Assumptions!$C$74*M108+Assumptions!$F$121*M109</f>
        <v>1272000</v>
      </c>
      <c r="N110" s="58" t="n">
        <f aca="false">Project_Register!$AO$9+N107+Assumptions!$C$74*N108+Assumptions!$F$121*N109</f>
        <v>1278270</v>
      </c>
      <c r="O110" s="58" t="n">
        <f aca="false">Project_Register!$AO$9+O107+Assumptions!$C$74*O108+Assumptions!$F$121*O109</f>
        <v>1284060</v>
      </c>
      <c r="P110" s="58" t="n">
        <f aca="false">Project_Register!$AO$9+P107+Assumptions!$C$74*P108+Assumptions!$F$121*P109</f>
        <v>1289700</v>
      </c>
      <c r="Q110" s="58" t="n">
        <f aca="false">Project_Register!$AO$9+Q107+Assumptions!$C$74*Q108+Assumptions!$F$121*Q109</f>
        <v>1289700</v>
      </c>
      <c r="R110" s="58" t="n">
        <f aca="false">Project_Register!$AO$9+R107+Assumptions!$C$74*R108+Assumptions!$F$121*R109</f>
        <v>1289700</v>
      </c>
      <c r="S110" s="58" t="n">
        <f aca="false">Project_Register!$AO$9+S107+Assumptions!$C$74*S108+Assumptions!$F$121*S109</f>
        <v>1289700</v>
      </c>
      <c r="T110" s="58" t="n">
        <f aca="false">Project_Register!$AO$9+T107+Assumptions!$C$74*T108+Assumptions!$F$121*T109</f>
        <v>1289700</v>
      </c>
      <c r="U110" s="58" t="n">
        <f aca="false">Project_Register!$AO$9+U107+Assumptions!$C$74*U108+Assumptions!$F$121*U109</f>
        <v>1289700</v>
      </c>
      <c r="V110" s="58" t="n">
        <f aca="false">Project_Register!$AO$9+V107+Assumptions!$C$74*V108+Assumptions!$F$121*V109</f>
        <v>1289700</v>
      </c>
      <c r="W110" s="58" t="n">
        <f aca="false">Project_Register!$AO$9+W107+Assumptions!$C$74*W108+Assumptions!$F$121*W109</f>
        <v>1289700</v>
      </c>
      <c r="X110" s="58" t="n">
        <f aca="false">Project_Register!$AO$9+X107+Assumptions!$C$74*X108+Assumptions!$F$121*X109</f>
        <v>1289700</v>
      </c>
      <c r="Y110" s="58" t="n">
        <f aca="false">Project_Register!$AO$9+Y107+Assumptions!$C$74*Y108+Assumptions!$F$121*Y109</f>
        <v>1289700</v>
      </c>
      <c r="Z110" s="58" t="n">
        <f aca="false">Project_Register!$AO$9+Z107+Assumptions!$C$74*Z108+Assumptions!$F$121*Z109</f>
        <v>1289700</v>
      </c>
      <c r="AA110" s="58" t="n">
        <f aca="false">Project_Register!$AO$9+AA107+Assumptions!$C$74*AA108+Assumptions!$F$121*AA109</f>
        <v>1289700</v>
      </c>
      <c r="AB110" s="58" t="n">
        <f aca="false">Project_Register!$AO$9+AB107+Assumptions!$C$74*AB108+Assumptions!$F$121*AB109</f>
        <v>1289700</v>
      </c>
    </row>
    <row r="111" customFormat="false" ht="15" hidden="false" customHeight="false" outlineLevel="0" collapsed="false">
      <c r="A111" s="27" t="s">
        <v>741</v>
      </c>
      <c r="B111" s="56" t="s">
        <v>742</v>
      </c>
      <c r="C111" s="57" t="n">
        <f aca="false">P111</f>
        <v>1289700</v>
      </c>
      <c r="D111" s="57" t="n">
        <f aca="false">AB111</f>
        <v>1289700</v>
      </c>
      <c r="E111" s="58" t="n">
        <f aca="false">IF(E$5="A",Project_Register!$AD$9+Inputs_Actuals!E33,E106*E110)</f>
        <v>0</v>
      </c>
      <c r="F111" s="58" t="n">
        <f aca="false">IF(F$5="A",E111+Inputs_Actuals!F33,F106*F110)</f>
        <v>0</v>
      </c>
      <c r="G111" s="58" t="n">
        <f aca="false">IF(G$5="A",F111+Inputs_Actuals!G33,G106*G110)</f>
        <v>39835.47</v>
      </c>
      <c r="H111" s="58" t="n">
        <f aca="false">IF(H$5="A",G111+Inputs_Actuals!H33,H106*H110)</f>
        <v>143279.64</v>
      </c>
      <c r="I111" s="58" t="n">
        <f aca="false">IF(I$5="A",H111+Inputs_Actuals!I33,I106*I110)</f>
        <v>287319.07</v>
      </c>
      <c r="J111" s="58" t="n">
        <f aca="false">IF(J$5="A",I111+Inputs_Actuals!J33,J106*J110)</f>
        <v>475421.3</v>
      </c>
      <c r="K111" s="58" t="n">
        <f aca="false">IF(K$5="A",J111+Inputs_Actuals!K33,K106*K110)</f>
        <v>730028.58</v>
      </c>
      <c r="L111" s="58" t="n">
        <f aca="false">IF(L$5="A",K111+Inputs_Actuals!L33,L106*L110)</f>
        <v>909074.82</v>
      </c>
      <c r="M111" s="58" t="n">
        <f aca="false">IF(M$5="A",L111+Inputs_Actuals!M33,M106*M110)</f>
        <v>1095338.00756996</v>
      </c>
      <c r="N111" s="58" t="n">
        <f aca="false">IF(N$5="A",M111+Inputs_Actuals!N33,N106*N110)</f>
        <v>1230027.39056443</v>
      </c>
      <c r="O111" s="58" t="n">
        <f aca="false">IF(O$5="A",N111+Inputs_Actuals!O33,O106*O110)</f>
        <v>1284060</v>
      </c>
      <c r="P111" s="58" t="n">
        <f aca="false">IF(P$5="A",O111+Inputs_Actuals!P33,P106*P110)</f>
        <v>1289700</v>
      </c>
      <c r="Q111" s="58" t="n">
        <f aca="false">IF(Q$5="A",P111+Inputs_Actuals!Q33,Q106*Q110)</f>
        <v>1289700</v>
      </c>
      <c r="R111" s="58" t="n">
        <f aca="false">IF(R$5="A",Q111+Inputs_Actuals!R33,R106*R110)</f>
        <v>1289700</v>
      </c>
      <c r="S111" s="58" t="n">
        <f aca="false">IF(S$5="A",R111+Inputs_Actuals!S33,S106*S110)</f>
        <v>1289700</v>
      </c>
      <c r="T111" s="58" t="n">
        <f aca="false">IF(T$5="A",S111+Inputs_Actuals!T33,T106*T110)</f>
        <v>1289700</v>
      </c>
      <c r="U111" s="58" t="n">
        <f aca="false">IF(U$5="A",T111+Inputs_Actuals!U33,U106*U110)</f>
        <v>1289700</v>
      </c>
      <c r="V111" s="58" t="n">
        <f aca="false">IF(V$5="A",U111+Inputs_Actuals!V33,V106*V110)</f>
        <v>1289700</v>
      </c>
      <c r="W111" s="58" t="n">
        <f aca="false">IF(W$5="A",V111+Inputs_Actuals!W33,W106*W110)</f>
        <v>1289700</v>
      </c>
      <c r="X111" s="58" t="n">
        <f aca="false">IF(X$5="A",W111+Inputs_Actuals!X33,X106*X110)</f>
        <v>1289700</v>
      </c>
      <c r="Y111" s="58" t="n">
        <f aca="false">IF(Y$5="A",X111+Inputs_Actuals!Y33,Y106*Y110)</f>
        <v>1289700</v>
      </c>
      <c r="Z111" s="58" t="n">
        <f aca="false">IF(Z$5="A",Y111+Inputs_Actuals!Z33,Z106*Z110)</f>
        <v>1289700</v>
      </c>
      <c r="AA111" s="58" t="n">
        <f aca="false">IF(AA$5="A",Z111+Inputs_Actuals!AA33,AA106*AA110)</f>
        <v>1289700</v>
      </c>
      <c r="AB111" s="58" t="n">
        <f aca="false">IF(AB$5="A",AA111+Inputs_Actuals!AB33,AB106*AB110)</f>
        <v>1289700</v>
      </c>
    </row>
    <row r="112" customFormat="false" ht="15" hidden="false" customHeight="false" outlineLevel="0" collapsed="false">
      <c r="A112" s="67" t="s">
        <v>743</v>
      </c>
      <c r="B112" s="68" t="s">
        <v>744</v>
      </c>
      <c r="C112" s="69" t="n">
        <f aca="false">SUM(E112:P112)</f>
        <v>1289700</v>
      </c>
      <c r="D112" s="69" t="n">
        <f aca="false">SUM(Q112:AB112)</f>
        <v>0</v>
      </c>
      <c r="E112" s="74" t="n">
        <f aca="false">E111-Project_Register!$AD$9</f>
        <v>0</v>
      </c>
      <c r="F112" s="69" t="n">
        <f aca="false">F111-E111</f>
        <v>0</v>
      </c>
      <c r="G112" s="69" t="n">
        <f aca="false">G111-F111</f>
        <v>39835.47</v>
      </c>
      <c r="H112" s="69" t="n">
        <f aca="false">H111-G111</f>
        <v>103444.17</v>
      </c>
      <c r="I112" s="69" t="n">
        <f aca="false">I111-H111</f>
        <v>144039.43</v>
      </c>
      <c r="J112" s="69" t="n">
        <f aca="false">J111-I111</f>
        <v>188102.23</v>
      </c>
      <c r="K112" s="69" t="n">
        <f aca="false">K111-J111</f>
        <v>254607.28</v>
      </c>
      <c r="L112" s="69" t="n">
        <f aca="false">L111-K111</f>
        <v>179046.24</v>
      </c>
      <c r="M112" s="69" t="n">
        <f aca="false">M111-L111</f>
        <v>186263.187569961</v>
      </c>
      <c r="N112" s="69" t="n">
        <f aca="false">N111-M111</f>
        <v>134689.382994465</v>
      </c>
      <c r="O112" s="69" t="n">
        <f aca="false">O111-N111</f>
        <v>54032.6094355739</v>
      </c>
      <c r="P112" s="69" t="n">
        <f aca="false">P111-O111</f>
        <v>5640</v>
      </c>
      <c r="Q112" s="69" t="n">
        <f aca="false">Q111-P111</f>
        <v>0</v>
      </c>
      <c r="R112" s="69" t="n">
        <f aca="false">R111-Q111</f>
        <v>0</v>
      </c>
      <c r="S112" s="69" t="n">
        <f aca="false">S111-R111</f>
        <v>0</v>
      </c>
      <c r="T112" s="69" t="n">
        <f aca="false">T111-S111</f>
        <v>0</v>
      </c>
      <c r="U112" s="69" t="n">
        <f aca="false">U111-T111</f>
        <v>0</v>
      </c>
      <c r="V112" s="69" t="n">
        <f aca="false">V111-U111</f>
        <v>0</v>
      </c>
      <c r="W112" s="69" t="n">
        <f aca="false">W111-V111</f>
        <v>0</v>
      </c>
      <c r="X112" s="69" t="n">
        <f aca="false">X111-W111</f>
        <v>0</v>
      </c>
      <c r="Y112" s="69" t="n">
        <f aca="false">Y111-X111</f>
        <v>0</v>
      </c>
      <c r="Z112" s="69" t="n">
        <f aca="false">Z111-Y111</f>
        <v>0</v>
      </c>
      <c r="AA112" s="69" t="n">
        <f aca="false">AA111-Z111</f>
        <v>0</v>
      </c>
      <c r="AB112" s="69" t="n">
        <f aca="false">AB111-AA111</f>
        <v>0</v>
      </c>
    </row>
    <row r="113" customFormat="false" ht="15" hidden="false" customHeight="false" outlineLevel="0" collapsed="false">
      <c r="A113" s="27" t="s">
        <v>745</v>
      </c>
      <c r="B113" s="56" t="s">
        <v>746</v>
      </c>
      <c r="C113" s="57" t="n">
        <f aca="false">P113</f>
        <v>0</v>
      </c>
      <c r="D113" s="57" t="n">
        <f aca="false">AB113</f>
        <v>0</v>
      </c>
      <c r="E113" s="70" t="n">
        <f aca="false">MAX(0,E105-E110)*(1-E106)</f>
        <v>0</v>
      </c>
      <c r="F113" s="70" t="n">
        <f aca="false">MAX(0,F105-F110)*(1-F106)</f>
        <v>0</v>
      </c>
      <c r="G113" s="70" t="n">
        <f aca="false">MAX(0,G105-G110)*(1-G106)</f>
        <v>0</v>
      </c>
      <c r="H113" s="70" t="n">
        <f aca="false">MAX(0,H105-H110)*(1-H106)</f>
        <v>0</v>
      </c>
      <c r="I113" s="70" t="n">
        <f aca="false">MAX(0,I105-I110)*(1-I106)</f>
        <v>0</v>
      </c>
      <c r="J113" s="70" t="n">
        <f aca="false">MAX(0,J105-J110)*(1-J106)</f>
        <v>0</v>
      </c>
      <c r="K113" s="70" t="n">
        <f aca="false">MAX(0,K105-K110)*(1-K106)</f>
        <v>0</v>
      </c>
      <c r="L113" s="70" t="n">
        <f aca="false">MAX(0,L105-L110)*(1-L106)</f>
        <v>0</v>
      </c>
      <c r="M113" s="70" t="n">
        <f aca="false">MAX(0,M105-M110)*(1-M106)</f>
        <v>0</v>
      </c>
      <c r="N113" s="70" t="n">
        <f aca="false">MAX(0,N105-N110)*(1-N106)</f>
        <v>0</v>
      </c>
      <c r="O113" s="70" t="n">
        <f aca="false">MAX(0,O105-O110)*(1-O106)</f>
        <v>0</v>
      </c>
      <c r="P113" s="70" t="n">
        <f aca="false">MAX(0,P105-P110)*(1-P106)</f>
        <v>0</v>
      </c>
      <c r="Q113" s="70" t="n">
        <f aca="false">MAX(0,Q105-Q110)*(1-Q106)</f>
        <v>0</v>
      </c>
      <c r="R113" s="70" t="n">
        <f aca="false">MAX(0,R105-R110)*(1-R106)</f>
        <v>0</v>
      </c>
      <c r="S113" s="70" t="n">
        <f aca="false">MAX(0,S105-S110)*(1-S106)</f>
        <v>0</v>
      </c>
      <c r="T113" s="70" t="n">
        <f aca="false">MAX(0,T105-T110)*(1-T106)</f>
        <v>0</v>
      </c>
      <c r="U113" s="70" t="n">
        <f aca="false">MAX(0,U105-U110)*(1-U106)</f>
        <v>0</v>
      </c>
      <c r="V113" s="70" t="n">
        <f aca="false">MAX(0,V105-V110)*(1-V106)</f>
        <v>0</v>
      </c>
      <c r="W113" s="70" t="n">
        <f aca="false">MAX(0,W105-W110)*(1-W106)</f>
        <v>0</v>
      </c>
      <c r="X113" s="70" t="n">
        <f aca="false">MAX(0,X105-X110)*(1-X106)</f>
        <v>0</v>
      </c>
      <c r="Y113" s="70" t="n">
        <f aca="false">MAX(0,Y105-Y110)*(1-Y106)</f>
        <v>0</v>
      </c>
      <c r="Z113" s="70" t="n">
        <f aca="false">MAX(0,Z105-Z110)*(1-Z106)</f>
        <v>0</v>
      </c>
      <c r="AA113" s="70" t="n">
        <f aca="false">MAX(0,AA105-AA110)*(1-AA106)</f>
        <v>0</v>
      </c>
      <c r="AB113" s="70" t="n">
        <f aca="false">MAX(0,AB105-AB110)*(1-AB106)</f>
        <v>0</v>
      </c>
    </row>
    <row r="114" customFormat="false" ht="15" hidden="false" customHeight="false" outlineLevel="0" collapsed="false">
      <c r="A114" s="27" t="s">
        <v>747</v>
      </c>
      <c r="B114" s="56"/>
      <c r="C114" s="57" t="n">
        <f aca="false">SUM(E114:P114)</f>
        <v>0</v>
      </c>
      <c r="D114" s="57" t="n">
        <f aca="false">SUM(Q114:AB114)</f>
        <v>0</v>
      </c>
      <c r="E114" s="70" t="n">
        <f aca="false">-(E113-0)</f>
        <v>-0</v>
      </c>
      <c r="F114" s="70" t="n">
        <f aca="false">-(F113-E113)</f>
        <v>-0</v>
      </c>
      <c r="G114" s="70" t="n">
        <f aca="false">-(G113-F113)</f>
        <v>-0</v>
      </c>
      <c r="H114" s="70" t="n">
        <f aca="false">-(H113-G113)</f>
        <v>-0</v>
      </c>
      <c r="I114" s="70" t="n">
        <f aca="false">-(I113-H113)</f>
        <v>-0</v>
      </c>
      <c r="J114" s="70" t="n">
        <f aca="false">-(J113-I113)</f>
        <v>-0</v>
      </c>
      <c r="K114" s="70" t="n">
        <f aca="false">-(K113-J113)</f>
        <v>-0</v>
      </c>
      <c r="L114" s="70" t="n">
        <f aca="false">-(L113-K113)</f>
        <v>-0</v>
      </c>
      <c r="M114" s="70" t="n">
        <f aca="false">-(M113-L113)</f>
        <v>-0</v>
      </c>
      <c r="N114" s="70" t="n">
        <f aca="false">-(N113-M113)</f>
        <v>-0</v>
      </c>
      <c r="O114" s="70" t="n">
        <f aca="false">-(O113-N113)</f>
        <v>-0</v>
      </c>
      <c r="P114" s="70" t="n">
        <f aca="false">-(P113-O113)</f>
        <v>-0</v>
      </c>
      <c r="Q114" s="70" t="n">
        <f aca="false">-(Q113-P113)</f>
        <v>-0</v>
      </c>
      <c r="R114" s="70" t="n">
        <f aca="false">-(R113-Q113)</f>
        <v>-0</v>
      </c>
      <c r="S114" s="70" t="n">
        <f aca="false">-(S113-R113)</f>
        <v>-0</v>
      </c>
      <c r="T114" s="70" t="n">
        <f aca="false">-(T113-S113)</f>
        <v>-0</v>
      </c>
      <c r="U114" s="70" t="n">
        <f aca="false">-(U113-T113)</f>
        <v>-0</v>
      </c>
      <c r="V114" s="70" t="n">
        <f aca="false">-(V113-U113)</f>
        <v>-0</v>
      </c>
      <c r="W114" s="70" t="n">
        <f aca="false">-(W113-V113)</f>
        <v>-0</v>
      </c>
      <c r="X114" s="70" t="n">
        <f aca="false">-(X113-W113)</f>
        <v>-0</v>
      </c>
      <c r="Y114" s="70" t="n">
        <f aca="false">-(Y113-X113)</f>
        <v>-0</v>
      </c>
      <c r="Z114" s="70" t="n">
        <f aca="false">-(Z113-Y113)</f>
        <v>-0</v>
      </c>
      <c r="AA114" s="70" t="n">
        <f aca="false">-(AA113-Z113)</f>
        <v>-0</v>
      </c>
      <c r="AB114" s="70" t="n">
        <f aca="false">-(AB113-AA113)</f>
        <v>-0</v>
      </c>
    </row>
    <row r="115" customFormat="false" ht="15" hidden="false" customHeight="false" outlineLevel="0" collapsed="false">
      <c r="A115" s="67" t="s">
        <v>748</v>
      </c>
      <c r="B115" s="68" t="s">
        <v>749</v>
      </c>
      <c r="C115" s="69" t="n">
        <f aca="false">SUM(E115:P115)</f>
        <v>99700.0000000001</v>
      </c>
      <c r="D115" s="69" t="n">
        <f aca="false">SUM(Q115:AB115)</f>
        <v>0</v>
      </c>
      <c r="E115" s="69" t="n">
        <f aca="false">E112-E103+E114</f>
        <v>0</v>
      </c>
      <c r="F115" s="69" t="n">
        <f aca="false">F112-F103+F114</f>
        <v>0</v>
      </c>
      <c r="G115" s="69" t="n">
        <f aca="false">G112-G103+G114</f>
        <v>5468.94</v>
      </c>
      <c r="H115" s="69" t="n">
        <f aca="false">H112-H103+H114</f>
        <v>14562</v>
      </c>
      <c r="I115" s="69" t="n">
        <f aca="false">I112-I103+I114</f>
        <v>715.760000000009</v>
      </c>
      <c r="J115" s="69" t="n">
        <f aca="false">J112-J103+J114</f>
        <v>2728.73000000004</v>
      </c>
      <c r="K115" s="69" t="n">
        <f aca="false">K112-K103+K114</f>
        <v>31981.58</v>
      </c>
      <c r="L115" s="69" t="n">
        <f aca="false">L112-L103+L114</f>
        <v>3146.87</v>
      </c>
      <c r="M115" s="69" t="n">
        <f aca="false">M112-M103+M114</f>
        <v>12007.5324376862</v>
      </c>
      <c r="N115" s="69" t="n">
        <f aca="false">N112-N103+N114</f>
        <v>14327.229449491</v>
      </c>
      <c r="O115" s="69" t="n">
        <f aca="false">O112-O103+O114</f>
        <v>9121.35811282285</v>
      </c>
      <c r="P115" s="69" t="n">
        <f aca="false">P112-P103+P114</f>
        <v>5640</v>
      </c>
      <c r="Q115" s="69" t="n">
        <f aca="false">Q112-Q103+Q114</f>
        <v>0</v>
      </c>
      <c r="R115" s="69" t="n">
        <f aca="false">R112-R103+R114</f>
        <v>0</v>
      </c>
      <c r="S115" s="69" t="n">
        <f aca="false">S112-S103+S114</f>
        <v>0</v>
      </c>
      <c r="T115" s="69" t="n">
        <f aca="false">T112-T103+T114</f>
        <v>0</v>
      </c>
      <c r="U115" s="69" t="n">
        <f aca="false">U112-U103+U114</f>
        <v>0</v>
      </c>
      <c r="V115" s="69" t="n">
        <f aca="false">V112-V103+V114</f>
        <v>0</v>
      </c>
      <c r="W115" s="69" t="n">
        <f aca="false">W112-W103+W114</f>
        <v>0</v>
      </c>
      <c r="X115" s="69" t="n">
        <f aca="false">X112-X103+X114</f>
        <v>0</v>
      </c>
      <c r="Y115" s="69" t="n">
        <f aca="false">Y112-Y103+Y114</f>
        <v>0</v>
      </c>
      <c r="Z115" s="69" t="n">
        <f aca="false">Z112-Z103+Z114</f>
        <v>0</v>
      </c>
      <c r="AA115" s="69" t="n">
        <f aca="false">AA112-AA103+AA114</f>
        <v>0</v>
      </c>
      <c r="AB115" s="69" t="n">
        <f aca="false">AB112-AB103+AB114</f>
        <v>0</v>
      </c>
    </row>
    <row r="116" customFormat="false" ht="15" hidden="false" customHeight="false" outlineLevel="0" collapsed="false">
      <c r="A116" s="27" t="s">
        <v>750</v>
      </c>
      <c r="B116" s="56"/>
      <c r="C116" s="57" t="n">
        <f aca="false">P116</f>
        <v>1289700</v>
      </c>
      <c r="D116" s="57" t="n">
        <f aca="false">AB116</f>
        <v>1289700</v>
      </c>
      <c r="E116" s="58" t="n">
        <f aca="false">Project_Register!$AO$9+E107+Assumptions!$F$121*E109</f>
        <v>1180000</v>
      </c>
      <c r="F116" s="58" t="n">
        <f aca="false">Project_Register!$AO$9+F107+Assumptions!$F$121*F109</f>
        <v>1180000</v>
      </c>
      <c r="G116" s="58" t="n">
        <f aca="false">Project_Register!$AO$9+G107+Assumptions!$F$121*G109</f>
        <v>1180000</v>
      </c>
      <c r="H116" s="58" t="n">
        <f aca="false">Project_Register!$AO$9+H107+Assumptions!$F$121*H109</f>
        <v>1180000</v>
      </c>
      <c r="I116" s="58" t="n">
        <f aca="false">Project_Register!$AO$9+I107+Assumptions!$F$121*I109</f>
        <v>1180000</v>
      </c>
      <c r="J116" s="58" t="n">
        <f aca="false">Project_Register!$AO$9+J107+Assumptions!$F$121*J109</f>
        <v>1180000</v>
      </c>
      <c r="K116" s="58" t="n">
        <f aca="false">Project_Register!$AO$9+K107+Assumptions!$F$121*K109</f>
        <v>1213000</v>
      </c>
      <c r="L116" s="58" t="n">
        <f aca="false">Project_Register!$AO$9+L107+Assumptions!$F$121*L109</f>
        <v>1213000</v>
      </c>
      <c r="M116" s="58" t="n">
        <f aca="false">Project_Register!$AO$9+M107+Assumptions!$F$121*M109</f>
        <v>1213000</v>
      </c>
      <c r="N116" s="58" t="n">
        <f aca="false">Project_Register!$AO$9+N107+Assumptions!$F$121*N109</f>
        <v>1240170</v>
      </c>
      <c r="O116" s="58" t="n">
        <f aca="false">Project_Register!$AO$9+O107+Assumptions!$F$121*O109</f>
        <v>1265260</v>
      </c>
      <c r="P116" s="58" t="n">
        <f aca="false">Project_Register!$AO$9+P107+Assumptions!$F$121*P109</f>
        <v>1289700</v>
      </c>
      <c r="Q116" s="58" t="n">
        <f aca="false">Project_Register!$AO$9+Q107+Assumptions!$F$121*Q109</f>
        <v>1289700</v>
      </c>
      <c r="R116" s="58" t="n">
        <f aca="false">Project_Register!$AO$9+R107+Assumptions!$F$121*R109</f>
        <v>1289700</v>
      </c>
      <c r="S116" s="58" t="n">
        <f aca="false">Project_Register!$AO$9+S107+Assumptions!$F$121*S109</f>
        <v>1289700</v>
      </c>
      <c r="T116" s="58" t="n">
        <f aca="false">Project_Register!$AO$9+T107+Assumptions!$F$121*T109</f>
        <v>1289700</v>
      </c>
      <c r="U116" s="58" t="n">
        <f aca="false">Project_Register!$AO$9+U107+Assumptions!$F$121*U109</f>
        <v>1289700</v>
      </c>
      <c r="V116" s="58" t="n">
        <f aca="false">Project_Register!$AO$9+V107+Assumptions!$F$121*V109</f>
        <v>1289700</v>
      </c>
      <c r="W116" s="58" t="n">
        <f aca="false">Project_Register!$AO$9+W107+Assumptions!$F$121*W109</f>
        <v>1289700</v>
      </c>
      <c r="X116" s="58" t="n">
        <f aca="false">Project_Register!$AO$9+X107+Assumptions!$F$121*X109</f>
        <v>1289700</v>
      </c>
      <c r="Y116" s="58" t="n">
        <f aca="false">Project_Register!$AO$9+Y107+Assumptions!$F$121*Y109</f>
        <v>1289700</v>
      </c>
      <c r="Z116" s="58" t="n">
        <f aca="false">Project_Register!$AO$9+Z107+Assumptions!$F$121*Z109</f>
        <v>1289700</v>
      </c>
      <c r="AA116" s="58" t="n">
        <f aca="false">Project_Register!$AO$9+AA107+Assumptions!$F$121*AA109</f>
        <v>1289700</v>
      </c>
      <c r="AB116" s="58" t="n">
        <f aca="false">Project_Register!$AO$9+AB107+Assumptions!$F$121*AB109</f>
        <v>1289700</v>
      </c>
    </row>
    <row r="117" customFormat="false" ht="15" hidden="false" customHeight="false" outlineLevel="0" collapsed="false">
      <c r="A117" s="27" t="s">
        <v>751</v>
      </c>
      <c r="B117" s="56" t="s">
        <v>752</v>
      </c>
      <c r="C117" s="57" t="n">
        <f aca="false">P117</f>
        <v>1289700</v>
      </c>
      <c r="D117" s="57" t="n">
        <f aca="false">AB117</f>
        <v>1289700</v>
      </c>
      <c r="E117" s="58" t="n">
        <f aca="false">IF(E$5="A",Project_Register!$AE$9+Inputs_Actuals!E34,IF(Assumptions!E$96&gt;=Project_Register!$AM$9,E116,MIN(E116,MAX(Project_Register!$AE$9,0*E116))))</f>
        <v>0</v>
      </c>
      <c r="F117" s="58" t="n">
        <f aca="false">IF(F$5="A",E117+Inputs_Actuals!F34,IF(Assumptions!F$96&gt;=Project_Register!$AM$9,F116,MIN(F116,MAX(E117,E106*F116))))</f>
        <v>0</v>
      </c>
      <c r="G117" s="58" t="n">
        <f aca="false">IF(G$5="A",F117+Inputs_Actuals!G34,IF(Assumptions!G$96&gt;=Project_Register!$AM$9,G116,MIN(G116,MAX(F117,F106*G116))))</f>
        <v>0</v>
      </c>
      <c r="H117" s="58" t="n">
        <f aca="false">IF(H$5="A",G117+Inputs_Actuals!H34,IF(Assumptions!H$96&gt;=Project_Register!$AM$9,H116,MIN(H116,MAX(G117,G106*H116))))</f>
        <v>39835.47</v>
      </c>
      <c r="I117" s="58" t="n">
        <f aca="false">IF(I$5="A",H117+Inputs_Actuals!I34,IF(Assumptions!I$96&gt;=Project_Register!$AM$9,I116,MIN(I116,MAX(H117,H106*I116))))</f>
        <v>142861.95</v>
      </c>
      <c r="J117" s="58" t="n">
        <f aca="false">IF(J$5="A",I117+Inputs_Actuals!J34,IF(Assumptions!J$96&gt;=Project_Register!$AM$9,J116,MIN(J116,MAX(I117,I106*J116))))</f>
        <v>282365.71</v>
      </c>
      <c r="K117" s="58" t="n">
        <f aca="false">IF(K$5="A",J117+Inputs_Actuals!K34,IF(Assumptions!K$96&gt;=Project_Register!$AM$9,K116,MIN(K116,MAX(J117,J106*K116))))</f>
        <v>473411.35</v>
      </c>
      <c r="L117" s="58" t="n">
        <f aca="false">IF(L$5="A",K117+Inputs_Actuals!L34,IF(Assumptions!L$96&gt;=Project_Register!$AM$9,L116,MIN(L116,MAX(K117,K106*L116))))</f>
        <v>706610.81</v>
      </c>
      <c r="M117" s="58" t="n">
        <f aca="false">IF(M$5="A",L117+Inputs_Actuals!M34,IF(Assumptions!M$96&gt;=Project_Register!$AM$9,M116,MIN(M116,MAX(L117,L106*M116))))</f>
        <v>866908.613630252</v>
      </c>
      <c r="N117" s="58" t="n">
        <f aca="false">IF(N$5="A",M117+Inputs_Actuals!N34,IF(Assumptions!N$96&gt;=Project_Register!$AM$9,N116,MIN(N116,MAX(M117,M106*N116))))</f>
        <v>1067928.72393714</v>
      </c>
      <c r="O117" s="58" t="n">
        <f aca="false">IF(O$5="A",N117+Inputs_Actuals!O34,IF(Assumptions!O$96&gt;=Project_Register!$AM$9,O116,MIN(O116,MAX(N117,N106*O116))))</f>
        <v>1217508.39508519</v>
      </c>
      <c r="P117" s="58" t="n">
        <f aca="false">IF(P$5="A",O117+Inputs_Actuals!P34,IF(Assumptions!P$96&gt;=Project_Register!$AM$9,P116,MIN(P116,MAX(O117,O106*P116))))</f>
        <v>1289700</v>
      </c>
      <c r="Q117" s="58" t="n">
        <f aca="false">IF(Q$5="A",P117+Inputs_Actuals!Q34,IF(Assumptions!Q$96&gt;=Project_Register!$AM$9,Q116,MIN(Q116,MAX(P117,P106*Q116))))</f>
        <v>1289700</v>
      </c>
      <c r="R117" s="58" t="n">
        <f aca="false">IF(R$5="A",Q117+Inputs_Actuals!R34,IF(Assumptions!R$96&gt;=Project_Register!$AM$9,R116,MIN(R116,MAX(Q117,Q106*R116))))</f>
        <v>1289700</v>
      </c>
      <c r="S117" s="58" t="n">
        <f aca="false">IF(S$5="A",R117+Inputs_Actuals!S34,IF(Assumptions!S$96&gt;=Project_Register!$AM$9,S116,MIN(S116,MAX(R117,R106*S116))))</f>
        <v>1289700</v>
      </c>
      <c r="T117" s="58" t="n">
        <f aca="false">IF(T$5="A",S117+Inputs_Actuals!T34,IF(Assumptions!T$96&gt;=Project_Register!$AM$9,T116,MIN(T116,MAX(S117,S106*T116))))</f>
        <v>1289700</v>
      </c>
      <c r="U117" s="58" t="n">
        <f aca="false">IF(U$5="A",T117+Inputs_Actuals!U34,IF(Assumptions!U$96&gt;=Project_Register!$AM$9,U116,MIN(U116,MAX(T117,T106*U116))))</f>
        <v>1289700</v>
      </c>
      <c r="V117" s="58" t="n">
        <f aca="false">IF(V$5="A",U117+Inputs_Actuals!V34,IF(Assumptions!V$96&gt;=Project_Register!$AM$9,V116,MIN(V116,MAX(U117,U106*V116))))</f>
        <v>1289700</v>
      </c>
      <c r="W117" s="58" t="n">
        <f aca="false">IF(W$5="A",V117+Inputs_Actuals!W34,IF(Assumptions!W$96&gt;=Project_Register!$AM$9,W116,MIN(W116,MAX(V117,V106*W116))))</f>
        <v>1289700</v>
      </c>
      <c r="X117" s="58" t="n">
        <f aca="false">IF(X$5="A",W117+Inputs_Actuals!X34,IF(Assumptions!X$96&gt;=Project_Register!$AM$9,X116,MIN(X116,MAX(W117,W106*X116))))</f>
        <v>1289700</v>
      </c>
      <c r="Y117" s="58" t="n">
        <f aca="false">IF(Y$5="A",X117+Inputs_Actuals!Y34,IF(Assumptions!Y$96&gt;=Project_Register!$AM$9,Y116,MIN(Y116,MAX(X117,X106*Y116))))</f>
        <v>1289700</v>
      </c>
      <c r="Z117" s="58" t="n">
        <f aca="false">IF(Z$5="A",Y117+Inputs_Actuals!Z34,IF(Assumptions!Z$96&gt;=Project_Register!$AM$9,Z116,MIN(Z116,MAX(Y117,Y106*Z116))))</f>
        <v>1289700</v>
      </c>
      <c r="AA117" s="58" t="n">
        <f aca="false">IF(AA$5="A",Z117+Inputs_Actuals!AA34,IF(Assumptions!AA$96&gt;=Project_Register!$AM$9,AA116,MIN(AA116,MAX(Z117,Z106*AA116))))</f>
        <v>1289700</v>
      </c>
      <c r="AB117" s="58" t="n">
        <f aca="false">IF(AB$5="A",AA117+Inputs_Actuals!AB34,IF(Assumptions!AB$96&gt;=Project_Register!$AM$9,AB116,MIN(AB116,MAX(AA117,AA106*AB116))))</f>
        <v>1289700</v>
      </c>
    </row>
    <row r="118" customFormat="false" ht="15" hidden="false" customHeight="false" outlineLevel="0" collapsed="false">
      <c r="A118" s="27" t="s">
        <v>753</v>
      </c>
      <c r="B118" s="56"/>
      <c r="C118" s="57" t="n">
        <f aca="false">SUM(E118:P118)</f>
        <v>1289700</v>
      </c>
      <c r="D118" s="57" t="n">
        <f aca="false">SUM(Q118:AB118)</f>
        <v>0</v>
      </c>
      <c r="E118" s="58" t="n">
        <f aca="false">E117-Project_Register!$AE$9</f>
        <v>0</v>
      </c>
      <c r="F118" s="70" t="n">
        <f aca="false">F117-E117</f>
        <v>0</v>
      </c>
      <c r="G118" s="70" t="n">
        <f aca="false">G117-F117</f>
        <v>0</v>
      </c>
      <c r="H118" s="70" t="n">
        <f aca="false">H117-G117</f>
        <v>39835.47</v>
      </c>
      <c r="I118" s="70" t="n">
        <f aca="false">I117-H117</f>
        <v>103026.48</v>
      </c>
      <c r="J118" s="70" t="n">
        <f aca="false">J117-I117</f>
        <v>139503.76</v>
      </c>
      <c r="K118" s="70" t="n">
        <f aca="false">K117-J117</f>
        <v>191045.64</v>
      </c>
      <c r="L118" s="70" t="n">
        <f aca="false">L117-K117</f>
        <v>233199.46</v>
      </c>
      <c r="M118" s="70" t="n">
        <f aca="false">M117-L117</f>
        <v>160297.803630252</v>
      </c>
      <c r="N118" s="70" t="n">
        <f aca="false">N117-M117</f>
        <v>201020.110306885</v>
      </c>
      <c r="O118" s="70" t="n">
        <f aca="false">O117-N117</f>
        <v>149579.671148052</v>
      </c>
      <c r="P118" s="70" t="n">
        <f aca="false">P117-O117</f>
        <v>72191.60491481</v>
      </c>
      <c r="Q118" s="70" t="n">
        <f aca="false">Q117-P117</f>
        <v>0</v>
      </c>
      <c r="R118" s="70" t="n">
        <f aca="false">R117-Q117</f>
        <v>0</v>
      </c>
      <c r="S118" s="70" t="n">
        <f aca="false">S117-R117</f>
        <v>0</v>
      </c>
      <c r="T118" s="70" t="n">
        <f aca="false">T117-S117</f>
        <v>0</v>
      </c>
      <c r="U118" s="70" t="n">
        <f aca="false">U117-T117</f>
        <v>0</v>
      </c>
      <c r="V118" s="70" t="n">
        <f aca="false">V117-U117</f>
        <v>0</v>
      </c>
      <c r="W118" s="70" t="n">
        <f aca="false">W117-V117</f>
        <v>0</v>
      </c>
      <c r="X118" s="70" t="n">
        <f aca="false">X117-W117</f>
        <v>0</v>
      </c>
      <c r="Y118" s="70" t="n">
        <f aca="false">Y117-X117</f>
        <v>0</v>
      </c>
      <c r="Z118" s="70" t="n">
        <f aca="false">Z117-Y117</f>
        <v>0</v>
      </c>
      <c r="AA118" s="70" t="n">
        <f aca="false">AA117-Z117</f>
        <v>0</v>
      </c>
      <c r="AB118" s="70" t="n">
        <f aca="false">AB117-AA117</f>
        <v>0</v>
      </c>
    </row>
    <row r="119" customFormat="false" ht="15" hidden="false" customHeight="false" outlineLevel="0" collapsed="false">
      <c r="A119" s="27" t="s">
        <v>754</v>
      </c>
      <c r="B119" s="56" t="s">
        <v>755</v>
      </c>
      <c r="C119" s="57" t="n">
        <f aca="false">P119</f>
        <v>32242.5</v>
      </c>
      <c r="D119" s="57" t="n">
        <f aca="false">AB119</f>
        <v>0</v>
      </c>
      <c r="E119" s="58" t="n">
        <f aca="false">Project_Register!$Q$9*E117*(1-Project_Register!$R$9*(Assumptions!E$96&gt;=Project_Register!$AK$9+1)-(1-Project_Register!$R$9)*(Assumptions!E$96&gt;=Project_Register!$AN$9))</f>
        <v>0</v>
      </c>
      <c r="F119" s="58" t="n">
        <f aca="false">Project_Register!$Q$9*F117*(1-Project_Register!$R$9*(Assumptions!F$96&gt;=Project_Register!$AK$9+1)-(1-Project_Register!$R$9)*(Assumptions!F$96&gt;=Project_Register!$AN$9))</f>
        <v>0</v>
      </c>
      <c r="G119" s="58" t="n">
        <f aca="false">Project_Register!$Q$9*G117*(1-Project_Register!$R$9*(Assumptions!G$96&gt;=Project_Register!$AK$9+1)-(1-Project_Register!$R$9)*(Assumptions!G$96&gt;=Project_Register!$AN$9))</f>
        <v>0</v>
      </c>
      <c r="H119" s="58" t="n">
        <f aca="false">Project_Register!$Q$9*H117*(1-Project_Register!$R$9*(Assumptions!H$96&gt;=Project_Register!$AK$9+1)-(1-Project_Register!$R$9)*(Assumptions!H$96&gt;=Project_Register!$AN$9))</f>
        <v>1991.7735</v>
      </c>
      <c r="I119" s="58" t="n">
        <f aca="false">Project_Register!$Q$9*I117*(1-Project_Register!$R$9*(Assumptions!I$96&gt;=Project_Register!$AK$9+1)-(1-Project_Register!$R$9)*(Assumptions!I$96&gt;=Project_Register!$AN$9))</f>
        <v>7143.0975</v>
      </c>
      <c r="J119" s="58" t="n">
        <f aca="false">Project_Register!$Q$9*J117*(1-Project_Register!$R$9*(Assumptions!J$96&gt;=Project_Register!$AK$9+1)-(1-Project_Register!$R$9)*(Assumptions!J$96&gt;=Project_Register!$AN$9))</f>
        <v>14118.2855</v>
      </c>
      <c r="K119" s="58" t="n">
        <f aca="false">Project_Register!$Q$9*K117*(1-Project_Register!$R$9*(Assumptions!K$96&gt;=Project_Register!$AK$9+1)-(1-Project_Register!$R$9)*(Assumptions!K$96&gt;=Project_Register!$AN$9))</f>
        <v>23670.5675</v>
      </c>
      <c r="L119" s="58" t="n">
        <f aca="false">Project_Register!$Q$9*L117*(1-Project_Register!$R$9*(Assumptions!L$96&gt;=Project_Register!$AK$9+1)-(1-Project_Register!$R$9)*(Assumptions!L$96&gt;=Project_Register!$AN$9))</f>
        <v>35330.5405</v>
      </c>
      <c r="M119" s="58" t="n">
        <f aca="false">Project_Register!$Q$9*M117*(1-Project_Register!$R$9*(Assumptions!M$96&gt;=Project_Register!$AK$9+1)-(1-Project_Register!$R$9)*(Assumptions!M$96&gt;=Project_Register!$AN$9))</f>
        <v>43345.4306815126</v>
      </c>
      <c r="N119" s="58" t="n">
        <f aca="false">Project_Register!$Q$9*N117*(1-Project_Register!$R$9*(Assumptions!N$96&gt;=Project_Register!$AK$9+1)-(1-Project_Register!$R$9)*(Assumptions!N$96&gt;=Project_Register!$AN$9))</f>
        <v>53396.4361968569</v>
      </c>
      <c r="O119" s="58" t="n">
        <f aca="false">Project_Register!$Q$9*O117*(1-Project_Register!$R$9*(Assumptions!O$96&gt;=Project_Register!$AK$9+1)-(1-Project_Register!$R$9)*(Assumptions!O$96&gt;=Project_Register!$AN$9))</f>
        <v>60875.4197542595</v>
      </c>
      <c r="P119" s="58" t="n">
        <f aca="false">Project_Register!$Q$9*P117*(1-Project_Register!$R$9*(Assumptions!P$96&gt;=Project_Register!$AK$9+1)-(1-Project_Register!$R$9)*(Assumptions!P$96&gt;=Project_Register!$AN$9))</f>
        <v>32242.5</v>
      </c>
      <c r="Q119" s="58" t="n">
        <f aca="false">Project_Register!$Q$9*Q117*(1-Project_Register!$R$9*(Assumptions!Q$96&gt;=Project_Register!$AK$9+1)-(1-Project_Register!$R$9)*(Assumptions!Q$96&gt;=Project_Register!$AN$9))</f>
        <v>32242.5</v>
      </c>
      <c r="R119" s="58" t="n">
        <f aca="false">Project_Register!$Q$9*R117*(1-Project_Register!$R$9*(Assumptions!R$96&gt;=Project_Register!$AK$9+1)-(1-Project_Register!$R$9)*(Assumptions!R$96&gt;=Project_Register!$AN$9))</f>
        <v>32242.5</v>
      </c>
      <c r="S119" s="58" t="n">
        <f aca="false">Project_Register!$Q$9*S117*(1-Project_Register!$R$9*(Assumptions!S$96&gt;=Project_Register!$AK$9+1)-(1-Project_Register!$R$9)*(Assumptions!S$96&gt;=Project_Register!$AN$9))</f>
        <v>32242.5</v>
      </c>
      <c r="T119" s="58" t="n">
        <f aca="false">Project_Register!$Q$9*T117*(1-Project_Register!$R$9*(Assumptions!T$96&gt;=Project_Register!$AK$9+1)-(1-Project_Register!$R$9)*(Assumptions!T$96&gt;=Project_Register!$AN$9))</f>
        <v>32242.5</v>
      </c>
      <c r="U119" s="58" t="n">
        <f aca="false">Project_Register!$Q$9*U117*(1-Project_Register!$R$9*(Assumptions!U$96&gt;=Project_Register!$AK$9+1)-(1-Project_Register!$R$9)*(Assumptions!U$96&gt;=Project_Register!$AN$9))</f>
        <v>32242.5</v>
      </c>
      <c r="V119" s="58" t="n">
        <f aca="false">Project_Register!$Q$9*V117*(1-Project_Register!$R$9*(Assumptions!V$96&gt;=Project_Register!$AK$9+1)-(1-Project_Register!$R$9)*(Assumptions!V$96&gt;=Project_Register!$AN$9))</f>
        <v>32242.5</v>
      </c>
      <c r="W119" s="58" t="n">
        <f aca="false">Project_Register!$Q$9*W117*(1-Project_Register!$R$9*(Assumptions!W$96&gt;=Project_Register!$AK$9+1)-(1-Project_Register!$R$9)*(Assumptions!W$96&gt;=Project_Register!$AN$9))</f>
        <v>32242.5</v>
      </c>
      <c r="X119" s="58" t="n">
        <f aca="false">Project_Register!$Q$9*X117*(1-Project_Register!$R$9*(Assumptions!X$96&gt;=Project_Register!$AK$9+1)-(1-Project_Register!$R$9)*(Assumptions!X$96&gt;=Project_Register!$AN$9))</f>
        <v>32242.5</v>
      </c>
      <c r="Y119" s="58" t="n">
        <f aca="false">Project_Register!$Q$9*Y117*(1-Project_Register!$R$9*(Assumptions!Y$96&gt;=Project_Register!$AK$9+1)-(1-Project_Register!$R$9)*(Assumptions!Y$96&gt;=Project_Register!$AN$9))</f>
        <v>32242.5</v>
      </c>
      <c r="Z119" s="58" t="n">
        <f aca="false">Project_Register!$Q$9*Z117*(1-Project_Register!$R$9*(Assumptions!Z$96&gt;=Project_Register!$AK$9+1)-(1-Project_Register!$R$9)*(Assumptions!Z$96&gt;=Project_Register!$AN$9))</f>
        <v>32242.5</v>
      </c>
      <c r="AA119" s="58" t="n">
        <f aca="false">Project_Register!$Q$9*AA117*(1-Project_Register!$R$9*(Assumptions!AA$96&gt;=Project_Register!$AK$9+1)-(1-Project_Register!$R$9)*(Assumptions!AA$96&gt;=Project_Register!$AN$9))</f>
        <v>32242.5</v>
      </c>
      <c r="AB119" s="58" t="n">
        <f aca="false">Project_Register!$Q$9*AB117*(1-Project_Register!$R$9*(Assumptions!AB$96&gt;=Project_Register!$AK$9+1)-(1-Project_Register!$R$9)*(Assumptions!AB$96&gt;=Project_Register!$AN$9))</f>
        <v>0</v>
      </c>
    </row>
    <row r="120" customFormat="false" ht="15" hidden="false" customHeight="false" outlineLevel="0" collapsed="false">
      <c r="A120" s="27" t="s">
        <v>756</v>
      </c>
      <c r="B120" s="56"/>
      <c r="C120" s="57" t="n">
        <f aca="false">SUM(E120:P120)</f>
        <v>32242.5</v>
      </c>
      <c r="D120" s="57" t="n">
        <f aca="false">SUM(Q120:AB120)</f>
        <v>-32242.5</v>
      </c>
      <c r="E120" s="58" t="n">
        <f aca="false">E119-Project_Register!$AW$9</f>
        <v>0</v>
      </c>
      <c r="F120" s="70" t="n">
        <f aca="false">F119-E119</f>
        <v>0</v>
      </c>
      <c r="G120" s="70" t="n">
        <f aca="false">G119-F119</f>
        <v>0</v>
      </c>
      <c r="H120" s="70" t="n">
        <f aca="false">H119-G119</f>
        <v>1991.7735</v>
      </c>
      <c r="I120" s="70" t="n">
        <f aca="false">I119-H119</f>
        <v>5151.324</v>
      </c>
      <c r="J120" s="70" t="n">
        <f aca="false">J119-I119</f>
        <v>6975.188</v>
      </c>
      <c r="K120" s="70" t="n">
        <f aca="false">K119-J119</f>
        <v>9552.282</v>
      </c>
      <c r="L120" s="70" t="n">
        <f aca="false">L119-K119</f>
        <v>11659.973</v>
      </c>
      <c r="M120" s="70" t="n">
        <f aca="false">M119-L119</f>
        <v>8014.89018151261</v>
      </c>
      <c r="N120" s="70" t="n">
        <f aca="false">N119-M119</f>
        <v>10051.0055153443</v>
      </c>
      <c r="O120" s="70" t="n">
        <f aca="false">O119-N119</f>
        <v>7478.98355740262</v>
      </c>
      <c r="P120" s="70" t="n">
        <f aca="false">P119-O119</f>
        <v>-28632.9197542595</v>
      </c>
      <c r="Q120" s="70" t="n">
        <f aca="false">Q119-P119</f>
        <v>0</v>
      </c>
      <c r="R120" s="70" t="n">
        <f aca="false">R119-Q119</f>
        <v>0</v>
      </c>
      <c r="S120" s="70" t="n">
        <f aca="false">S119-R119</f>
        <v>0</v>
      </c>
      <c r="T120" s="70" t="n">
        <f aca="false">T119-S119</f>
        <v>0</v>
      </c>
      <c r="U120" s="70" t="n">
        <f aca="false">U119-T119</f>
        <v>0</v>
      </c>
      <c r="V120" s="70" t="n">
        <f aca="false">V119-U119</f>
        <v>0</v>
      </c>
      <c r="W120" s="70" t="n">
        <f aca="false">W119-V119</f>
        <v>0</v>
      </c>
      <c r="X120" s="70" t="n">
        <f aca="false">X119-W119</f>
        <v>0</v>
      </c>
      <c r="Y120" s="70" t="n">
        <f aca="false">Y119-X119</f>
        <v>0</v>
      </c>
      <c r="Z120" s="70" t="n">
        <f aca="false">Z119-Y119</f>
        <v>0</v>
      </c>
      <c r="AA120" s="70" t="n">
        <f aca="false">AA119-Z119</f>
        <v>0</v>
      </c>
      <c r="AB120" s="70" t="n">
        <f aca="false">AB119-AA119</f>
        <v>-32242.5</v>
      </c>
    </row>
    <row r="121" customFormat="false" ht="15" hidden="false" customHeight="false" outlineLevel="0" collapsed="false">
      <c r="A121" s="27" t="s">
        <v>757</v>
      </c>
      <c r="B121" s="56"/>
      <c r="C121" s="57" t="n">
        <f aca="false">SUM(E121:P121)</f>
        <v>1257457.5</v>
      </c>
      <c r="D121" s="57" t="n">
        <f aca="false">SUM(Q121:AB121)</f>
        <v>32242.5</v>
      </c>
      <c r="E121" s="70" t="n">
        <f aca="false">E118-E120</f>
        <v>0</v>
      </c>
      <c r="F121" s="70" t="n">
        <f aca="false">F118-F120</f>
        <v>0</v>
      </c>
      <c r="G121" s="70" t="n">
        <f aca="false">G118-G120</f>
        <v>0</v>
      </c>
      <c r="H121" s="70" t="n">
        <f aca="false">H118-H120</f>
        <v>37843.6965</v>
      </c>
      <c r="I121" s="70" t="n">
        <f aca="false">I118-I120</f>
        <v>97875.156</v>
      </c>
      <c r="J121" s="70" t="n">
        <f aca="false">J118-J120</f>
        <v>132528.572</v>
      </c>
      <c r="K121" s="70" t="n">
        <f aca="false">K118-K120</f>
        <v>181493.358</v>
      </c>
      <c r="L121" s="70" t="n">
        <f aca="false">L118-L120</f>
        <v>221539.487</v>
      </c>
      <c r="M121" s="70" t="n">
        <f aca="false">M118-M120</f>
        <v>152282.91344874</v>
      </c>
      <c r="N121" s="70" t="n">
        <f aca="false">N118-N120</f>
        <v>190969.104791541</v>
      </c>
      <c r="O121" s="70" t="n">
        <f aca="false">O118-O120</f>
        <v>142100.68759065</v>
      </c>
      <c r="P121" s="70" t="n">
        <f aca="false">P118-P120</f>
        <v>100824.52466907</v>
      </c>
      <c r="Q121" s="70" t="n">
        <f aca="false">Q118-Q120</f>
        <v>0</v>
      </c>
      <c r="R121" s="70" t="n">
        <f aca="false">R118-R120</f>
        <v>0</v>
      </c>
      <c r="S121" s="70" t="n">
        <f aca="false">S118-S120</f>
        <v>0</v>
      </c>
      <c r="T121" s="70" t="n">
        <f aca="false">T118-T120</f>
        <v>0</v>
      </c>
      <c r="U121" s="70" t="n">
        <f aca="false">U118-U120</f>
        <v>0</v>
      </c>
      <c r="V121" s="70" t="n">
        <f aca="false">V118-V120</f>
        <v>0</v>
      </c>
      <c r="W121" s="70" t="n">
        <f aca="false">W118-W120</f>
        <v>0</v>
      </c>
      <c r="X121" s="70" t="n">
        <f aca="false">X118-X120</f>
        <v>0</v>
      </c>
      <c r="Y121" s="70" t="n">
        <f aca="false">Y118-Y120</f>
        <v>0</v>
      </c>
      <c r="Z121" s="70" t="n">
        <f aca="false">Z118-Z120</f>
        <v>0</v>
      </c>
      <c r="AA121" s="70" t="n">
        <f aca="false">AA118-AA120</f>
        <v>0</v>
      </c>
      <c r="AB121" s="70" t="n">
        <f aca="false">AB118-AB120</f>
        <v>32242.5</v>
      </c>
    </row>
    <row r="122" customFormat="false" ht="15" hidden="false" customHeight="false" outlineLevel="0" collapsed="false">
      <c r="A122" s="27" t="s">
        <v>758</v>
      </c>
      <c r="B122" s="56" t="s">
        <v>759</v>
      </c>
      <c r="C122" s="57" t="n">
        <f aca="false">SUM(E122:P122)</f>
        <v>169756.7625</v>
      </c>
      <c r="D122" s="57" t="n">
        <f aca="false">SUM(Q122:AB122)</f>
        <v>4352.7375</v>
      </c>
      <c r="E122" s="58" t="n">
        <f aca="false">E121*Project_Register!$W$9</f>
        <v>0</v>
      </c>
      <c r="F122" s="58" t="n">
        <f aca="false">F121*Project_Register!$W$9</f>
        <v>0</v>
      </c>
      <c r="G122" s="58" t="n">
        <f aca="false">G121*Project_Register!$W$9</f>
        <v>0</v>
      </c>
      <c r="H122" s="58" t="n">
        <f aca="false">H121*Project_Register!$W$9</f>
        <v>5108.8990275</v>
      </c>
      <c r="I122" s="58" t="n">
        <f aca="false">I121*Project_Register!$W$9</f>
        <v>13213.14606</v>
      </c>
      <c r="J122" s="58" t="n">
        <f aca="false">J121*Project_Register!$W$9</f>
        <v>17891.35722</v>
      </c>
      <c r="K122" s="58" t="n">
        <f aca="false">K121*Project_Register!$W$9</f>
        <v>24501.60333</v>
      </c>
      <c r="L122" s="58" t="n">
        <f aca="false">L121*Project_Register!$W$9</f>
        <v>29907.830745</v>
      </c>
      <c r="M122" s="58" t="n">
        <f aca="false">M121*Project_Register!$W$9</f>
        <v>20558.1933155798</v>
      </c>
      <c r="N122" s="58" t="n">
        <f aca="false">N121*Project_Register!$W$9</f>
        <v>25780.829146858</v>
      </c>
      <c r="O122" s="58" t="n">
        <f aca="false">O121*Project_Register!$W$9</f>
        <v>19183.5928247377</v>
      </c>
      <c r="P122" s="58" t="n">
        <f aca="false">P121*Project_Register!$W$9</f>
        <v>13611.3108303244</v>
      </c>
      <c r="Q122" s="58" t="n">
        <f aca="false">Q121*Project_Register!$W$9</f>
        <v>0</v>
      </c>
      <c r="R122" s="58" t="n">
        <f aca="false">R121*Project_Register!$W$9</f>
        <v>0</v>
      </c>
      <c r="S122" s="58" t="n">
        <f aca="false">S121*Project_Register!$W$9</f>
        <v>0</v>
      </c>
      <c r="T122" s="58" t="n">
        <f aca="false">T121*Project_Register!$W$9</f>
        <v>0</v>
      </c>
      <c r="U122" s="58" t="n">
        <f aca="false">U121*Project_Register!$W$9</f>
        <v>0</v>
      </c>
      <c r="V122" s="58" t="n">
        <f aca="false">V121*Project_Register!$W$9</f>
        <v>0</v>
      </c>
      <c r="W122" s="58" t="n">
        <f aca="false">W121*Project_Register!$W$9</f>
        <v>0</v>
      </c>
      <c r="X122" s="58" t="n">
        <f aca="false">X121*Project_Register!$W$9</f>
        <v>0</v>
      </c>
      <c r="Y122" s="58" t="n">
        <f aca="false">Y121*Project_Register!$W$9</f>
        <v>0</v>
      </c>
      <c r="Z122" s="58" t="n">
        <f aca="false">Z121*Project_Register!$W$9</f>
        <v>0</v>
      </c>
      <c r="AA122" s="58" t="n">
        <f aca="false">AA121*Project_Register!$W$9</f>
        <v>0</v>
      </c>
      <c r="AB122" s="58" t="n">
        <f aca="false">AB121*Project_Register!$W$9</f>
        <v>4352.7375</v>
      </c>
    </row>
    <row r="123" customFormat="false" ht="15" hidden="false" customHeight="false" outlineLevel="0" collapsed="false">
      <c r="A123" s="27" t="s">
        <v>760</v>
      </c>
      <c r="B123" s="56"/>
      <c r="C123" s="57" t="n">
        <f aca="false">SUM(E123:P123)</f>
        <v>1427214.2625</v>
      </c>
      <c r="D123" s="57" t="n">
        <f aca="false">SUM(Q123:AB123)</f>
        <v>36595.2375</v>
      </c>
      <c r="E123" s="70" t="n">
        <f aca="false">E121+E122</f>
        <v>0</v>
      </c>
      <c r="F123" s="70" t="n">
        <f aca="false">F121+F122</f>
        <v>0</v>
      </c>
      <c r="G123" s="70" t="n">
        <f aca="false">G121+G122</f>
        <v>0</v>
      </c>
      <c r="H123" s="70" t="n">
        <f aca="false">H121+H122</f>
        <v>42952.5955275</v>
      </c>
      <c r="I123" s="70" t="n">
        <f aca="false">I121+I122</f>
        <v>111088.30206</v>
      </c>
      <c r="J123" s="70" t="n">
        <f aca="false">J121+J122</f>
        <v>150419.92922</v>
      </c>
      <c r="K123" s="70" t="n">
        <f aca="false">K121+K122</f>
        <v>205994.96133</v>
      </c>
      <c r="L123" s="70" t="n">
        <f aca="false">L121+L122</f>
        <v>251447.317745</v>
      </c>
      <c r="M123" s="70" t="n">
        <f aca="false">M121+M122</f>
        <v>172841.106764319</v>
      </c>
      <c r="N123" s="70" t="n">
        <f aca="false">N121+N122</f>
        <v>216749.933938399</v>
      </c>
      <c r="O123" s="70" t="n">
        <f aca="false">O121+O122</f>
        <v>161284.280415388</v>
      </c>
      <c r="P123" s="70" t="n">
        <f aca="false">P121+P122</f>
        <v>114435.835499394</v>
      </c>
      <c r="Q123" s="70" t="n">
        <f aca="false">Q121+Q122</f>
        <v>0</v>
      </c>
      <c r="R123" s="70" t="n">
        <f aca="false">R121+R122</f>
        <v>0</v>
      </c>
      <c r="S123" s="70" t="n">
        <f aca="false">S121+S122</f>
        <v>0</v>
      </c>
      <c r="T123" s="70" t="n">
        <f aca="false">T121+T122</f>
        <v>0</v>
      </c>
      <c r="U123" s="70" t="n">
        <f aca="false">U121+U122</f>
        <v>0</v>
      </c>
      <c r="V123" s="70" t="n">
        <f aca="false">V121+V122</f>
        <v>0</v>
      </c>
      <c r="W123" s="70" t="n">
        <f aca="false">W121+W122</f>
        <v>0</v>
      </c>
      <c r="X123" s="70" t="n">
        <f aca="false">X121+X122</f>
        <v>0</v>
      </c>
      <c r="Y123" s="70" t="n">
        <f aca="false">Y121+Y122</f>
        <v>0</v>
      </c>
      <c r="Z123" s="70" t="n">
        <f aca="false">Z121+Z122</f>
        <v>0</v>
      </c>
      <c r="AA123" s="70" t="n">
        <f aca="false">AA121+AA122</f>
        <v>0</v>
      </c>
      <c r="AB123" s="70" t="n">
        <f aca="false">AB121+AB122</f>
        <v>36595.2375</v>
      </c>
    </row>
    <row r="124" customFormat="false" ht="15" hidden="false" customHeight="false" outlineLevel="0" collapsed="false">
      <c r="A124" s="27" t="s">
        <v>761</v>
      </c>
      <c r="B124" s="56" t="s">
        <v>762</v>
      </c>
      <c r="C124" s="57" t="n">
        <f aca="false">SUM(E124:P124)</f>
        <v>1312778.42700061</v>
      </c>
      <c r="D124" s="57" t="n">
        <f aca="false">SUM(Q124:AB124)</f>
        <v>114435.835499394</v>
      </c>
      <c r="E124" s="58" t="n">
        <f aca="false">IF(E$5="A",Inputs_Actuals!E35,Project_Register!$AF$9+E123-(E123*MIN(1,Project_Register!$AY$9/30)+0*MIN(1,MAX(0,(Project_Register!$AY$9-30)/30))))</f>
        <v>0</v>
      </c>
      <c r="F124" s="58" t="n">
        <f aca="false">IF(F$5="A",Inputs_Actuals!F35,E125+F123-(F123*MIN(1,Project_Register!$AY$9/30)+E123*MIN(1,MAX(0,(Project_Register!$AY$9-30)/30))))</f>
        <v>0</v>
      </c>
      <c r="G124" s="58" t="n">
        <f aca="false">IF(G$5="A",Inputs_Actuals!G35,F125+G123-(G123*MIN(1,Project_Register!$AY$9/30)+F123*MIN(1,MAX(0,(Project_Register!$AY$9-30)/30))))</f>
        <v>0</v>
      </c>
      <c r="H124" s="58" t="n">
        <f aca="false">IF(H$5="A",Inputs_Actuals!H35,G125+H123-(H123*MIN(1,Project_Register!$AY$9/30)+G123*MIN(1,MAX(0,(Project_Register!$AY$9-30)/30))))</f>
        <v>4497.27</v>
      </c>
      <c r="I124" s="58" t="n">
        <f aca="false">IF(I$5="A",Inputs_Actuals!I35,H125+I123-(I123*MIN(1,Project_Register!$AY$9/30)+H123*MIN(1,MAX(0,(Project_Register!$AY$9-30)/30))))</f>
        <v>40564.92</v>
      </c>
      <c r="J124" s="58" t="n">
        <f aca="false">IF(J$5="A",Inputs_Actuals!J35,I125+J123-(J123*MIN(1,Project_Register!$AY$9/30)+I123*MIN(1,MAX(0,(Project_Register!$AY$9-30)/30))))</f>
        <v>122518.96</v>
      </c>
      <c r="K124" s="58" t="n">
        <f aca="false">IF(K$5="A",Inputs_Actuals!K35,J125+K123-(K123*MIN(1,Project_Register!$AY$9/30)+J123*MIN(1,MAX(0,(Project_Register!$AY$9-30)/30))))</f>
        <v>136091.39</v>
      </c>
      <c r="L124" s="58" t="n">
        <f aca="false">IF(L$5="A",Inputs_Actuals!L35,K125+L123-(L123*MIN(1,Project_Register!$AY$9/30)+K123*MIN(1,MAX(0,(Project_Register!$AY$9-30)/30))))</f>
        <v>224074.46</v>
      </c>
      <c r="M124" s="58" t="n">
        <f aca="false">IF(M$5="A",Inputs_Actuals!M35,L125+M123-(M123*MIN(1,Project_Register!$AY$9/30)+L123*MIN(1,MAX(0,(Project_Register!$AY$9-30)/30))))</f>
        <v>234156.1058825</v>
      </c>
      <c r="N124" s="58" t="n">
        <f aca="false">IF(N$5="A",Inputs_Actuals!N35,M125+N123-(N123*MIN(1,Project_Register!$AY$9/30)+M123*MIN(1,MAX(0,(Project_Register!$AY$9-30)/30))))</f>
        <v>172841.106764319</v>
      </c>
      <c r="O124" s="58" t="n">
        <f aca="false">IF(O$5="A",Inputs_Actuals!O35,N125+O123-(O123*MIN(1,Project_Register!$AY$9/30)+N123*MIN(1,MAX(0,(Project_Register!$AY$9-30)/30))))</f>
        <v>216749.933938399</v>
      </c>
      <c r="P124" s="58" t="n">
        <f aca="false">IF(P$5="A",Inputs_Actuals!P35,O125+P123-(P123*MIN(1,Project_Register!$AY$9/30)+O123*MIN(1,MAX(0,(Project_Register!$AY$9-30)/30))))</f>
        <v>161284.280415388</v>
      </c>
      <c r="Q124" s="58" t="n">
        <f aca="false">IF(Q$5="A",Inputs_Actuals!Q35,P125+Q123-(Q123*MIN(1,Project_Register!$AY$9/30)+P123*MIN(1,MAX(0,(Project_Register!$AY$9-30)/30))))</f>
        <v>114435.835499394</v>
      </c>
      <c r="R124" s="58" t="n">
        <f aca="false">IF(R$5="A",Inputs_Actuals!R35,Q125+R123-(R123*MIN(1,Project_Register!$AY$9/30)+Q123*MIN(1,MAX(0,(Project_Register!$AY$9-30)/30))))</f>
        <v>0</v>
      </c>
      <c r="S124" s="58" t="n">
        <f aca="false">IF(S$5="A",Inputs_Actuals!S35,R125+S123-(S123*MIN(1,Project_Register!$AY$9/30)+R123*MIN(1,MAX(0,(Project_Register!$AY$9-30)/30))))</f>
        <v>0</v>
      </c>
      <c r="T124" s="58" t="n">
        <f aca="false">IF(T$5="A",Inputs_Actuals!T35,S125+T123-(T123*MIN(1,Project_Register!$AY$9/30)+S123*MIN(1,MAX(0,(Project_Register!$AY$9-30)/30))))</f>
        <v>0</v>
      </c>
      <c r="U124" s="58" t="n">
        <f aca="false">IF(U$5="A",Inputs_Actuals!U35,T125+U123-(U123*MIN(1,Project_Register!$AY$9/30)+T123*MIN(1,MAX(0,(Project_Register!$AY$9-30)/30))))</f>
        <v>0</v>
      </c>
      <c r="V124" s="58" t="n">
        <f aca="false">IF(V$5="A",Inputs_Actuals!V35,U125+V123-(V123*MIN(1,Project_Register!$AY$9/30)+U123*MIN(1,MAX(0,(Project_Register!$AY$9-30)/30))))</f>
        <v>0</v>
      </c>
      <c r="W124" s="58" t="n">
        <f aca="false">IF(W$5="A",Inputs_Actuals!W35,V125+W123-(W123*MIN(1,Project_Register!$AY$9/30)+V123*MIN(1,MAX(0,(Project_Register!$AY$9-30)/30))))</f>
        <v>0</v>
      </c>
      <c r="X124" s="58" t="n">
        <f aca="false">IF(X$5="A",Inputs_Actuals!X35,W125+X123-(X123*MIN(1,Project_Register!$AY$9/30)+W123*MIN(1,MAX(0,(Project_Register!$AY$9-30)/30))))</f>
        <v>0</v>
      </c>
      <c r="Y124" s="58" t="n">
        <f aca="false">IF(Y$5="A",Inputs_Actuals!Y35,X125+Y123-(Y123*MIN(1,Project_Register!$AY$9/30)+X123*MIN(1,MAX(0,(Project_Register!$AY$9-30)/30))))</f>
        <v>0</v>
      </c>
      <c r="Z124" s="58" t="n">
        <f aca="false">IF(Z$5="A",Inputs_Actuals!Z35,Y125+Z123-(Z123*MIN(1,Project_Register!$AY$9/30)+Y123*MIN(1,MAX(0,(Project_Register!$AY$9-30)/30))))</f>
        <v>0</v>
      </c>
      <c r="AA124" s="58" t="n">
        <f aca="false">IF(AA$5="A",Inputs_Actuals!AA35,Z125+AA123-(AA123*MIN(1,Project_Register!$AY$9/30)+Z123*MIN(1,MAX(0,(Project_Register!$AY$9-30)/30))))</f>
        <v>0</v>
      </c>
      <c r="AB124" s="58" t="n">
        <f aca="false">IF(AB$5="A",Inputs_Actuals!AB35,AA125+AB123-(AB123*MIN(1,Project_Register!$AY$9/30)+AA123*MIN(1,MAX(0,(Project_Register!$AY$9-30)/30))))</f>
        <v>0</v>
      </c>
    </row>
    <row r="125" customFormat="false" ht="15" hidden="false" customHeight="false" outlineLevel="0" collapsed="false">
      <c r="A125" s="27" t="s">
        <v>763</v>
      </c>
      <c r="B125" s="56" t="s">
        <v>764</v>
      </c>
      <c r="C125" s="57" t="n">
        <f aca="false">P125</f>
        <v>114435.835499394</v>
      </c>
      <c r="D125" s="57" t="n">
        <f aca="false">AB125</f>
        <v>36595.2375</v>
      </c>
      <c r="E125" s="58" t="n">
        <f aca="false">Project_Register!$AF$9+E123-E124</f>
        <v>0</v>
      </c>
      <c r="F125" s="70" t="n">
        <f aca="false">E125+F123-F124</f>
        <v>0</v>
      </c>
      <c r="G125" s="70" t="n">
        <f aca="false">F125+G123-G124</f>
        <v>0</v>
      </c>
      <c r="H125" s="70" t="n">
        <f aca="false">G125+H123-H124</f>
        <v>38455.3255275</v>
      </c>
      <c r="I125" s="70" t="n">
        <f aca="false">H125+I123-I124</f>
        <v>108978.7075875</v>
      </c>
      <c r="J125" s="70" t="n">
        <f aca="false">I125+J123-J124</f>
        <v>136879.6768075</v>
      </c>
      <c r="K125" s="70" t="n">
        <f aca="false">J125+K123-K124</f>
        <v>206783.2481375</v>
      </c>
      <c r="L125" s="70" t="n">
        <f aca="false">K125+L123-L124</f>
        <v>234156.1058825</v>
      </c>
      <c r="M125" s="70" t="n">
        <f aca="false">L125+M123-M124</f>
        <v>172841.106764319</v>
      </c>
      <c r="N125" s="70" t="n">
        <f aca="false">M125+N123-N124</f>
        <v>216749.933938399</v>
      </c>
      <c r="O125" s="70" t="n">
        <f aca="false">N125+O123-O124</f>
        <v>161284.280415388</v>
      </c>
      <c r="P125" s="70" t="n">
        <f aca="false">O125+P123-P124</f>
        <v>114435.835499394</v>
      </c>
      <c r="Q125" s="70" t="n">
        <f aca="false">P125+Q123-Q124</f>
        <v>0</v>
      </c>
      <c r="R125" s="70" t="n">
        <f aca="false">Q125+R123-R124</f>
        <v>0</v>
      </c>
      <c r="S125" s="70" t="n">
        <f aca="false">R125+S123-S124</f>
        <v>0</v>
      </c>
      <c r="T125" s="70" t="n">
        <f aca="false">S125+T123-T124</f>
        <v>0</v>
      </c>
      <c r="U125" s="70" t="n">
        <f aca="false">T125+U123-U124</f>
        <v>0</v>
      </c>
      <c r="V125" s="70" t="n">
        <f aca="false">U125+V123-V124</f>
        <v>0</v>
      </c>
      <c r="W125" s="70" t="n">
        <f aca="false">V125+W123-W124</f>
        <v>0</v>
      </c>
      <c r="X125" s="70" t="n">
        <f aca="false">W125+X123-X124</f>
        <v>0</v>
      </c>
      <c r="Y125" s="70" t="n">
        <f aca="false">X125+Y123-Y124</f>
        <v>0</v>
      </c>
      <c r="Z125" s="70" t="n">
        <f aca="false">Y125+Z123-Z124</f>
        <v>0</v>
      </c>
      <c r="AA125" s="70" t="n">
        <f aca="false">Z125+AA123-AA124</f>
        <v>0</v>
      </c>
      <c r="AB125" s="70" t="n">
        <f aca="false">AA125+AB123-AB124</f>
        <v>36595.2375</v>
      </c>
    </row>
    <row r="126" customFormat="false" ht="15" hidden="false" customHeight="false" outlineLevel="0" collapsed="false">
      <c r="A126" s="27" t="s">
        <v>765</v>
      </c>
      <c r="B126" s="56" t="s">
        <v>766</v>
      </c>
      <c r="C126" s="57" t="n">
        <f aca="false">P126</f>
        <v>0</v>
      </c>
      <c r="D126" s="57" t="n">
        <f aca="false">AB126</f>
        <v>0</v>
      </c>
      <c r="E126" s="70" t="n">
        <f aca="false">E111-E117</f>
        <v>0</v>
      </c>
      <c r="F126" s="70" t="n">
        <f aca="false">F111-F117</f>
        <v>0</v>
      </c>
      <c r="G126" s="70" t="n">
        <f aca="false">G111-G117</f>
        <v>39835.47</v>
      </c>
      <c r="H126" s="70" t="n">
        <f aca="false">H111-H117</f>
        <v>103444.17</v>
      </c>
      <c r="I126" s="70" t="n">
        <f aca="false">I111-I117</f>
        <v>144457.12</v>
      </c>
      <c r="J126" s="70" t="n">
        <f aca="false">J111-J117</f>
        <v>193055.59</v>
      </c>
      <c r="K126" s="70" t="n">
        <f aca="false">K111-K117</f>
        <v>256617.23</v>
      </c>
      <c r="L126" s="70" t="n">
        <f aca="false">L111-L117</f>
        <v>202464.01</v>
      </c>
      <c r="M126" s="70" t="n">
        <f aca="false">M111-M117</f>
        <v>228429.393939709</v>
      </c>
      <c r="N126" s="70" t="n">
        <f aca="false">N111-N117</f>
        <v>162098.666627289</v>
      </c>
      <c r="O126" s="70" t="n">
        <f aca="false">O111-O117</f>
        <v>66551.60491481</v>
      </c>
      <c r="P126" s="70" t="n">
        <f aca="false">P111-P117</f>
        <v>0</v>
      </c>
      <c r="Q126" s="70" t="n">
        <f aca="false">Q111-Q117</f>
        <v>0</v>
      </c>
      <c r="R126" s="70" t="n">
        <f aca="false">R111-R117</f>
        <v>0</v>
      </c>
      <c r="S126" s="70" t="n">
        <f aca="false">S111-S117</f>
        <v>0</v>
      </c>
      <c r="T126" s="70" t="n">
        <f aca="false">T111-T117</f>
        <v>0</v>
      </c>
      <c r="U126" s="70" t="n">
        <f aca="false">U111-U117</f>
        <v>0</v>
      </c>
      <c r="V126" s="70" t="n">
        <f aca="false">V111-V117</f>
        <v>0</v>
      </c>
      <c r="W126" s="70" t="n">
        <f aca="false">W111-W117</f>
        <v>0</v>
      </c>
      <c r="X126" s="70" t="n">
        <f aca="false">X111-X117</f>
        <v>0</v>
      </c>
      <c r="Y126" s="70" t="n">
        <f aca="false">Y111-Y117</f>
        <v>0</v>
      </c>
      <c r="Z126" s="70" t="n">
        <f aca="false">Z111-Z117</f>
        <v>0</v>
      </c>
      <c r="AA126" s="70" t="n">
        <f aca="false">AA111-AA117</f>
        <v>0</v>
      </c>
      <c r="AB126" s="70" t="n">
        <f aca="false">AB111-AB117</f>
        <v>0</v>
      </c>
    </row>
    <row r="127" customFormat="false" ht="15" hidden="false" customHeight="false" outlineLevel="0" collapsed="false">
      <c r="A127" s="27" t="s">
        <v>767</v>
      </c>
      <c r="B127" s="56"/>
      <c r="C127" s="57" t="n">
        <f aca="false">P127</f>
        <v>0</v>
      </c>
      <c r="D127" s="57" t="n">
        <f aca="false">AB127</f>
        <v>0</v>
      </c>
      <c r="E127" s="70" t="n">
        <f aca="false">MAX(0,E126)</f>
        <v>0</v>
      </c>
      <c r="F127" s="70" t="n">
        <f aca="false">MAX(0,F126)</f>
        <v>0</v>
      </c>
      <c r="G127" s="70" t="n">
        <f aca="false">MAX(0,G126)</f>
        <v>39835.47</v>
      </c>
      <c r="H127" s="70" t="n">
        <f aca="false">MAX(0,H126)</f>
        <v>103444.17</v>
      </c>
      <c r="I127" s="70" t="n">
        <f aca="false">MAX(0,I126)</f>
        <v>144457.12</v>
      </c>
      <c r="J127" s="70" t="n">
        <f aca="false">MAX(0,J126)</f>
        <v>193055.59</v>
      </c>
      <c r="K127" s="70" t="n">
        <f aca="false">MAX(0,K126)</f>
        <v>256617.23</v>
      </c>
      <c r="L127" s="70" t="n">
        <f aca="false">MAX(0,L126)</f>
        <v>202464.01</v>
      </c>
      <c r="M127" s="70" t="n">
        <f aca="false">MAX(0,M126)</f>
        <v>228429.393939709</v>
      </c>
      <c r="N127" s="70" t="n">
        <f aca="false">MAX(0,N126)</f>
        <v>162098.666627289</v>
      </c>
      <c r="O127" s="70" t="n">
        <f aca="false">MAX(0,O126)</f>
        <v>66551.60491481</v>
      </c>
      <c r="P127" s="70" t="n">
        <f aca="false">MAX(0,P126)</f>
        <v>0</v>
      </c>
      <c r="Q127" s="70" t="n">
        <f aca="false">MAX(0,Q126)</f>
        <v>0</v>
      </c>
      <c r="R127" s="70" t="n">
        <f aca="false">MAX(0,R126)</f>
        <v>0</v>
      </c>
      <c r="S127" s="70" t="n">
        <f aca="false">MAX(0,S126)</f>
        <v>0</v>
      </c>
      <c r="T127" s="70" t="n">
        <f aca="false">MAX(0,T126)</f>
        <v>0</v>
      </c>
      <c r="U127" s="70" t="n">
        <f aca="false">MAX(0,U126)</f>
        <v>0</v>
      </c>
      <c r="V127" s="70" t="n">
        <f aca="false">MAX(0,V126)</f>
        <v>0</v>
      </c>
      <c r="W127" s="70" t="n">
        <f aca="false">MAX(0,W126)</f>
        <v>0</v>
      </c>
      <c r="X127" s="70" t="n">
        <f aca="false">MAX(0,X126)</f>
        <v>0</v>
      </c>
      <c r="Y127" s="70" t="n">
        <f aca="false">MAX(0,Y126)</f>
        <v>0</v>
      </c>
      <c r="Z127" s="70" t="n">
        <f aca="false">MAX(0,Z126)</f>
        <v>0</v>
      </c>
      <c r="AA127" s="70" t="n">
        <f aca="false">MAX(0,AA126)</f>
        <v>0</v>
      </c>
      <c r="AB127" s="70" t="n">
        <f aca="false">MAX(0,AB126)</f>
        <v>0</v>
      </c>
    </row>
    <row r="128" customFormat="false" ht="15" hidden="false" customHeight="false" outlineLevel="0" collapsed="false">
      <c r="A128" s="27" t="s">
        <v>768</v>
      </c>
      <c r="B128" s="56"/>
      <c r="C128" s="57" t="n">
        <f aca="false">P128</f>
        <v>-0</v>
      </c>
      <c r="D128" s="57" t="n">
        <f aca="false">AB128</f>
        <v>-0</v>
      </c>
      <c r="E128" s="70" t="n">
        <f aca="false">MAX(0,-E126)</f>
        <v>-0</v>
      </c>
      <c r="F128" s="70" t="n">
        <f aca="false">MAX(0,-F126)</f>
        <v>-0</v>
      </c>
      <c r="G128" s="70" t="n">
        <f aca="false">MAX(0,-G126)</f>
        <v>0</v>
      </c>
      <c r="H128" s="70" t="n">
        <f aca="false">MAX(0,-H126)</f>
        <v>0</v>
      </c>
      <c r="I128" s="70" t="n">
        <f aca="false">MAX(0,-I126)</f>
        <v>0</v>
      </c>
      <c r="J128" s="70" t="n">
        <f aca="false">MAX(0,-J126)</f>
        <v>0</v>
      </c>
      <c r="K128" s="70" t="n">
        <f aca="false">MAX(0,-K126)</f>
        <v>0</v>
      </c>
      <c r="L128" s="70" t="n">
        <f aca="false">MAX(0,-L126)</f>
        <v>0</v>
      </c>
      <c r="M128" s="70" t="n">
        <f aca="false">MAX(0,-M126)</f>
        <v>0</v>
      </c>
      <c r="N128" s="70" t="n">
        <f aca="false">MAX(0,-N126)</f>
        <v>0</v>
      </c>
      <c r="O128" s="70" t="n">
        <f aca="false">MAX(0,-O126)</f>
        <v>0</v>
      </c>
      <c r="P128" s="70" t="n">
        <f aca="false">MAX(0,-P126)</f>
        <v>-0</v>
      </c>
      <c r="Q128" s="70" t="n">
        <f aca="false">MAX(0,-Q126)</f>
        <v>-0</v>
      </c>
      <c r="R128" s="70" t="n">
        <f aca="false">MAX(0,-R126)</f>
        <v>-0</v>
      </c>
      <c r="S128" s="70" t="n">
        <f aca="false">MAX(0,-S126)</f>
        <v>-0</v>
      </c>
      <c r="T128" s="70" t="n">
        <f aca="false">MAX(0,-T126)</f>
        <v>-0</v>
      </c>
      <c r="U128" s="70" t="n">
        <f aca="false">MAX(0,-U126)</f>
        <v>-0</v>
      </c>
      <c r="V128" s="70" t="n">
        <f aca="false">MAX(0,-V126)</f>
        <v>-0</v>
      </c>
      <c r="W128" s="70" t="n">
        <f aca="false">MAX(0,-W126)</f>
        <v>-0</v>
      </c>
      <c r="X128" s="70" t="n">
        <f aca="false">MAX(0,-X126)</f>
        <v>-0</v>
      </c>
      <c r="Y128" s="70" t="n">
        <f aca="false">MAX(0,-Y126)</f>
        <v>-0</v>
      </c>
      <c r="Z128" s="70" t="n">
        <f aca="false">MAX(0,-Z126)</f>
        <v>-0</v>
      </c>
      <c r="AA128" s="70" t="n">
        <f aca="false">MAX(0,-AA126)</f>
        <v>-0</v>
      </c>
      <c r="AB128" s="70" t="n">
        <f aca="false">MAX(0,-AB126)</f>
        <v>-0</v>
      </c>
    </row>
    <row r="129" customFormat="false" ht="15" hidden="false" customHeight="false" outlineLevel="0" collapsed="false">
      <c r="A129" s="27" t="s">
        <v>769</v>
      </c>
      <c r="B129" s="56"/>
      <c r="C129" s="57" t="n">
        <f aca="false">P129</f>
        <v>592896.86</v>
      </c>
      <c r="D129" s="57" t="n">
        <f aca="false">AB129</f>
        <v>592896.86</v>
      </c>
      <c r="E129" s="58" t="n">
        <f aca="false">Project_Register!$AG$9+E99</f>
        <v>0</v>
      </c>
      <c r="F129" s="70" t="n">
        <f aca="false">E129+F99</f>
        <v>0</v>
      </c>
      <c r="G129" s="70" t="n">
        <f aca="false">F129+G99</f>
        <v>18113.03</v>
      </c>
      <c r="H129" s="70" t="n">
        <f aca="false">G129+H99</f>
        <v>63036.9</v>
      </c>
      <c r="I129" s="70" t="n">
        <f aca="false">H129+I99</f>
        <v>133677.86</v>
      </c>
      <c r="J129" s="70" t="n">
        <f aca="false">I129+J99</f>
        <v>223303.84</v>
      </c>
      <c r="K129" s="70" t="n">
        <f aca="false">J129+K99</f>
        <v>332873.59</v>
      </c>
      <c r="L129" s="70" t="n">
        <f aca="false">K129+L99</f>
        <v>423132.33</v>
      </c>
      <c r="M129" s="70" t="n">
        <f aca="false">L129+M99</f>
        <v>510260.157566138</v>
      </c>
      <c r="N129" s="70" t="n">
        <f aca="false">M129+N99</f>
        <v>570441.234338624</v>
      </c>
      <c r="O129" s="70" t="n">
        <f aca="false">N129+O99</f>
        <v>592896.86</v>
      </c>
      <c r="P129" s="70" t="n">
        <f aca="false">O129+P99</f>
        <v>592896.86</v>
      </c>
      <c r="Q129" s="70" t="n">
        <f aca="false">P129+Q99</f>
        <v>592896.86</v>
      </c>
      <c r="R129" s="70" t="n">
        <f aca="false">Q129+R99</f>
        <v>592896.86</v>
      </c>
      <c r="S129" s="70" t="n">
        <f aca="false">R129+S99</f>
        <v>592896.86</v>
      </c>
      <c r="T129" s="70" t="n">
        <f aca="false">S129+T99</f>
        <v>592896.86</v>
      </c>
      <c r="U129" s="70" t="n">
        <f aca="false">T129+U99</f>
        <v>592896.86</v>
      </c>
      <c r="V129" s="70" t="n">
        <f aca="false">U129+V99</f>
        <v>592896.86</v>
      </c>
      <c r="W129" s="70" t="n">
        <f aca="false">V129+W99</f>
        <v>592896.86</v>
      </c>
      <c r="X129" s="70" t="n">
        <f aca="false">W129+X99</f>
        <v>592896.86</v>
      </c>
      <c r="Y129" s="70" t="n">
        <f aca="false">X129+Y99</f>
        <v>592896.86</v>
      </c>
      <c r="Z129" s="70" t="n">
        <f aca="false">Y129+Z99</f>
        <v>592896.86</v>
      </c>
      <c r="AA129" s="70" t="n">
        <f aca="false">Z129+AA99</f>
        <v>592896.86</v>
      </c>
      <c r="AB129" s="70" t="n">
        <f aca="false">AA129+AB99</f>
        <v>592896.86</v>
      </c>
    </row>
    <row r="130" customFormat="false" ht="15" hidden="false" customHeight="false" outlineLevel="0" collapsed="false">
      <c r="A130" s="27" t="s">
        <v>770</v>
      </c>
      <c r="B130" s="56"/>
      <c r="C130" s="57" t="n">
        <f aca="false">P130</f>
        <v>14822.4215</v>
      </c>
      <c r="D130" s="57" t="n">
        <f aca="false">AB130</f>
        <v>0</v>
      </c>
      <c r="E130" s="58" t="n">
        <f aca="false">Project_Register!$U$9*E129*(1-Project_Register!$R$9*(Assumptions!E$96&gt;=Project_Register!$AK$9+1)-(1-Project_Register!$R$9)*(Assumptions!E$96&gt;=Project_Register!$AN$9))</f>
        <v>0</v>
      </c>
      <c r="F130" s="58" t="n">
        <f aca="false">Project_Register!$U$9*F129*(1-Project_Register!$R$9*(Assumptions!F$96&gt;=Project_Register!$AK$9+1)-(1-Project_Register!$R$9)*(Assumptions!F$96&gt;=Project_Register!$AN$9))</f>
        <v>0</v>
      </c>
      <c r="G130" s="58" t="n">
        <f aca="false">Project_Register!$U$9*G129*(1-Project_Register!$R$9*(Assumptions!G$96&gt;=Project_Register!$AK$9+1)-(1-Project_Register!$R$9)*(Assumptions!G$96&gt;=Project_Register!$AN$9))</f>
        <v>905.6515</v>
      </c>
      <c r="H130" s="58" t="n">
        <f aca="false">Project_Register!$U$9*H129*(1-Project_Register!$R$9*(Assumptions!H$96&gt;=Project_Register!$AK$9+1)-(1-Project_Register!$R$9)*(Assumptions!H$96&gt;=Project_Register!$AN$9))</f>
        <v>3151.845</v>
      </c>
      <c r="I130" s="58" t="n">
        <f aca="false">Project_Register!$U$9*I129*(1-Project_Register!$R$9*(Assumptions!I$96&gt;=Project_Register!$AK$9+1)-(1-Project_Register!$R$9)*(Assumptions!I$96&gt;=Project_Register!$AN$9))</f>
        <v>6683.893</v>
      </c>
      <c r="J130" s="58" t="n">
        <f aca="false">Project_Register!$U$9*J129*(1-Project_Register!$R$9*(Assumptions!J$96&gt;=Project_Register!$AK$9+1)-(1-Project_Register!$R$9)*(Assumptions!J$96&gt;=Project_Register!$AN$9))</f>
        <v>11165.192</v>
      </c>
      <c r="K130" s="58" t="n">
        <f aca="false">Project_Register!$U$9*K129*(1-Project_Register!$R$9*(Assumptions!K$96&gt;=Project_Register!$AK$9+1)-(1-Project_Register!$R$9)*(Assumptions!K$96&gt;=Project_Register!$AN$9))</f>
        <v>16643.6795</v>
      </c>
      <c r="L130" s="58" t="n">
        <f aca="false">Project_Register!$U$9*L129*(1-Project_Register!$R$9*(Assumptions!L$96&gt;=Project_Register!$AK$9+1)-(1-Project_Register!$R$9)*(Assumptions!L$96&gt;=Project_Register!$AN$9))</f>
        <v>21156.6165</v>
      </c>
      <c r="M130" s="58" t="n">
        <f aca="false">Project_Register!$U$9*M129*(1-Project_Register!$R$9*(Assumptions!M$96&gt;=Project_Register!$AK$9+1)-(1-Project_Register!$R$9)*(Assumptions!M$96&gt;=Project_Register!$AN$9))</f>
        <v>25513.0078783069</v>
      </c>
      <c r="N130" s="58" t="n">
        <f aca="false">Project_Register!$U$9*N129*(1-Project_Register!$R$9*(Assumptions!N$96&gt;=Project_Register!$AK$9+1)-(1-Project_Register!$R$9)*(Assumptions!N$96&gt;=Project_Register!$AN$9))</f>
        <v>28522.0617169312</v>
      </c>
      <c r="O130" s="58" t="n">
        <f aca="false">Project_Register!$U$9*O129*(1-Project_Register!$R$9*(Assumptions!O$96&gt;=Project_Register!$AK$9+1)-(1-Project_Register!$R$9)*(Assumptions!O$96&gt;=Project_Register!$AN$9))</f>
        <v>29644.843</v>
      </c>
      <c r="P130" s="58" t="n">
        <f aca="false">Project_Register!$U$9*P129*(1-Project_Register!$R$9*(Assumptions!P$96&gt;=Project_Register!$AK$9+1)-(1-Project_Register!$R$9)*(Assumptions!P$96&gt;=Project_Register!$AN$9))</f>
        <v>14822.4215</v>
      </c>
      <c r="Q130" s="58" t="n">
        <f aca="false">Project_Register!$U$9*Q129*(1-Project_Register!$R$9*(Assumptions!Q$96&gt;=Project_Register!$AK$9+1)-(1-Project_Register!$R$9)*(Assumptions!Q$96&gt;=Project_Register!$AN$9))</f>
        <v>14822.4215</v>
      </c>
      <c r="R130" s="58" t="n">
        <f aca="false">Project_Register!$U$9*R129*(1-Project_Register!$R$9*(Assumptions!R$96&gt;=Project_Register!$AK$9+1)-(1-Project_Register!$R$9)*(Assumptions!R$96&gt;=Project_Register!$AN$9))</f>
        <v>14822.4215</v>
      </c>
      <c r="S130" s="58" t="n">
        <f aca="false">Project_Register!$U$9*S129*(1-Project_Register!$R$9*(Assumptions!S$96&gt;=Project_Register!$AK$9+1)-(1-Project_Register!$R$9)*(Assumptions!S$96&gt;=Project_Register!$AN$9))</f>
        <v>14822.4215</v>
      </c>
      <c r="T130" s="58" t="n">
        <f aca="false">Project_Register!$U$9*T129*(1-Project_Register!$R$9*(Assumptions!T$96&gt;=Project_Register!$AK$9+1)-(1-Project_Register!$R$9)*(Assumptions!T$96&gt;=Project_Register!$AN$9))</f>
        <v>14822.4215</v>
      </c>
      <c r="U130" s="58" t="n">
        <f aca="false">Project_Register!$U$9*U129*(1-Project_Register!$R$9*(Assumptions!U$96&gt;=Project_Register!$AK$9+1)-(1-Project_Register!$R$9)*(Assumptions!U$96&gt;=Project_Register!$AN$9))</f>
        <v>14822.4215</v>
      </c>
      <c r="V130" s="58" t="n">
        <f aca="false">Project_Register!$U$9*V129*(1-Project_Register!$R$9*(Assumptions!V$96&gt;=Project_Register!$AK$9+1)-(1-Project_Register!$R$9)*(Assumptions!V$96&gt;=Project_Register!$AN$9))</f>
        <v>14822.4215</v>
      </c>
      <c r="W130" s="58" t="n">
        <f aca="false">Project_Register!$U$9*W129*(1-Project_Register!$R$9*(Assumptions!W$96&gt;=Project_Register!$AK$9+1)-(1-Project_Register!$R$9)*(Assumptions!W$96&gt;=Project_Register!$AN$9))</f>
        <v>14822.4215</v>
      </c>
      <c r="X130" s="58" t="n">
        <f aca="false">Project_Register!$U$9*X129*(1-Project_Register!$R$9*(Assumptions!X$96&gt;=Project_Register!$AK$9+1)-(1-Project_Register!$R$9)*(Assumptions!X$96&gt;=Project_Register!$AN$9))</f>
        <v>14822.4215</v>
      </c>
      <c r="Y130" s="58" t="n">
        <f aca="false">Project_Register!$U$9*Y129*(1-Project_Register!$R$9*(Assumptions!Y$96&gt;=Project_Register!$AK$9+1)-(1-Project_Register!$R$9)*(Assumptions!Y$96&gt;=Project_Register!$AN$9))</f>
        <v>14822.4215</v>
      </c>
      <c r="Z130" s="58" t="n">
        <f aca="false">Project_Register!$U$9*Z129*(1-Project_Register!$R$9*(Assumptions!Z$96&gt;=Project_Register!$AK$9+1)-(1-Project_Register!$R$9)*(Assumptions!Z$96&gt;=Project_Register!$AN$9))</f>
        <v>14822.4215</v>
      </c>
      <c r="AA130" s="58" t="n">
        <f aca="false">Project_Register!$U$9*AA129*(1-Project_Register!$R$9*(Assumptions!AA$96&gt;=Project_Register!$AK$9+1)-(1-Project_Register!$R$9)*(Assumptions!AA$96&gt;=Project_Register!$AN$9))</f>
        <v>14822.4215</v>
      </c>
      <c r="AB130" s="58" t="n">
        <f aca="false">Project_Register!$U$9*AB129*(1-Project_Register!$R$9*(Assumptions!AB$96&gt;=Project_Register!$AK$9+1)-(1-Project_Register!$R$9)*(Assumptions!AB$96&gt;=Project_Register!$AN$9))</f>
        <v>0</v>
      </c>
    </row>
    <row r="131" customFormat="false" ht="15" hidden="false" customHeight="false" outlineLevel="0" collapsed="false">
      <c r="A131" s="27" t="s">
        <v>771</v>
      </c>
      <c r="B131" s="56"/>
      <c r="C131" s="57" t="n">
        <f aca="false">SUM(E131:P131)</f>
        <v>14822.4215</v>
      </c>
      <c r="D131" s="57" t="n">
        <f aca="false">SUM(Q131:AB131)</f>
        <v>-14822.4215</v>
      </c>
      <c r="E131" s="58" t="n">
        <f aca="false">E130-Project_Register!$AX$9</f>
        <v>0</v>
      </c>
      <c r="F131" s="70" t="n">
        <f aca="false">F130-E130</f>
        <v>0</v>
      </c>
      <c r="G131" s="70" t="n">
        <f aca="false">G130-F130</f>
        <v>905.6515</v>
      </c>
      <c r="H131" s="70" t="n">
        <f aca="false">H130-G130</f>
        <v>2246.1935</v>
      </c>
      <c r="I131" s="70" t="n">
        <f aca="false">I130-H130</f>
        <v>3532.048</v>
      </c>
      <c r="J131" s="70" t="n">
        <f aca="false">J130-I130</f>
        <v>4481.299</v>
      </c>
      <c r="K131" s="70" t="n">
        <f aca="false">K130-J130</f>
        <v>5478.4875</v>
      </c>
      <c r="L131" s="70" t="n">
        <f aca="false">L130-K130</f>
        <v>4512.937</v>
      </c>
      <c r="M131" s="70" t="n">
        <f aca="false">M130-L130</f>
        <v>4356.39137830687</v>
      </c>
      <c r="N131" s="70" t="n">
        <f aca="false">N130-M130</f>
        <v>3009.05383862435</v>
      </c>
      <c r="O131" s="70" t="n">
        <f aca="false">O130-N130</f>
        <v>1122.78128306878</v>
      </c>
      <c r="P131" s="70" t="n">
        <f aca="false">P130-O130</f>
        <v>-14822.4215</v>
      </c>
      <c r="Q131" s="70" t="n">
        <f aca="false">Q130-P130</f>
        <v>0</v>
      </c>
      <c r="R131" s="70" t="n">
        <f aca="false">R130-Q130</f>
        <v>0</v>
      </c>
      <c r="S131" s="70" t="n">
        <f aca="false">S130-R130</f>
        <v>0</v>
      </c>
      <c r="T131" s="70" t="n">
        <f aca="false">T130-S130</f>
        <v>0</v>
      </c>
      <c r="U131" s="70" t="n">
        <f aca="false">U130-T130</f>
        <v>0</v>
      </c>
      <c r="V131" s="70" t="n">
        <f aca="false">V130-U130</f>
        <v>0</v>
      </c>
      <c r="W131" s="70" t="n">
        <f aca="false">W130-V130</f>
        <v>0</v>
      </c>
      <c r="X131" s="70" t="n">
        <f aca="false">X130-W130</f>
        <v>0</v>
      </c>
      <c r="Y131" s="70" t="n">
        <f aca="false">Y130-X130</f>
        <v>0</v>
      </c>
      <c r="Z131" s="70" t="n">
        <f aca="false">Z130-Y130</f>
        <v>0</v>
      </c>
      <c r="AA131" s="70" t="n">
        <f aca="false">AA130-Z130</f>
        <v>0</v>
      </c>
      <c r="AB131" s="70" t="n">
        <f aca="false">AB130-AA130</f>
        <v>-14822.4215</v>
      </c>
    </row>
    <row r="132" customFormat="false" ht="15" hidden="false" customHeight="false" outlineLevel="0" collapsed="false">
      <c r="A132" s="27" t="s">
        <v>772</v>
      </c>
      <c r="B132" s="56" t="s">
        <v>773</v>
      </c>
      <c r="C132" s="57" t="n">
        <f aca="false">P132</f>
        <v>0</v>
      </c>
      <c r="D132" s="57" t="n">
        <f aca="false">AB132</f>
        <v>0</v>
      </c>
      <c r="E132" s="58" t="n">
        <f aca="false">Project_Register!$V$9*Project_Register!$AO$9*(Assumptions!E$96&gt;=Project_Register!$AL$9)*(Assumptions!E$96&lt;=Project_Register!$AK$9)</f>
        <v>0</v>
      </c>
      <c r="F132" s="58" t="n">
        <f aca="false">Project_Register!$V$9*Project_Register!$AO$9*(Assumptions!F$96&gt;=Project_Register!$AL$9)*(Assumptions!F$96&lt;=Project_Register!$AK$9)</f>
        <v>118000</v>
      </c>
      <c r="G132" s="58" t="n">
        <f aca="false">Project_Register!$V$9*Project_Register!$AO$9*(Assumptions!G$96&gt;=Project_Register!$AL$9)*(Assumptions!G$96&lt;=Project_Register!$AK$9)</f>
        <v>118000</v>
      </c>
      <c r="H132" s="58" t="n">
        <f aca="false">Project_Register!$V$9*Project_Register!$AO$9*(Assumptions!H$96&gt;=Project_Register!$AL$9)*(Assumptions!H$96&lt;=Project_Register!$AK$9)</f>
        <v>118000</v>
      </c>
      <c r="I132" s="58" t="n">
        <f aca="false">Project_Register!$V$9*Project_Register!$AO$9*(Assumptions!I$96&gt;=Project_Register!$AL$9)*(Assumptions!I$96&lt;=Project_Register!$AK$9)</f>
        <v>118000</v>
      </c>
      <c r="J132" s="58" t="n">
        <f aca="false">Project_Register!$V$9*Project_Register!$AO$9*(Assumptions!J$96&gt;=Project_Register!$AL$9)*(Assumptions!J$96&lt;=Project_Register!$AK$9)</f>
        <v>118000</v>
      </c>
      <c r="K132" s="58" t="n">
        <f aca="false">Project_Register!$V$9*Project_Register!$AO$9*(Assumptions!K$96&gt;=Project_Register!$AL$9)*(Assumptions!K$96&lt;=Project_Register!$AK$9)</f>
        <v>118000</v>
      </c>
      <c r="L132" s="58" t="n">
        <f aca="false">Project_Register!$V$9*Project_Register!$AO$9*(Assumptions!L$96&gt;=Project_Register!$AL$9)*(Assumptions!L$96&lt;=Project_Register!$AK$9)</f>
        <v>118000</v>
      </c>
      <c r="M132" s="58" t="n">
        <f aca="false">Project_Register!$V$9*Project_Register!$AO$9*(Assumptions!M$96&gt;=Project_Register!$AL$9)*(Assumptions!M$96&lt;=Project_Register!$AK$9)</f>
        <v>118000</v>
      </c>
      <c r="N132" s="58" t="n">
        <f aca="false">Project_Register!$V$9*Project_Register!$AO$9*(Assumptions!N$96&gt;=Project_Register!$AL$9)*(Assumptions!N$96&lt;=Project_Register!$AK$9)</f>
        <v>118000</v>
      </c>
      <c r="O132" s="58" t="n">
        <f aca="false">Project_Register!$V$9*Project_Register!$AO$9*(Assumptions!O$96&gt;=Project_Register!$AL$9)*(Assumptions!O$96&lt;=Project_Register!$AK$9)</f>
        <v>118000</v>
      </c>
      <c r="P132" s="58" t="n">
        <f aca="false">Project_Register!$V$9*Project_Register!$AO$9*(Assumptions!P$96&gt;=Project_Register!$AL$9)*(Assumptions!P$96&lt;=Project_Register!$AK$9)</f>
        <v>0</v>
      </c>
      <c r="Q132" s="58" t="n">
        <f aca="false">Project_Register!$V$9*Project_Register!$AO$9*(Assumptions!Q$96&gt;=Project_Register!$AL$9)*(Assumptions!Q$96&lt;=Project_Register!$AK$9)</f>
        <v>0</v>
      </c>
      <c r="R132" s="58" t="n">
        <f aca="false">Project_Register!$V$9*Project_Register!$AO$9*(Assumptions!R$96&gt;=Project_Register!$AL$9)*(Assumptions!R$96&lt;=Project_Register!$AK$9)</f>
        <v>0</v>
      </c>
      <c r="S132" s="58" t="n">
        <f aca="false">Project_Register!$V$9*Project_Register!$AO$9*(Assumptions!S$96&gt;=Project_Register!$AL$9)*(Assumptions!S$96&lt;=Project_Register!$AK$9)</f>
        <v>0</v>
      </c>
      <c r="T132" s="58" t="n">
        <f aca="false">Project_Register!$V$9*Project_Register!$AO$9*(Assumptions!T$96&gt;=Project_Register!$AL$9)*(Assumptions!T$96&lt;=Project_Register!$AK$9)</f>
        <v>0</v>
      </c>
      <c r="U132" s="58" t="n">
        <f aca="false">Project_Register!$V$9*Project_Register!$AO$9*(Assumptions!U$96&gt;=Project_Register!$AL$9)*(Assumptions!U$96&lt;=Project_Register!$AK$9)</f>
        <v>0</v>
      </c>
      <c r="V132" s="58" t="n">
        <f aca="false">Project_Register!$V$9*Project_Register!$AO$9*(Assumptions!V$96&gt;=Project_Register!$AL$9)*(Assumptions!V$96&lt;=Project_Register!$AK$9)</f>
        <v>0</v>
      </c>
      <c r="W132" s="58" t="n">
        <f aca="false">Project_Register!$V$9*Project_Register!$AO$9*(Assumptions!W$96&gt;=Project_Register!$AL$9)*(Assumptions!W$96&lt;=Project_Register!$AK$9)</f>
        <v>0</v>
      </c>
      <c r="X132" s="58" t="n">
        <f aca="false">Project_Register!$V$9*Project_Register!$AO$9*(Assumptions!X$96&gt;=Project_Register!$AL$9)*(Assumptions!X$96&lt;=Project_Register!$AK$9)</f>
        <v>0</v>
      </c>
      <c r="Y132" s="58" t="n">
        <f aca="false">Project_Register!$V$9*Project_Register!$AO$9*(Assumptions!Y$96&gt;=Project_Register!$AL$9)*(Assumptions!Y$96&lt;=Project_Register!$AK$9)</f>
        <v>0</v>
      </c>
      <c r="Z132" s="58" t="n">
        <f aca="false">Project_Register!$V$9*Project_Register!$AO$9*(Assumptions!Z$96&gt;=Project_Register!$AL$9)*(Assumptions!Z$96&lt;=Project_Register!$AK$9)</f>
        <v>0</v>
      </c>
      <c r="AA132" s="58" t="n">
        <f aca="false">Project_Register!$V$9*Project_Register!$AO$9*(Assumptions!AA$96&gt;=Project_Register!$AL$9)*(Assumptions!AA$96&lt;=Project_Register!$AK$9)</f>
        <v>0</v>
      </c>
      <c r="AB132" s="58" t="n">
        <f aca="false">Project_Register!$V$9*Project_Register!$AO$9*(Assumptions!AB$96&gt;=Project_Register!$AL$9)*(Assumptions!AB$96&lt;=Project_Register!$AK$9)</f>
        <v>0</v>
      </c>
    </row>
    <row r="133" customFormat="false" ht="15" hidden="false" customHeight="false" outlineLevel="0" collapsed="false">
      <c r="A133" s="27" t="s">
        <v>774</v>
      </c>
      <c r="B133" s="56"/>
      <c r="C133" s="57" t="n">
        <f aca="false">P133</f>
        <v>0</v>
      </c>
      <c r="D133" s="57" t="n">
        <f aca="false">AB133</f>
        <v>0</v>
      </c>
      <c r="E133" s="58" t="n">
        <f aca="false">IF(OR(Project_Register!$E$9="Pipeline",Assumptions!E$96&gt;=Project_Register!$AL$9),MAX(0,E110-E111),0)</f>
        <v>0</v>
      </c>
      <c r="F133" s="58" t="n">
        <f aca="false">IF(OR(Project_Register!$E$9="Pipeline",Assumptions!F$96&gt;=Project_Register!$AL$9),MAX(0,F110-F111),0)</f>
        <v>1180000</v>
      </c>
      <c r="G133" s="58" t="n">
        <f aca="false">IF(OR(Project_Register!$E$9="Pipeline",Assumptions!G$96&gt;=Project_Register!$AL$9),MAX(0,G110-G111),0)</f>
        <v>1140164.53</v>
      </c>
      <c r="H133" s="58" t="n">
        <f aca="false">IF(OR(Project_Register!$E$9="Pipeline",Assumptions!H$96&gt;=Project_Register!$AL$9),MAX(0,H110-H111),0)</f>
        <v>1040170.36</v>
      </c>
      <c r="I133" s="58" t="n">
        <f aca="false">IF(OR(Project_Register!$E$9="Pipeline",Assumptions!I$96&gt;=Project_Register!$AL$9),MAX(0,I110-I111),0)</f>
        <v>913380.93</v>
      </c>
      <c r="J133" s="58" t="n">
        <f aca="false">IF(OR(Project_Register!$E$9="Pipeline",Assumptions!J$96&gt;=Project_Register!$AL$9),MAX(0,J110-J111),0)</f>
        <v>742728.7</v>
      </c>
      <c r="K133" s="58" t="n">
        <f aca="false">IF(OR(Project_Register!$E$9="Pipeline",Assumptions!K$96&gt;=Project_Register!$AL$9),MAX(0,K110-K111),0)</f>
        <v>523171.42</v>
      </c>
      <c r="L133" s="58" t="n">
        <f aca="false">IF(OR(Project_Register!$E$9="Pipeline",Assumptions!L$96&gt;=Project_Register!$AL$9),MAX(0,L110-L111),0)</f>
        <v>362925.18</v>
      </c>
      <c r="M133" s="58" t="n">
        <f aca="false">IF(OR(Project_Register!$E$9="Pipeline",Assumptions!M$96&gt;=Project_Register!$AL$9),MAX(0,M110-M111),0)</f>
        <v>176661.992430039</v>
      </c>
      <c r="N133" s="58" t="n">
        <f aca="false">IF(OR(Project_Register!$E$9="Pipeline",Assumptions!N$96&gt;=Project_Register!$AL$9),MAX(0,N110-N111),0)</f>
        <v>48242.6094355739</v>
      </c>
      <c r="O133" s="58" t="n">
        <f aca="false">IF(OR(Project_Register!$E$9="Pipeline",Assumptions!O$96&gt;=Project_Register!$AL$9),MAX(0,O110-O111),0)</f>
        <v>0</v>
      </c>
      <c r="P133" s="58" t="n">
        <f aca="false">IF(OR(Project_Register!$E$9="Pipeline",Assumptions!P$96&gt;=Project_Register!$AL$9),MAX(0,P110-P111),0)</f>
        <v>0</v>
      </c>
      <c r="Q133" s="58" t="n">
        <f aca="false">IF(OR(Project_Register!$E$9="Pipeline",Assumptions!Q$96&gt;=Project_Register!$AL$9),MAX(0,Q110-Q111),0)</f>
        <v>0</v>
      </c>
      <c r="R133" s="58" t="n">
        <f aca="false">IF(OR(Project_Register!$E$9="Pipeline",Assumptions!R$96&gt;=Project_Register!$AL$9),MAX(0,R110-R111),0)</f>
        <v>0</v>
      </c>
      <c r="S133" s="58" t="n">
        <f aca="false">IF(OR(Project_Register!$E$9="Pipeline",Assumptions!S$96&gt;=Project_Register!$AL$9),MAX(0,S110-S111),0)</f>
        <v>0</v>
      </c>
      <c r="T133" s="58" t="n">
        <f aca="false">IF(OR(Project_Register!$E$9="Pipeline",Assumptions!T$96&gt;=Project_Register!$AL$9),MAX(0,T110-T111),0)</f>
        <v>0</v>
      </c>
      <c r="U133" s="58" t="n">
        <f aca="false">IF(OR(Project_Register!$E$9="Pipeline",Assumptions!U$96&gt;=Project_Register!$AL$9),MAX(0,U110-U111),0)</f>
        <v>0</v>
      </c>
      <c r="V133" s="58" t="n">
        <f aca="false">IF(OR(Project_Register!$E$9="Pipeline",Assumptions!V$96&gt;=Project_Register!$AL$9),MAX(0,V110-V111),0)</f>
        <v>0</v>
      </c>
      <c r="W133" s="58" t="n">
        <f aca="false">IF(OR(Project_Register!$E$9="Pipeline",Assumptions!W$96&gt;=Project_Register!$AL$9),MAX(0,W110-W111),0)</f>
        <v>0</v>
      </c>
      <c r="X133" s="58" t="n">
        <f aca="false">IF(OR(Project_Register!$E$9="Pipeline",Assumptions!X$96&gt;=Project_Register!$AL$9),MAX(0,X110-X111),0)</f>
        <v>0</v>
      </c>
      <c r="Y133" s="58" t="n">
        <f aca="false">IF(OR(Project_Register!$E$9="Pipeline",Assumptions!Y$96&gt;=Project_Register!$AL$9),MAX(0,Y110-Y111),0)</f>
        <v>0</v>
      </c>
      <c r="Z133" s="58" t="n">
        <f aca="false">IF(OR(Project_Register!$E$9="Pipeline",Assumptions!Z$96&gt;=Project_Register!$AL$9),MAX(0,Z110-Z111),0)</f>
        <v>0</v>
      </c>
      <c r="AA133" s="58" t="n">
        <f aca="false">IF(OR(Project_Register!$E$9="Pipeline",Assumptions!AA$96&gt;=Project_Register!$AL$9),MAX(0,AA110-AA111),0)</f>
        <v>0</v>
      </c>
      <c r="AB133" s="58" t="n">
        <f aca="false">IF(OR(Project_Register!$E$9="Pipeline",Assumptions!AB$96&gt;=Project_Register!$AL$9),MAX(0,AB110-AB111),0)</f>
        <v>0</v>
      </c>
    </row>
    <row r="134" customFormat="false" ht="15" hidden="false" customHeight="false" outlineLevel="0" collapsed="false">
      <c r="A134" s="27" t="s">
        <v>775</v>
      </c>
      <c r="B134" s="56"/>
      <c r="C134" s="57" t="n">
        <f aca="false">SUM(E134:P134)</f>
        <v>1180000</v>
      </c>
      <c r="D134" s="57" t="n">
        <f aca="false">SUM(Q134:AB134)</f>
        <v>0</v>
      </c>
      <c r="E134" s="58" t="n">
        <f aca="false">IF(Assumptions!E$96=Project_Register!$AL$9,Project_Register!$AO$9,0)</f>
        <v>0</v>
      </c>
      <c r="F134" s="58" t="n">
        <f aca="false">IF(Assumptions!F$96=Project_Register!$AL$9,Project_Register!$AO$9,0)</f>
        <v>1180000</v>
      </c>
      <c r="G134" s="58" t="n">
        <f aca="false">IF(Assumptions!G$96=Project_Register!$AL$9,Project_Register!$AO$9,0)</f>
        <v>0</v>
      </c>
      <c r="H134" s="58" t="n">
        <f aca="false">IF(Assumptions!H$96=Project_Register!$AL$9,Project_Register!$AO$9,0)</f>
        <v>0</v>
      </c>
      <c r="I134" s="58" t="n">
        <f aca="false">IF(Assumptions!I$96=Project_Register!$AL$9,Project_Register!$AO$9,0)</f>
        <v>0</v>
      </c>
      <c r="J134" s="58" t="n">
        <f aca="false">IF(Assumptions!J$96=Project_Register!$AL$9,Project_Register!$AO$9,0)</f>
        <v>0</v>
      </c>
      <c r="K134" s="58" t="n">
        <f aca="false">IF(Assumptions!K$96=Project_Register!$AL$9,Project_Register!$AO$9,0)</f>
        <v>0</v>
      </c>
      <c r="L134" s="58" t="n">
        <f aca="false">IF(Assumptions!L$96=Project_Register!$AL$9,Project_Register!$AO$9,0)</f>
        <v>0</v>
      </c>
      <c r="M134" s="58" t="n">
        <f aca="false">IF(Assumptions!M$96=Project_Register!$AL$9,Project_Register!$AO$9,0)</f>
        <v>0</v>
      </c>
      <c r="N134" s="58" t="n">
        <f aca="false">IF(Assumptions!N$96=Project_Register!$AL$9,Project_Register!$AO$9,0)</f>
        <v>0</v>
      </c>
      <c r="O134" s="58" t="n">
        <f aca="false">IF(Assumptions!O$96=Project_Register!$AL$9,Project_Register!$AO$9,0)</f>
        <v>0</v>
      </c>
      <c r="P134" s="58" t="n">
        <f aca="false">IF(Assumptions!P$96=Project_Register!$AL$9,Project_Register!$AO$9,0)</f>
        <v>0</v>
      </c>
      <c r="Q134" s="58" t="n">
        <f aca="false">IF(Assumptions!Q$96=Project_Register!$AL$9,Project_Register!$AO$9,0)</f>
        <v>0</v>
      </c>
      <c r="R134" s="58" t="n">
        <f aca="false">IF(Assumptions!R$96=Project_Register!$AL$9,Project_Register!$AO$9,0)</f>
        <v>0</v>
      </c>
      <c r="S134" s="58" t="n">
        <f aca="false">IF(Assumptions!S$96=Project_Register!$AL$9,Project_Register!$AO$9,0)</f>
        <v>0</v>
      </c>
      <c r="T134" s="58" t="n">
        <f aca="false">IF(Assumptions!T$96=Project_Register!$AL$9,Project_Register!$AO$9,0)</f>
        <v>0</v>
      </c>
      <c r="U134" s="58" t="n">
        <f aca="false">IF(Assumptions!U$96=Project_Register!$AL$9,Project_Register!$AO$9,0)</f>
        <v>0</v>
      </c>
      <c r="V134" s="58" t="n">
        <f aca="false">IF(Assumptions!V$96=Project_Register!$AL$9,Project_Register!$AO$9,0)</f>
        <v>0</v>
      </c>
      <c r="W134" s="58" t="n">
        <f aca="false">IF(Assumptions!W$96=Project_Register!$AL$9,Project_Register!$AO$9,0)</f>
        <v>0</v>
      </c>
      <c r="X134" s="58" t="n">
        <f aca="false">IF(Assumptions!X$96=Project_Register!$AL$9,Project_Register!$AO$9,0)</f>
        <v>0</v>
      </c>
      <c r="Y134" s="58" t="n">
        <f aca="false">IF(Assumptions!Y$96=Project_Register!$AL$9,Project_Register!$AO$9,0)</f>
        <v>0</v>
      </c>
      <c r="Z134" s="58" t="n">
        <f aca="false">IF(Assumptions!Z$96=Project_Register!$AL$9,Project_Register!$AO$9,0)</f>
        <v>0</v>
      </c>
      <c r="AA134" s="58" t="n">
        <f aca="false">IF(Assumptions!AA$96=Project_Register!$AL$9,Project_Register!$AO$9,0)</f>
        <v>0</v>
      </c>
      <c r="AB134" s="58" t="n">
        <f aca="false">IF(Assumptions!AB$96=Project_Register!$AL$9,Project_Register!$AO$9,0)</f>
        <v>0</v>
      </c>
    </row>
    <row r="135" customFormat="false" ht="15" hidden="false" customHeight="false" outlineLevel="0" collapsed="false">
      <c r="A135" s="27" t="s">
        <v>776</v>
      </c>
      <c r="B135" s="56" t="s">
        <v>777</v>
      </c>
      <c r="E135" s="70" t="n">
        <f aca="false">IF(E$5="A",ROUND(E111-E106*E110,0),0)</f>
        <v>0</v>
      </c>
      <c r="F135" s="70" t="n">
        <f aca="false">IF(F$5="A",ROUND(F111-F106*F110,0),0)</f>
        <v>0</v>
      </c>
      <c r="G135" s="70" t="n">
        <f aca="false">IF(G$5="A",ROUND(G111-G106*G110,0),0)</f>
        <v>0</v>
      </c>
      <c r="H135" s="70" t="n">
        <f aca="false">IF(H$5="A",ROUND(H111-H106*H110,0),0)</f>
        <v>-0</v>
      </c>
      <c r="I135" s="70" t="n">
        <f aca="false">IF(I$5="A",ROUND(I111-I106*I110,0),0)</f>
        <v>-0</v>
      </c>
      <c r="J135" s="70" t="n">
        <f aca="false">IF(J$5="A",ROUND(J111-J106*J110,0),0)</f>
        <v>0</v>
      </c>
      <c r="K135" s="70" t="n">
        <f aca="false">IF(K$5="A",ROUND(K111-K106*K110,0),0)</f>
        <v>0</v>
      </c>
      <c r="L135" s="70" t="n">
        <f aca="false">IF(L$5="A",ROUND(L111-L106*L110,0),0)</f>
        <v>0</v>
      </c>
      <c r="M135" s="70" t="n">
        <f aca="false">IF(M$5="A",ROUND(M111-M106*M110,0),0)</f>
        <v>0</v>
      </c>
      <c r="N135" s="70" t="n">
        <f aca="false">IF(N$5="A",ROUND(N111-N106*N110,0),0)</f>
        <v>0</v>
      </c>
      <c r="O135" s="70" t="n">
        <f aca="false">IF(O$5="A",ROUND(O111-O106*O110,0),0)</f>
        <v>0</v>
      </c>
      <c r="P135" s="70" t="n">
        <f aca="false">IF(P$5="A",ROUND(P111-P106*P110,0),0)</f>
        <v>0</v>
      </c>
      <c r="Q135" s="70" t="n">
        <f aca="false">IF(Q$5="A",ROUND(Q111-Q106*Q110,0),0)</f>
        <v>0</v>
      </c>
      <c r="R135" s="70" t="n">
        <f aca="false">IF(R$5="A",ROUND(R111-R106*R110,0),0)</f>
        <v>0</v>
      </c>
      <c r="S135" s="70" t="n">
        <f aca="false">IF(S$5="A",ROUND(S111-S106*S110,0),0)</f>
        <v>0</v>
      </c>
      <c r="T135" s="70" t="n">
        <f aca="false">IF(T$5="A",ROUND(T111-T106*T110,0),0)</f>
        <v>0</v>
      </c>
      <c r="U135" s="70" t="n">
        <f aca="false">IF(U$5="A",ROUND(U111-U106*U110,0),0)</f>
        <v>0</v>
      </c>
      <c r="V135" s="70" t="n">
        <f aca="false">IF(V$5="A",ROUND(V111-V106*V110,0),0)</f>
        <v>0</v>
      </c>
      <c r="W135" s="70" t="n">
        <f aca="false">IF(W$5="A",ROUND(W111-W106*W110,0),0)</f>
        <v>0</v>
      </c>
      <c r="X135" s="70" t="n">
        <f aca="false">IF(X$5="A",ROUND(X111-X106*X110,0),0)</f>
        <v>0</v>
      </c>
      <c r="Y135" s="70" t="n">
        <f aca="false">IF(Y$5="A",ROUND(Y111-Y106*Y110,0),0)</f>
        <v>0</v>
      </c>
      <c r="Z135" s="70" t="n">
        <f aca="false">IF(Z$5="A",ROUND(Z111-Z106*Z110,0),0)</f>
        <v>0</v>
      </c>
      <c r="AA135" s="70" t="n">
        <f aca="false">IF(AA$5="A",ROUND(AA111-AA106*AA110,0),0)</f>
        <v>0</v>
      </c>
      <c r="AB135" s="70" t="n">
        <f aca="false">IF(AB$5="A",ROUND(AB111-AB106*AB110,0),0)</f>
        <v>0</v>
      </c>
    </row>
    <row r="137" customFormat="false" ht="15" hidden="false" customHeight="false" outlineLevel="0" collapsed="false">
      <c r="A137" s="21" t="s">
        <v>780</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row>
    <row r="138" customFormat="false" ht="15" hidden="false" customHeight="false" outlineLevel="0" collapsed="false">
      <c r="A138" s="27" t="s">
        <v>716</v>
      </c>
      <c r="B138" s="56" t="s">
        <v>717</v>
      </c>
      <c r="E138" s="104" t="n">
        <f aca="false">MIN(1,MAX(0,(Assumptions!E$96-Project_Register!$AJ$10+1)/(Project_Register!$AK$10-Project_Register!$AJ$10+1)))</f>
        <v>0</v>
      </c>
      <c r="F138" s="104" t="n">
        <f aca="false">MIN(1,MAX(0,(Assumptions!F$96-Project_Register!$AJ$10+1)/(Project_Register!$AK$10-Project_Register!$AJ$10+1)))</f>
        <v>0</v>
      </c>
      <c r="G138" s="104" t="n">
        <f aca="false">MIN(1,MAX(0,(Assumptions!G$96-Project_Register!$AJ$10+1)/(Project_Register!$AK$10-Project_Register!$AJ$10+1)))</f>
        <v>0</v>
      </c>
      <c r="H138" s="104" t="n">
        <f aca="false">MIN(1,MAX(0,(Assumptions!H$96-Project_Register!$AJ$10+1)/(Project_Register!$AK$10-Project_Register!$AJ$10+1)))</f>
        <v>0</v>
      </c>
      <c r="I138" s="104" t="n">
        <f aca="false">MIN(1,MAX(0,(Assumptions!I$96-Project_Register!$AJ$10+1)/(Project_Register!$AK$10-Project_Register!$AJ$10+1)))</f>
        <v>0</v>
      </c>
      <c r="J138" s="104" t="n">
        <f aca="false">MIN(1,MAX(0,(Assumptions!J$96-Project_Register!$AJ$10+1)/(Project_Register!$AK$10-Project_Register!$AJ$10+1)))</f>
        <v>0.111111111111111</v>
      </c>
      <c r="K138" s="104" t="n">
        <f aca="false">MIN(1,MAX(0,(Assumptions!K$96-Project_Register!$AJ$10+1)/(Project_Register!$AK$10-Project_Register!$AJ$10+1)))</f>
        <v>0.222222222222222</v>
      </c>
      <c r="L138" s="104" t="n">
        <f aca="false">MIN(1,MAX(0,(Assumptions!L$96-Project_Register!$AJ$10+1)/(Project_Register!$AK$10-Project_Register!$AJ$10+1)))</f>
        <v>0.333333333333333</v>
      </c>
      <c r="M138" s="104" t="n">
        <f aca="false">MIN(1,MAX(0,(Assumptions!M$96-Project_Register!$AJ$10+1)/(Project_Register!$AK$10-Project_Register!$AJ$10+1)))</f>
        <v>0.444444444444444</v>
      </c>
      <c r="N138" s="104" t="n">
        <f aca="false">MIN(1,MAX(0,(Assumptions!N$96-Project_Register!$AJ$10+1)/(Project_Register!$AK$10-Project_Register!$AJ$10+1)))</f>
        <v>0.555555555555556</v>
      </c>
      <c r="O138" s="104" t="n">
        <f aca="false">MIN(1,MAX(0,(Assumptions!O$96-Project_Register!$AJ$10+1)/(Project_Register!$AK$10-Project_Register!$AJ$10+1)))</f>
        <v>0.666666666666667</v>
      </c>
      <c r="P138" s="104" t="n">
        <f aca="false">MIN(1,MAX(0,(Assumptions!P$96-Project_Register!$AJ$10+1)/(Project_Register!$AK$10-Project_Register!$AJ$10+1)))</f>
        <v>0.777777777777778</v>
      </c>
      <c r="Q138" s="104" t="n">
        <f aca="false">MIN(1,MAX(0,(Assumptions!Q$96-Project_Register!$AJ$10+1)/(Project_Register!$AK$10-Project_Register!$AJ$10+1)))</f>
        <v>0.888888888888889</v>
      </c>
      <c r="R138" s="104" t="n">
        <f aca="false">MIN(1,MAX(0,(Assumptions!R$96-Project_Register!$AJ$10+1)/(Project_Register!$AK$10-Project_Register!$AJ$10+1)))</f>
        <v>1</v>
      </c>
      <c r="S138" s="104" t="n">
        <f aca="false">MIN(1,MAX(0,(Assumptions!S$96-Project_Register!$AJ$10+1)/(Project_Register!$AK$10-Project_Register!$AJ$10+1)))</f>
        <v>1</v>
      </c>
      <c r="T138" s="104" t="n">
        <f aca="false">MIN(1,MAX(0,(Assumptions!T$96-Project_Register!$AJ$10+1)/(Project_Register!$AK$10-Project_Register!$AJ$10+1)))</f>
        <v>1</v>
      </c>
      <c r="U138" s="104" t="n">
        <f aca="false">MIN(1,MAX(0,(Assumptions!U$96-Project_Register!$AJ$10+1)/(Project_Register!$AK$10-Project_Register!$AJ$10+1)))</f>
        <v>1</v>
      </c>
      <c r="V138" s="104" t="n">
        <f aca="false">MIN(1,MAX(0,(Assumptions!V$96-Project_Register!$AJ$10+1)/(Project_Register!$AK$10-Project_Register!$AJ$10+1)))</f>
        <v>1</v>
      </c>
      <c r="W138" s="104" t="n">
        <f aca="false">MIN(1,MAX(0,(Assumptions!W$96-Project_Register!$AJ$10+1)/(Project_Register!$AK$10-Project_Register!$AJ$10+1)))</f>
        <v>1</v>
      </c>
      <c r="X138" s="104" t="n">
        <f aca="false">MIN(1,MAX(0,(Assumptions!X$96-Project_Register!$AJ$10+1)/(Project_Register!$AK$10-Project_Register!$AJ$10+1)))</f>
        <v>1</v>
      </c>
      <c r="Y138" s="104" t="n">
        <f aca="false">MIN(1,MAX(0,(Assumptions!Y$96-Project_Register!$AJ$10+1)/(Project_Register!$AK$10-Project_Register!$AJ$10+1)))</f>
        <v>1</v>
      </c>
      <c r="Z138" s="104" t="n">
        <f aca="false">MIN(1,MAX(0,(Assumptions!Z$96-Project_Register!$AJ$10+1)/(Project_Register!$AK$10-Project_Register!$AJ$10+1)))</f>
        <v>1</v>
      </c>
      <c r="AA138" s="104" t="n">
        <f aca="false">MIN(1,MAX(0,(Assumptions!AA$96-Project_Register!$AJ$10+1)/(Project_Register!$AK$10-Project_Register!$AJ$10+1)))</f>
        <v>1</v>
      </c>
      <c r="AB138" s="104" t="n">
        <f aca="false">MIN(1,MAX(0,(Assumptions!AB$96-Project_Register!$AJ$10+1)/(Project_Register!$AK$10-Project_Register!$AJ$10+1)))</f>
        <v>1</v>
      </c>
    </row>
    <row r="139" customFormat="false" ht="15" hidden="false" customHeight="false" outlineLevel="0" collapsed="false">
      <c r="A139" s="27" t="s">
        <v>718</v>
      </c>
      <c r="B139" s="56" t="s">
        <v>719</v>
      </c>
      <c r="E139" s="105" t="n">
        <f aca="false">3*E138^2-2*E138^3</f>
        <v>0</v>
      </c>
      <c r="F139" s="105" t="n">
        <f aca="false">3*F138^2-2*F138^3</f>
        <v>0</v>
      </c>
      <c r="G139" s="105" t="n">
        <f aca="false">3*G138^2-2*G138^3</f>
        <v>0</v>
      </c>
      <c r="H139" s="105" t="n">
        <f aca="false">3*H138^2-2*H138^3</f>
        <v>0</v>
      </c>
      <c r="I139" s="105" t="n">
        <f aca="false">3*I138^2-2*I138^3</f>
        <v>0</v>
      </c>
      <c r="J139" s="105" t="n">
        <f aca="false">3*J138^2-2*J138^3</f>
        <v>0.0342935528120713</v>
      </c>
      <c r="K139" s="105" t="n">
        <f aca="false">3*K138^2-2*K138^3</f>
        <v>0.126200274348423</v>
      </c>
      <c r="L139" s="105" t="n">
        <f aca="false">3*L138^2-2*L138^3</f>
        <v>0.259259259259259</v>
      </c>
      <c r="M139" s="105" t="n">
        <f aca="false">3*M138^2-2*M138^3</f>
        <v>0.417009602194787</v>
      </c>
      <c r="N139" s="105" t="n">
        <f aca="false">3*N138^2-2*N138^3</f>
        <v>0.582990397805213</v>
      </c>
      <c r="O139" s="105" t="n">
        <f aca="false">3*O138^2-2*O138^3</f>
        <v>0.740740740740741</v>
      </c>
      <c r="P139" s="105" t="n">
        <f aca="false">3*P138^2-2*P138^3</f>
        <v>0.873799725651578</v>
      </c>
      <c r="Q139" s="105" t="n">
        <f aca="false">3*Q138^2-2*Q138^3</f>
        <v>0.965706447187929</v>
      </c>
      <c r="R139" s="105" t="n">
        <f aca="false">3*R138^2-2*R138^3</f>
        <v>1</v>
      </c>
      <c r="S139" s="105" t="n">
        <f aca="false">3*S138^2-2*S138^3</f>
        <v>1</v>
      </c>
      <c r="T139" s="105" t="n">
        <f aca="false">3*T138^2-2*T138^3</f>
        <v>1</v>
      </c>
      <c r="U139" s="105" t="n">
        <f aca="false">3*U138^2-2*U138^3</f>
        <v>1</v>
      </c>
      <c r="V139" s="105" t="n">
        <f aca="false">3*V138^2-2*V138^3</f>
        <v>1</v>
      </c>
      <c r="W139" s="105" t="n">
        <f aca="false">3*W138^2-2*W138^3</f>
        <v>1</v>
      </c>
      <c r="X139" s="105" t="n">
        <f aca="false">3*X138^2-2*X138^3</f>
        <v>1</v>
      </c>
      <c r="Y139" s="105" t="n">
        <f aca="false">3*Y138^2-2*Y138^3</f>
        <v>1</v>
      </c>
      <c r="Z139" s="105" t="n">
        <f aca="false">3*Z138^2-2*Z138^3</f>
        <v>1</v>
      </c>
      <c r="AA139" s="105" t="n">
        <f aca="false">3*AA138^2-2*AA138^3</f>
        <v>1</v>
      </c>
      <c r="AB139" s="105" t="n">
        <f aca="false">3*AB138^2-2*AB138^3</f>
        <v>1</v>
      </c>
    </row>
    <row r="140" customFormat="false" ht="15" hidden="false" customHeight="false" outlineLevel="0" collapsed="false">
      <c r="A140" s="27" t="s">
        <v>720</v>
      </c>
      <c r="B140" s="56"/>
      <c r="E140" s="104" t="n">
        <f aca="false">3*MIN(1,MAX(0,(Assumptions!E$96-Project_Register!$AJ$10)/(Project_Register!$AK$10-Project_Register!$AJ$10+1)))^2-2*MIN(1,MAX(0,(Assumptions!E$96-Project_Register!$AJ$10)/(Project_Register!$AK$10-Project_Register!$AJ$10+1)))^3</f>
        <v>0</v>
      </c>
      <c r="F140" s="104" t="n">
        <f aca="false">3*MIN(1,MAX(0,(Assumptions!F$96-Project_Register!$AJ$10)/(Project_Register!$AK$10-Project_Register!$AJ$10+1)))^2-2*MIN(1,MAX(0,(Assumptions!F$96-Project_Register!$AJ$10)/(Project_Register!$AK$10-Project_Register!$AJ$10+1)))^3</f>
        <v>0</v>
      </c>
      <c r="G140" s="104" t="n">
        <f aca="false">3*MIN(1,MAX(0,(Assumptions!G$96-Project_Register!$AJ$10)/(Project_Register!$AK$10-Project_Register!$AJ$10+1)))^2-2*MIN(1,MAX(0,(Assumptions!G$96-Project_Register!$AJ$10)/(Project_Register!$AK$10-Project_Register!$AJ$10+1)))^3</f>
        <v>0</v>
      </c>
      <c r="H140" s="104" t="n">
        <f aca="false">3*MIN(1,MAX(0,(Assumptions!H$96-Project_Register!$AJ$10)/(Project_Register!$AK$10-Project_Register!$AJ$10+1)))^2-2*MIN(1,MAX(0,(Assumptions!H$96-Project_Register!$AJ$10)/(Project_Register!$AK$10-Project_Register!$AJ$10+1)))^3</f>
        <v>0</v>
      </c>
      <c r="I140" s="104" t="n">
        <f aca="false">3*MIN(1,MAX(0,(Assumptions!I$96-Project_Register!$AJ$10)/(Project_Register!$AK$10-Project_Register!$AJ$10+1)))^2-2*MIN(1,MAX(0,(Assumptions!I$96-Project_Register!$AJ$10)/(Project_Register!$AK$10-Project_Register!$AJ$10+1)))^3</f>
        <v>0</v>
      </c>
      <c r="J140" s="104" t="n">
        <f aca="false">3*MIN(1,MAX(0,(Assumptions!J$96-Project_Register!$AJ$10)/(Project_Register!$AK$10-Project_Register!$AJ$10+1)))^2-2*MIN(1,MAX(0,(Assumptions!J$96-Project_Register!$AJ$10)/(Project_Register!$AK$10-Project_Register!$AJ$10+1)))^3</f>
        <v>0</v>
      </c>
      <c r="K140" s="104" t="n">
        <f aca="false">3*MIN(1,MAX(0,(Assumptions!K$96-Project_Register!$AJ$10)/(Project_Register!$AK$10-Project_Register!$AJ$10+1)))^2-2*MIN(1,MAX(0,(Assumptions!K$96-Project_Register!$AJ$10)/(Project_Register!$AK$10-Project_Register!$AJ$10+1)))^3</f>
        <v>0.0342935528120713</v>
      </c>
      <c r="L140" s="104" t="n">
        <f aca="false">3*MIN(1,MAX(0,(Assumptions!L$96-Project_Register!$AJ$10)/(Project_Register!$AK$10-Project_Register!$AJ$10+1)))^2-2*MIN(1,MAX(0,(Assumptions!L$96-Project_Register!$AJ$10)/(Project_Register!$AK$10-Project_Register!$AJ$10+1)))^3</f>
        <v>0.126200274348423</v>
      </c>
      <c r="M140" s="104" t="n">
        <f aca="false">3*MIN(1,MAX(0,(Assumptions!M$96-Project_Register!$AJ$10)/(Project_Register!$AK$10-Project_Register!$AJ$10+1)))^2-2*MIN(1,MAX(0,(Assumptions!M$96-Project_Register!$AJ$10)/(Project_Register!$AK$10-Project_Register!$AJ$10+1)))^3</f>
        <v>0.259259259259259</v>
      </c>
      <c r="N140" s="104" t="n">
        <f aca="false">3*MIN(1,MAX(0,(Assumptions!N$96-Project_Register!$AJ$10)/(Project_Register!$AK$10-Project_Register!$AJ$10+1)))^2-2*MIN(1,MAX(0,(Assumptions!N$96-Project_Register!$AJ$10)/(Project_Register!$AK$10-Project_Register!$AJ$10+1)))^3</f>
        <v>0.417009602194787</v>
      </c>
      <c r="O140" s="104" t="n">
        <f aca="false">3*MIN(1,MAX(0,(Assumptions!O$96-Project_Register!$AJ$10)/(Project_Register!$AK$10-Project_Register!$AJ$10+1)))^2-2*MIN(1,MAX(0,(Assumptions!O$96-Project_Register!$AJ$10)/(Project_Register!$AK$10-Project_Register!$AJ$10+1)))^3</f>
        <v>0.582990397805213</v>
      </c>
      <c r="P140" s="104" t="n">
        <f aca="false">3*MIN(1,MAX(0,(Assumptions!P$96-Project_Register!$AJ$10)/(Project_Register!$AK$10-Project_Register!$AJ$10+1)))^2-2*MIN(1,MAX(0,(Assumptions!P$96-Project_Register!$AJ$10)/(Project_Register!$AK$10-Project_Register!$AJ$10+1)))^3</f>
        <v>0.740740740740741</v>
      </c>
      <c r="Q140" s="104" t="n">
        <f aca="false">3*MIN(1,MAX(0,(Assumptions!Q$96-Project_Register!$AJ$10)/(Project_Register!$AK$10-Project_Register!$AJ$10+1)))^2-2*MIN(1,MAX(0,(Assumptions!Q$96-Project_Register!$AJ$10)/(Project_Register!$AK$10-Project_Register!$AJ$10+1)))^3</f>
        <v>0.873799725651578</v>
      </c>
      <c r="R140" s="104" t="n">
        <f aca="false">3*MIN(1,MAX(0,(Assumptions!R$96-Project_Register!$AJ$10)/(Project_Register!$AK$10-Project_Register!$AJ$10+1)))^2-2*MIN(1,MAX(0,(Assumptions!R$96-Project_Register!$AJ$10)/(Project_Register!$AK$10-Project_Register!$AJ$10+1)))^3</f>
        <v>0.965706447187929</v>
      </c>
      <c r="S140" s="104" t="n">
        <f aca="false">3*MIN(1,MAX(0,(Assumptions!S$96-Project_Register!$AJ$10)/(Project_Register!$AK$10-Project_Register!$AJ$10+1)))^2-2*MIN(1,MAX(0,(Assumptions!S$96-Project_Register!$AJ$10)/(Project_Register!$AK$10-Project_Register!$AJ$10+1)))^3</f>
        <v>1</v>
      </c>
      <c r="T140" s="104" t="n">
        <f aca="false">3*MIN(1,MAX(0,(Assumptions!T$96-Project_Register!$AJ$10)/(Project_Register!$AK$10-Project_Register!$AJ$10+1)))^2-2*MIN(1,MAX(0,(Assumptions!T$96-Project_Register!$AJ$10)/(Project_Register!$AK$10-Project_Register!$AJ$10+1)))^3</f>
        <v>1</v>
      </c>
      <c r="U140" s="104" t="n">
        <f aca="false">3*MIN(1,MAX(0,(Assumptions!U$96-Project_Register!$AJ$10)/(Project_Register!$AK$10-Project_Register!$AJ$10+1)))^2-2*MIN(1,MAX(0,(Assumptions!U$96-Project_Register!$AJ$10)/(Project_Register!$AK$10-Project_Register!$AJ$10+1)))^3</f>
        <v>1</v>
      </c>
      <c r="V140" s="104" t="n">
        <f aca="false">3*MIN(1,MAX(0,(Assumptions!V$96-Project_Register!$AJ$10)/(Project_Register!$AK$10-Project_Register!$AJ$10+1)))^2-2*MIN(1,MAX(0,(Assumptions!V$96-Project_Register!$AJ$10)/(Project_Register!$AK$10-Project_Register!$AJ$10+1)))^3</f>
        <v>1</v>
      </c>
      <c r="W140" s="104" t="n">
        <f aca="false">3*MIN(1,MAX(0,(Assumptions!W$96-Project_Register!$AJ$10)/(Project_Register!$AK$10-Project_Register!$AJ$10+1)))^2-2*MIN(1,MAX(0,(Assumptions!W$96-Project_Register!$AJ$10)/(Project_Register!$AK$10-Project_Register!$AJ$10+1)))^3</f>
        <v>1</v>
      </c>
      <c r="X140" s="104" t="n">
        <f aca="false">3*MIN(1,MAX(0,(Assumptions!X$96-Project_Register!$AJ$10)/(Project_Register!$AK$10-Project_Register!$AJ$10+1)))^2-2*MIN(1,MAX(0,(Assumptions!X$96-Project_Register!$AJ$10)/(Project_Register!$AK$10-Project_Register!$AJ$10+1)))^3</f>
        <v>1</v>
      </c>
      <c r="Y140" s="104" t="n">
        <f aca="false">3*MIN(1,MAX(0,(Assumptions!Y$96-Project_Register!$AJ$10)/(Project_Register!$AK$10-Project_Register!$AJ$10+1)))^2-2*MIN(1,MAX(0,(Assumptions!Y$96-Project_Register!$AJ$10)/(Project_Register!$AK$10-Project_Register!$AJ$10+1)))^3</f>
        <v>1</v>
      </c>
      <c r="Z140" s="104" t="n">
        <f aca="false">3*MIN(1,MAX(0,(Assumptions!Z$96-Project_Register!$AJ$10)/(Project_Register!$AK$10-Project_Register!$AJ$10+1)))^2-2*MIN(1,MAX(0,(Assumptions!Z$96-Project_Register!$AJ$10)/(Project_Register!$AK$10-Project_Register!$AJ$10+1)))^3</f>
        <v>1</v>
      </c>
      <c r="AA140" s="104" t="n">
        <f aca="false">3*MIN(1,MAX(0,(Assumptions!AA$96-Project_Register!$AJ$10)/(Project_Register!$AK$10-Project_Register!$AJ$10+1)))^2-2*MIN(1,MAX(0,(Assumptions!AA$96-Project_Register!$AJ$10)/(Project_Register!$AK$10-Project_Register!$AJ$10+1)))^3</f>
        <v>1</v>
      </c>
      <c r="AB140" s="104" t="n">
        <f aca="false">3*MIN(1,MAX(0,(Assumptions!AB$96-Project_Register!$AJ$10)/(Project_Register!$AK$10-Project_Register!$AJ$10+1)))^2-2*MIN(1,MAX(0,(Assumptions!AB$96-Project_Register!$AJ$10)/(Project_Register!$AK$10-Project_Register!$AJ$10+1)))^3</f>
        <v>1</v>
      </c>
    </row>
    <row r="141" customFormat="false" ht="15" hidden="false" customHeight="false" outlineLevel="0" collapsed="false">
      <c r="A141" s="27" t="s">
        <v>721</v>
      </c>
      <c r="B141" s="56" t="s">
        <v>722</v>
      </c>
      <c r="C141" s="57" t="n">
        <f aca="false">SUM(E141:P141)</f>
        <v>115625.248468148</v>
      </c>
      <c r="D141" s="57" t="n">
        <f aca="false">SUM(Q141:AB141)</f>
        <v>16654.1251318519</v>
      </c>
      <c r="E141" s="58" t="n">
        <f aca="false">IF(E$5="A",Inputs_Actuals!E36,IF((Project_Register!$AT$10-Project_Register!$AQ$10)&lt;=0,0,IF(1-Project_Register!$AV$10&lt;=0.000001,IF(Assumptions!E$96=Assumptions!$C$10+1,(Project_Register!$AT$10-Project_Register!$AQ$10),0),(Project_Register!$AT$10-Project_Register!$AQ$10)*(E139-E140)/(1-Project_Register!$AV$10)))*Project_Register!$X$10)</f>
        <v>0</v>
      </c>
      <c r="F141" s="58" t="n">
        <f aca="false">IF(F$5="A",Inputs_Actuals!F36,IF((Project_Register!$AT$10-Project_Register!$AQ$10)&lt;=0,0,IF(1-Project_Register!$AV$10&lt;=0.000001,IF(Assumptions!F$96=Assumptions!$C$10+1,(Project_Register!$AT$10-Project_Register!$AQ$10),0),(Project_Register!$AT$10-Project_Register!$AQ$10)*(F139-F140)/(1-Project_Register!$AV$10)))*Project_Register!$X$10)</f>
        <v>0</v>
      </c>
      <c r="G141" s="58" t="n">
        <f aca="false">IF(G$5="A",Inputs_Actuals!G36,IF((Project_Register!$AT$10-Project_Register!$AQ$10)&lt;=0,0,IF(1-Project_Register!$AV$10&lt;=0.000001,IF(Assumptions!G$96=Assumptions!$C$10+1,(Project_Register!$AT$10-Project_Register!$AQ$10),0),(Project_Register!$AT$10-Project_Register!$AQ$10)*(G139-G140)/(1-Project_Register!$AV$10)))*Project_Register!$X$10)</f>
        <v>0</v>
      </c>
      <c r="H141" s="58" t="n">
        <f aca="false">IF(H$5="A",Inputs_Actuals!H36,IF((Project_Register!$AT$10-Project_Register!$AQ$10)&lt;=0,0,IF(1-Project_Register!$AV$10&lt;=0.000001,IF(Assumptions!H$96=Assumptions!$C$10+1,(Project_Register!$AT$10-Project_Register!$AQ$10),0),(Project_Register!$AT$10-Project_Register!$AQ$10)*(H139-H140)/(1-Project_Register!$AV$10)))*Project_Register!$X$10)</f>
        <v>0</v>
      </c>
      <c r="I141" s="58" t="n">
        <f aca="false">IF(I$5="A",Inputs_Actuals!I36,IF((Project_Register!$AT$10-Project_Register!$AQ$10)&lt;=0,0,IF(1-Project_Register!$AV$10&lt;=0.000001,IF(Assumptions!I$96=Assumptions!$C$10+1,(Project_Register!$AT$10-Project_Register!$AQ$10),0),(Project_Register!$AT$10-Project_Register!$AQ$10)*(I139-I140)/(1-Project_Register!$AV$10)))*Project_Register!$X$10)</f>
        <v>0</v>
      </c>
      <c r="J141" s="58" t="n">
        <f aca="false">IF(J$5="A",Inputs_Actuals!J36,IF((Project_Register!$AT$10-Project_Register!$AQ$10)&lt;=0,0,IF(1-Project_Register!$AV$10&lt;=0.000001,IF(Assumptions!J$96=Assumptions!$C$10+1,(Project_Register!$AT$10-Project_Register!$AQ$10),0),(Project_Register!$AT$10-Project_Register!$AQ$10)*(J139-J140)/(1-Project_Register!$AV$10)))*Project_Register!$X$10)</f>
        <v>3938.24</v>
      </c>
      <c r="K141" s="58" t="n">
        <f aca="false">IF(K$5="A",Inputs_Actuals!K36,IF((Project_Register!$AT$10-Project_Register!$AQ$10)&lt;=0,0,IF(1-Project_Register!$AV$10&lt;=0.000001,IF(Assumptions!K$96=Assumptions!$C$10+1,(Project_Register!$AT$10-Project_Register!$AQ$10),0),(Project_Register!$AT$10-Project_Register!$AQ$10)*(K139-K140)/(1-Project_Register!$AV$10)))*Project_Register!$X$10)</f>
        <v>12971.66</v>
      </c>
      <c r="L141" s="58" t="n">
        <f aca="false">IF(L$5="A",Inputs_Actuals!L36,IF((Project_Register!$AT$10-Project_Register!$AQ$10)&lt;=0,0,IF(1-Project_Register!$AV$10&lt;=0.000001,IF(Assumptions!L$96=Assumptions!$C$10+1,(Project_Register!$AT$10-Project_Register!$AQ$10),0),(Project_Register!$AT$10-Project_Register!$AQ$10)*(L139-L140)/(1-Project_Register!$AV$10)))*Project_Register!$X$10)</f>
        <v>17617</v>
      </c>
      <c r="M141" s="58" t="n">
        <f aca="false">IF(M$5="A",Inputs_Actuals!M36,IF((Project_Register!$AT$10-Project_Register!$AQ$10)&lt;=0,0,IF(1-Project_Register!$AV$10&lt;=0.000001,IF(Assumptions!M$96=Assumptions!$C$10+1,(Project_Register!$AT$10-Project_Register!$AQ$10),0),(Project_Register!$AT$10-Project_Register!$AQ$10)*(M139-M140)/(1-Project_Register!$AV$10)))*Project_Register!$X$10)</f>
        <v>20817.6564148148</v>
      </c>
      <c r="N141" s="58" t="n">
        <f aca="false">IF(N$5="A",Inputs_Actuals!N36,IF((Project_Register!$AT$10-Project_Register!$AQ$10)&lt;=0,0,IF(1-Project_Register!$AV$10&lt;=0.000001,IF(Assumptions!N$96=Assumptions!$C$10+1,(Project_Register!$AT$10-Project_Register!$AQ$10),0),(Project_Register!$AT$10-Project_Register!$AQ$10)*(N139-N140)/(1-Project_Register!$AV$10)))*Project_Register!$X$10)</f>
        <v>21903.7950103704</v>
      </c>
      <c r="O141" s="58" t="n">
        <f aca="false">IF(O$5="A",Inputs_Actuals!O36,IF((Project_Register!$AT$10-Project_Register!$AQ$10)&lt;=0,0,IF(1-Project_Register!$AV$10&lt;=0.000001,IF(Assumptions!O$96=Assumptions!$C$10+1,(Project_Register!$AT$10-Project_Register!$AQ$10),0),(Project_Register!$AT$10-Project_Register!$AQ$10)*(O139-O140)/(1-Project_Register!$AV$10)))*Project_Register!$X$10)</f>
        <v>20817.6564148148</v>
      </c>
      <c r="P141" s="58" t="n">
        <f aca="false">IF(P$5="A",Inputs_Actuals!P36,IF((Project_Register!$AT$10-Project_Register!$AQ$10)&lt;=0,0,IF(1-Project_Register!$AV$10&lt;=0.000001,IF(Assumptions!P$96=Assumptions!$C$10+1,(Project_Register!$AT$10-Project_Register!$AQ$10),0),(Project_Register!$AT$10-Project_Register!$AQ$10)*(P139-P140)/(1-Project_Register!$AV$10)))*Project_Register!$X$10)</f>
        <v>17559.2406281481</v>
      </c>
      <c r="Q141" s="58" t="n">
        <f aca="false">IF(Q$5="A",Inputs_Actuals!Q36,IF((Project_Register!$AT$10-Project_Register!$AQ$10)&lt;=0,0,IF(1-Project_Register!$AV$10&lt;=0.000001,IF(Assumptions!Q$96=Assumptions!$C$10+1,(Project_Register!$AT$10-Project_Register!$AQ$10),0),(Project_Register!$AT$10-Project_Register!$AQ$10)*(Q139-Q140)/(1-Project_Register!$AV$10)))*Project_Register!$X$10)</f>
        <v>12128.5476503704</v>
      </c>
      <c r="R141" s="58" t="n">
        <f aca="false">IF(R$5="A",Inputs_Actuals!R36,IF((Project_Register!$AT$10-Project_Register!$AQ$10)&lt;=0,0,IF(1-Project_Register!$AV$10&lt;=0.000001,IF(Assumptions!R$96=Assumptions!$C$10+1,(Project_Register!$AT$10-Project_Register!$AQ$10),0),(Project_Register!$AT$10-Project_Register!$AQ$10)*(R139-R140)/(1-Project_Register!$AV$10)))*Project_Register!$X$10)</f>
        <v>4525.57748148146</v>
      </c>
      <c r="S141" s="58" t="n">
        <f aca="false">IF(S$5="A",Inputs_Actuals!S36,IF((Project_Register!$AT$10-Project_Register!$AQ$10)&lt;=0,0,IF(1-Project_Register!$AV$10&lt;=0.000001,IF(Assumptions!S$96=Assumptions!$C$10+1,(Project_Register!$AT$10-Project_Register!$AQ$10),0),(Project_Register!$AT$10-Project_Register!$AQ$10)*(S139-S140)/(1-Project_Register!$AV$10)))*Project_Register!$X$10)</f>
        <v>0</v>
      </c>
      <c r="T141" s="58" t="n">
        <f aca="false">IF(T$5="A",Inputs_Actuals!T36,IF((Project_Register!$AT$10-Project_Register!$AQ$10)&lt;=0,0,IF(1-Project_Register!$AV$10&lt;=0.000001,IF(Assumptions!T$96=Assumptions!$C$10+1,(Project_Register!$AT$10-Project_Register!$AQ$10),0),(Project_Register!$AT$10-Project_Register!$AQ$10)*(T139-T140)/(1-Project_Register!$AV$10)))*Project_Register!$X$10)</f>
        <v>0</v>
      </c>
      <c r="U141" s="58" t="n">
        <f aca="false">IF(U$5="A",Inputs_Actuals!U36,IF((Project_Register!$AT$10-Project_Register!$AQ$10)&lt;=0,0,IF(1-Project_Register!$AV$10&lt;=0.000001,IF(Assumptions!U$96=Assumptions!$C$10+1,(Project_Register!$AT$10-Project_Register!$AQ$10),0),(Project_Register!$AT$10-Project_Register!$AQ$10)*(U139-U140)/(1-Project_Register!$AV$10)))*Project_Register!$X$10)</f>
        <v>0</v>
      </c>
      <c r="V141" s="58" t="n">
        <f aca="false">IF(V$5="A",Inputs_Actuals!V36,IF((Project_Register!$AT$10-Project_Register!$AQ$10)&lt;=0,0,IF(1-Project_Register!$AV$10&lt;=0.000001,IF(Assumptions!V$96=Assumptions!$C$10+1,(Project_Register!$AT$10-Project_Register!$AQ$10),0),(Project_Register!$AT$10-Project_Register!$AQ$10)*(V139-V140)/(1-Project_Register!$AV$10)))*Project_Register!$X$10)</f>
        <v>0</v>
      </c>
      <c r="W141" s="58" t="n">
        <f aca="false">IF(W$5="A",Inputs_Actuals!W36,IF((Project_Register!$AT$10-Project_Register!$AQ$10)&lt;=0,0,IF(1-Project_Register!$AV$10&lt;=0.000001,IF(Assumptions!W$96=Assumptions!$C$10+1,(Project_Register!$AT$10-Project_Register!$AQ$10),0),(Project_Register!$AT$10-Project_Register!$AQ$10)*(W139-W140)/(1-Project_Register!$AV$10)))*Project_Register!$X$10)</f>
        <v>0</v>
      </c>
      <c r="X141" s="58" t="n">
        <f aca="false">IF(X$5="A",Inputs_Actuals!X36,IF((Project_Register!$AT$10-Project_Register!$AQ$10)&lt;=0,0,IF(1-Project_Register!$AV$10&lt;=0.000001,IF(Assumptions!X$96=Assumptions!$C$10+1,(Project_Register!$AT$10-Project_Register!$AQ$10),0),(Project_Register!$AT$10-Project_Register!$AQ$10)*(X139-X140)/(1-Project_Register!$AV$10)))*Project_Register!$X$10)</f>
        <v>0</v>
      </c>
      <c r="Y141" s="58" t="n">
        <f aca="false">IF(Y$5="A",Inputs_Actuals!Y36,IF((Project_Register!$AT$10-Project_Register!$AQ$10)&lt;=0,0,IF(1-Project_Register!$AV$10&lt;=0.000001,IF(Assumptions!Y$96=Assumptions!$C$10+1,(Project_Register!$AT$10-Project_Register!$AQ$10),0),(Project_Register!$AT$10-Project_Register!$AQ$10)*(Y139-Y140)/(1-Project_Register!$AV$10)))*Project_Register!$X$10)</f>
        <v>0</v>
      </c>
      <c r="Z141" s="58" t="n">
        <f aca="false">IF(Z$5="A",Inputs_Actuals!Z36,IF((Project_Register!$AT$10-Project_Register!$AQ$10)&lt;=0,0,IF(1-Project_Register!$AV$10&lt;=0.000001,IF(Assumptions!Z$96=Assumptions!$C$10+1,(Project_Register!$AT$10-Project_Register!$AQ$10),0),(Project_Register!$AT$10-Project_Register!$AQ$10)*(Z139-Z140)/(1-Project_Register!$AV$10)))*Project_Register!$X$10)</f>
        <v>0</v>
      </c>
      <c r="AA141" s="58" t="n">
        <f aca="false">IF(AA$5="A",Inputs_Actuals!AA36,IF((Project_Register!$AT$10-Project_Register!$AQ$10)&lt;=0,0,IF(1-Project_Register!$AV$10&lt;=0.000001,IF(Assumptions!AA$96=Assumptions!$C$10+1,(Project_Register!$AT$10-Project_Register!$AQ$10),0),(Project_Register!$AT$10-Project_Register!$AQ$10)*(AA139-AA140)/(1-Project_Register!$AV$10)))*Project_Register!$X$10)</f>
        <v>0</v>
      </c>
      <c r="AB141" s="58" t="n">
        <f aca="false">IF(AB$5="A",Inputs_Actuals!AB36,IF((Project_Register!$AT$10-Project_Register!$AQ$10)&lt;=0,0,IF(1-Project_Register!$AV$10&lt;=0.000001,IF(Assumptions!AB$96=Assumptions!$C$10+1,(Project_Register!$AT$10-Project_Register!$AQ$10),0),(Project_Register!$AT$10-Project_Register!$AQ$10)*(AB139-AB140)/(1-Project_Register!$AV$10)))*Project_Register!$X$10)</f>
        <v>0</v>
      </c>
    </row>
    <row r="142" customFormat="false" ht="15" hidden="false" customHeight="false" outlineLevel="0" collapsed="false">
      <c r="A142" s="27" t="s">
        <v>723</v>
      </c>
      <c r="B142" s="56" t="s">
        <v>722</v>
      </c>
      <c r="C142" s="57" t="n">
        <f aca="false">SUM(E142:P142)</f>
        <v>353677.018962963</v>
      </c>
      <c r="D142" s="57" t="n">
        <f aca="false">SUM(Q142:AB142)</f>
        <v>52044.141037037</v>
      </c>
      <c r="E142" s="58" t="n">
        <f aca="false">IF(E$5="A",Inputs_Actuals!E37,IF((Project_Register!$AT$10-Project_Register!$AQ$10)&lt;=0,0,IF(1-Project_Register!$AV$10&lt;=0.000001,IF(Assumptions!E$96=Assumptions!$C$10+1,(Project_Register!$AT$10-Project_Register!$AQ$10),0),(Project_Register!$AT$10-Project_Register!$AQ$10)*(E139-E140)/(1-Project_Register!$AV$10)))*Project_Register!$Y$10)</f>
        <v>0</v>
      </c>
      <c r="F142" s="58" t="n">
        <f aca="false">IF(F$5="A",Inputs_Actuals!F37,IF((Project_Register!$AT$10-Project_Register!$AQ$10)&lt;=0,0,IF(1-Project_Register!$AV$10&lt;=0.000001,IF(Assumptions!F$96=Assumptions!$C$10+1,(Project_Register!$AT$10-Project_Register!$AQ$10),0),(Project_Register!$AT$10-Project_Register!$AQ$10)*(F139-F140)/(1-Project_Register!$AV$10)))*Project_Register!$Y$10)</f>
        <v>0</v>
      </c>
      <c r="G142" s="58" t="n">
        <f aca="false">IF(G$5="A",Inputs_Actuals!G37,IF((Project_Register!$AT$10-Project_Register!$AQ$10)&lt;=0,0,IF(1-Project_Register!$AV$10&lt;=0.000001,IF(Assumptions!G$96=Assumptions!$C$10+1,(Project_Register!$AT$10-Project_Register!$AQ$10),0),(Project_Register!$AT$10-Project_Register!$AQ$10)*(G139-G140)/(1-Project_Register!$AV$10)))*Project_Register!$Y$10)</f>
        <v>0</v>
      </c>
      <c r="H142" s="58" t="n">
        <f aca="false">IF(H$5="A",Inputs_Actuals!H37,IF((Project_Register!$AT$10-Project_Register!$AQ$10)&lt;=0,0,IF(1-Project_Register!$AV$10&lt;=0.000001,IF(Assumptions!H$96=Assumptions!$C$10+1,(Project_Register!$AT$10-Project_Register!$AQ$10),0),(Project_Register!$AT$10-Project_Register!$AQ$10)*(H139-H140)/(1-Project_Register!$AV$10)))*Project_Register!$Y$10)</f>
        <v>0</v>
      </c>
      <c r="I142" s="58" t="n">
        <f aca="false">IF(I$5="A",Inputs_Actuals!I37,IF((Project_Register!$AT$10-Project_Register!$AQ$10)&lt;=0,0,IF(1-Project_Register!$AV$10&lt;=0.000001,IF(Assumptions!I$96=Assumptions!$C$10+1,(Project_Register!$AT$10-Project_Register!$AQ$10),0),(Project_Register!$AT$10-Project_Register!$AQ$10)*(I139-I140)/(1-Project_Register!$AV$10)))*Project_Register!$Y$10)</f>
        <v>0</v>
      </c>
      <c r="J142" s="58" t="n">
        <f aca="false">IF(J$5="A",Inputs_Actuals!J37,IF((Project_Register!$AT$10-Project_Register!$AQ$10)&lt;=0,0,IF(1-Project_Register!$AV$10&lt;=0.000001,IF(Assumptions!J$96=Assumptions!$C$10+1,(Project_Register!$AT$10-Project_Register!$AQ$10),0),(Project_Register!$AT$10-Project_Register!$AQ$10)*(J139-J140)/(1-Project_Register!$AV$10)))*Project_Register!$Y$10)</f>
        <v>13677.06</v>
      </c>
      <c r="K142" s="58" t="n">
        <f aca="false">IF(K$5="A",Inputs_Actuals!K37,IF((Project_Register!$AT$10-Project_Register!$AQ$10)&lt;=0,0,IF(1-Project_Register!$AV$10&lt;=0.000001,IF(Assumptions!K$96=Assumptions!$C$10+1,(Project_Register!$AT$10-Project_Register!$AQ$10),0),(Project_Register!$AT$10-Project_Register!$AQ$10)*(K139-K140)/(1-Project_Register!$AV$10)))*Project_Register!$Y$10)</f>
        <v>35197.37</v>
      </c>
      <c r="L142" s="58" t="n">
        <f aca="false">IF(L$5="A",Inputs_Actuals!L37,IF((Project_Register!$AT$10-Project_Register!$AQ$10)&lt;=0,0,IF(1-Project_Register!$AV$10&lt;=0.000001,IF(Assumptions!L$96=Assumptions!$C$10+1,(Project_Register!$AT$10-Project_Register!$AQ$10),0),(Project_Register!$AT$10-Project_Register!$AQ$10)*(L139-L140)/(1-Project_Register!$AV$10)))*Project_Register!$Y$10)</f>
        <v>51370.25</v>
      </c>
      <c r="M142" s="58" t="n">
        <f aca="false">IF(M$5="A",Inputs_Actuals!M37,IF((Project_Register!$AT$10-Project_Register!$AQ$10)&lt;=0,0,IF(1-Project_Register!$AV$10&lt;=0.000001,IF(Assumptions!M$96=Assumptions!$C$10+1,(Project_Register!$AT$10-Project_Register!$AQ$10),0),(Project_Register!$AT$10-Project_Register!$AQ$10)*(M139-M140)/(1-Project_Register!$AV$10)))*Project_Register!$Y$10)</f>
        <v>65055.1762962963</v>
      </c>
      <c r="N142" s="58" t="n">
        <f aca="false">IF(N$5="A",Inputs_Actuals!N37,IF((Project_Register!$AT$10-Project_Register!$AQ$10)&lt;=0,0,IF(1-Project_Register!$AV$10&lt;=0.000001,IF(Assumptions!N$96=Assumptions!$C$10+1,(Project_Register!$AT$10-Project_Register!$AQ$10),0),(Project_Register!$AT$10-Project_Register!$AQ$10)*(N139-N140)/(1-Project_Register!$AV$10)))*Project_Register!$Y$10)</f>
        <v>68449.3594074074</v>
      </c>
      <c r="O142" s="58" t="n">
        <f aca="false">IF(O$5="A",Inputs_Actuals!O37,IF((Project_Register!$AT$10-Project_Register!$AQ$10)&lt;=0,0,IF(1-Project_Register!$AV$10&lt;=0.000001,IF(Assumptions!O$96=Assumptions!$C$10+1,(Project_Register!$AT$10-Project_Register!$AQ$10),0),(Project_Register!$AT$10-Project_Register!$AQ$10)*(O139-O140)/(1-Project_Register!$AV$10)))*Project_Register!$Y$10)</f>
        <v>65055.1762962963</v>
      </c>
      <c r="P142" s="58" t="n">
        <f aca="false">IF(P$5="A",Inputs_Actuals!P37,IF((Project_Register!$AT$10-Project_Register!$AQ$10)&lt;=0,0,IF(1-Project_Register!$AV$10&lt;=0.000001,IF(Assumptions!P$96=Assumptions!$C$10+1,(Project_Register!$AT$10-Project_Register!$AQ$10),0),(Project_Register!$AT$10-Project_Register!$AQ$10)*(P139-P140)/(1-Project_Register!$AV$10)))*Project_Register!$Y$10)</f>
        <v>54872.6269629629</v>
      </c>
      <c r="Q142" s="58" t="n">
        <f aca="false">IF(Q$5="A",Inputs_Actuals!Q37,IF((Project_Register!$AT$10-Project_Register!$AQ$10)&lt;=0,0,IF(1-Project_Register!$AV$10&lt;=0.000001,IF(Assumptions!Q$96=Assumptions!$C$10+1,(Project_Register!$AT$10-Project_Register!$AQ$10),0),(Project_Register!$AT$10-Project_Register!$AQ$10)*(Q139-Q140)/(1-Project_Register!$AV$10)))*Project_Register!$Y$10)</f>
        <v>37901.7114074075</v>
      </c>
      <c r="R142" s="58" t="n">
        <f aca="false">IF(R$5="A",Inputs_Actuals!R37,IF((Project_Register!$AT$10-Project_Register!$AQ$10)&lt;=0,0,IF(1-Project_Register!$AV$10&lt;=0.000001,IF(Assumptions!R$96=Assumptions!$C$10+1,(Project_Register!$AT$10-Project_Register!$AQ$10),0),(Project_Register!$AT$10-Project_Register!$AQ$10)*(R139-R140)/(1-Project_Register!$AV$10)))*Project_Register!$Y$10)</f>
        <v>14142.4296296296</v>
      </c>
      <c r="S142" s="58" t="n">
        <f aca="false">IF(S$5="A",Inputs_Actuals!S37,IF((Project_Register!$AT$10-Project_Register!$AQ$10)&lt;=0,0,IF(1-Project_Register!$AV$10&lt;=0.000001,IF(Assumptions!S$96=Assumptions!$C$10+1,(Project_Register!$AT$10-Project_Register!$AQ$10),0),(Project_Register!$AT$10-Project_Register!$AQ$10)*(S139-S140)/(1-Project_Register!$AV$10)))*Project_Register!$Y$10)</f>
        <v>0</v>
      </c>
      <c r="T142" s="58" t="n">
        <f aca="false">IF(T$5="A",Inputs_Actuals!T37,IF((Project_Register!$AT$10-Project_Register!$AQ$10)&lt;=0,0,IF(1-Project_Register!$AV$10&lt;=0.000001,IF(Assumptions!T$96=Assumptions!$C$10+1,(Project_Register!$AT$10-Project_Register!$AQ$10),0),(Project_Register!$AT$10-Project_Register!$AQ$10)*(T139-T140)/(1-Project_Register!$AV$10)))*Project_Register!$Y$10)</f>
        <v>0</v>
      </c>
      <c r="U142" s="58" t="n">
        <f aca="false">IF(U$5="A",Inputs_Actuals!U37,IF((Project_Register!$AT$10-Project_Register!$AQ$10)&lt;=0,0,IF(1-Project_Register!$AV$10&lt;=0.000001,IF(Assumptions!U$96=Assumptions!$C$10+1,(Project_Register!$AT$10-Project_Register!$AQ$10),0),(Project_Register!$AT$10-Project_Register!$AQ$10)*(U139-U140)/(1-Project_Register!$AV$10)))*Project_Register!$Y$10)</f>
        <v>0</v>
      </c>
      <c r="V142" s="58" t="n">
        <f aca="false">IF(V$5="A",Inputs_Actuals!V37,IF((Project_Register!$AT$10-Project_Register!$AQ$10)&lt;=0,0,IF(1-Project_Register!$AV$10&lt;=0.000001,IF(Assumptions!V$96=Assumptions!$C$10+1,(Project_Register!$AT$10-Project_Register!$AQ$10),0),(Project_Register!$AT$10-Project_Register!$AQ$10)*(V139-V140)/(1-Project_Register!$AV$10)))*Project_Register!$Y$10)</f>
        <v>0</v>
      </c>
      <c r="W142" s="58" t="n">
        <f aca="false">IF(W$5="A",Inputs_Actuals!W37,IF((Project_Register!$AT$10-Project_Register!$AQ$10)&lt;=0,0,IF(1-Project_Register!$AV$10&lt;=0.000001,IF(Assumptions!W$96=Assumptions!$C$10+1,(Project_Register!$AT$10-Project_Register!$AQ$10),0),(Project_Register!$AT$10-Project_Register!$AQ$10)*(W139-W140)/(1-Project_Register!$AV$10)))*Project_Register!$Y$10)</f>
        <v>0</v>
      </c>
      <c r="X142" s="58" t="n">
        <f aca="false">IF(X$5="A",Inputs_Actuals!X37,IF((Project_Register!$AT$10-Project_Register!$AQ$10)&lt;=0,0,IF(1-Project_Register!$AV$10&lt;=0.000001,IF(Assumptions!X$96=Assumptions!$C$10+1,(Project_Register!$AT$10-Project_Register!$AQ$10),0),(Project_Register!$AT$10-Project_Register!$AQ$10)*(X139-X140)/(1-Project_Register!$AV$10)))*Project_Register!$Y$10)</f>
        <v>0</v>
      </c>
      <c r="Y142" s="58" t="n">
        <f aca="false">IF(Y$5="A",Inputs_Actuals!Y37,IF((Project_Register!$AT$10-Project_Register!$AQ$10)&lt;=0,0,IF(1-Project_Register!$AV$10&lt;=0.000001,IF(Assumptions!Y$96=Assumptions!$C$10+1,(Project_Register!$AT$10-Project_Register!$AQ$10),0),(Project_Register!$AT$10-Project_Register!$AQ$10)*(Y139-Y140)/(1-Project_Register!$AV$10)))*Project_Register!$Y$10)</f>
        <v>0</v>
      </c>
      <c r="Z142" s="58" t="n">
        <f aca="false">IF(Z$5="A",Inputs_Actuals!Z37,IF((Project_Register!$AT$10-Project_Register!$AQ$10)&lt;=0,0,IF(1-Project_Register!$AV$10&lt;=0.000001,IF(Assumptions!Z$96=Assumptions!$C$10+1,(Project_Register!$AT$10-Project_Register!$AQ$10),0),(Project_Register!$AT$10-Project_Register!$AQ$10)*(Z139-Z140)/(1-Project_Register!$AV$10)))*Project_Register!$Y$10)</f>
        <v>0</v>
      </c>
      <c r="AA142" s="58" t="n">
        <f aca="false">IF(AA$5="A",Inputs_Actuals!AA37,IF((Project_Register!$AT$10-Project_Register!$AQ$10)&lt;=0,0,IF(1-Project_Register!$AV$10&lt;=0.000001,IF(Assumptions!AA$96=Assumptions!$C$10+1,(Project_Register!$AT$10-Project_Register!$AQ$10),0),(Project_Register!$AT$10-Project_Register!$AQ$10)*(AA139-AA140)/(1-Project_Register!$AV$10)))*Project_Register!$Y$10)</f>
        <v>0</v>
      </c>
      <c r="AB142" s="58" t="n">
        <f aca="false">IF(AB$5="A",Inputs_Actuals!AB37,IF((Project_Register!$AT$10-Project_Register!$AQ$10)&lt;=0,0,IF(1-Project_Register!$AV$10&lt;=0.000001,IF(Assumptions!AB$96=Assumptions!$C$10+1,(Project_Register!$AT$10-Project_Register!$AQ$10),0),(Project_Register!$AT$10-Project_Register!$AQ$10)*(AB139-AB140)/(1-Project_Register!$AV$10)))*Project_Register!$Y$10)</f>
        <v>0</v>
      </c>
    </row>
    <row r="143" customFormat="false" ht="15" hidden="false" customHeight="false" outlineLevel="0" collapsed="false">
      <c r="A143" s="27" t="s">
        <v>724</v>
      </c>
      <c r="B143" s="56" t="s">
        <v>722</v>
      </c>
      <c r="C143" s="57" t="n">
        <f aca="false">SUM(E143:P143)</f>
        <v>172994.682702222</v>
      </c>
      <c r="D143" s="57" t="n">
        <f aca="false">SUM(Q143:AB143)</f>
        <v>24981.1876977778</v>
      </c>
      <c r="E143" s="58" t="n">
        <f aca="false">IF(E$5="A",Inputs_Actuals!E38,IF((Project_Register!$AT$10-Project_Register!$AQ$10)&lt;=0,0,IF(1-Project_Register!$AV$10&lt;=0.000001,IF(Assumptions!E$96=Assumptions!$C$10+1,(Project_Register!$AT$10-Project_Register!$AQ$10),0),(Project_Register!$AT$10-Project_Register!$AQ$10)*(E139-E140)/(1-Project_Register!$AV$10)))*Project_Register!$Z$10)</f>
        <v>0</v>
      </c>
      <c r="F143" s="58" t="n">
        <f aca="false">IF(F$5="A",Inputs_Actuals!F38,IF((Project_Register!$AT$10-Project_Register!$AQ$10)&lt;=0,0,IF(1-Project_Register!$AV$10&lt;=0.000001,IF(Assumptions!F$96=Assumptions!$C$10+1,(Project_Register!$AT$10-Project_Register!$AQ$10),0),(Project_Register!$AT$10-Project_Register!$AQ$10)*(F139-F140)/(1-Project_Register!$AV$10)))*Project_Register!$Z$10)</f>
        <v>0</v>
      </c>
      <c r="G143" s="58" t="n">
        <f aca="false">IF(G$5="A",Inputs_Actuals!G38,IF((Project_Register!$AT$10-Project_Register!$AQ$10)&lt;=0,0,IF(1-Project_Register!$AV$10&lt;=0.000001,IF(Assumptions!G$96=Assumptions!$C$10+1,(Project_Register!$AT$10-Project_Register!$AQ$10),0),(Project_Register!$AT$10-Project_Register!$AQ$10)*(G139-G140)/(1-Project_Register!$AV$10)))*Project_Register!$Z$10)</f>
        <v>0</v>
      </c>
      <c r="H143" s="58" t="n">
        <f aca="false">IF(H$5="A",Inputs_Actuals!H38,IF((Project_Register!$AT$10-Project_Register!$AQ$10)&lt;=0,0,IF(1-Project_Register!$AV$10&lt;=0.000001,IF(Assumptions!H$96=Assumptions!$C$10+1,(Project_Register!$AT$10-Project_Register!$AQ$10),0),(Project_Register!$AT$10-Project_Register!$AQ$10)*(H139-H140)/(1-Project_Register!$AV$10)))*Project_Register!$Z$10)</f>
        <v>0</v>
      </c>
      <c r="I143" s="58" t="n">
        <f aca="false">IF(I$5="A",Inputs_Actuals!I38,IF((Project_Register!$AT$10-Project_Register!$AQ$10)&lt;=0,0,IF(1-Project_Register!$AV$10&lt;=0.000001,IF(Assumptions!I$96=Assumptions!$C$10+1,(Project_Register!$AT$10-Project_Register!$AQ$10),0),(Project_Register!$AT$10-Project_Register!$AQ$10)*(I139-I140)/(1-Project_Register!$AV$10)))*Project_Register!$Z$10)</f>
        <v>0</v>
      </c>
      <c r="J143" s="58" t="n">
        <f aca="false">IF(J$5="A",Inputs_Actuals!J38,IF((Project_Register!$AT$10-Project_Register!$AQ$10)&lt;=0,0,IF(1-Project_Register!$AV$10&lt;=0.000001,IF(Assumptions!J$96=Assumptions!$C$10+1,(Project_Register!$AT$10-Project_Register!$AQ$10),0),(Project_Register!$AT$10-Project_Register!$AQ$10)*(J139-J140)/(1-Project_Register!$AV$10)))*Project_Register!$Z$10)</f>
        <v>5956.3</v>
      </c>
      <c r="K143" s="58" t="n">
        <f aca="false">IF(K$5="A",Inputs_Actuals!K38,IF((Project_Register!$AT$10-Project_Register!$AQ$10)&lt;=0,0,IF(1-Project_Register!$AV$10&lt;=0.000001,IF(Assumptions!K$96=Assumptions!$C$10+1,(Project_Register!$AT$10-Project_Register!$AQ$10),0),(Project_Register!$AT$10-Project_Register!$AQ$10)*(K139-K140)/(1-Project_Register!$AV$10)))*Project_Register!$Z$10)</f>
        <v>20397.19</v>
      </c>
      <c r="L143" s="58" t="n">
        <f aca="false">IF(L$5="A",Inputs_Actuals!L38,IF((Project_Register!$AT$10-Project_Register!$AQ$10)&lt;=0,0,IF(1-Project_Register!$AV$10&lt;=0.000001,IF(Assumptions!L$96=Assumptions!$C$10+1,(Project_Register!$AT$10-Project_Register!$AQ$10),0),(Project_Register!$AT$10-Project_Register!$AQ$10)*(L139-L140)/(1-Project_Register!$AV$10)))*Project_Register!$Z$10)</f>
        <v>24993.67</v>
      </c>
      <c r="M143" s="58" t="n">
        <f aca="false">IF(M$5="A",Inputs_Actuals!M38,IF((Project_Register!$AT$10-Project_Register!$AQ$10)&lt;=0,0,IF(1-Project_Register!$AV$10&lt;=0.000001,IF(Assumptions!M$96=Assumptions!$C$10+1,(Project_Register!$AT$10-Project_Register!$AQ$10),0),(Project_Register!$AT$10-Project_Register!$AQ$10)*(M139-M140)/(1-Project_Register!$AV$10)))*Project_Register!$Z$10)</f>
        <v>31226.4846222222</v>
      </c>
      <c r="N143" s="58" t="n">
        <f aca="false">IF(N$5="A",Inputs_Actuals!N38,IF((Project_Register!$AT$10-Project_Register!$AQ$10)&lt;=0,0,IF(1-Project_Register!$AV$10&lt;=0.000001,IF(Assumptions!N$96=Assumptions!$C$10+1,(Project_Register!$AT$10-Project_Register!$AQ$10),0),(Project_Register!$AT$10-Project_Register!$AQ$10)*(N139-N140)/(1-Project_Register!$AV$10)))*Project_Register!$Z$10)</f>
        <v>32855.6925155556</v>
      </c>
      <c r="O143" s="58" t="n">
        <f aca="false">IF(O$5="A",Inputs_Actuals!O38,IF((Project_Register!$AT$10-Project_Register!$AQ$10)&lt;=0,0,IF(1-Project_Register!$AV$10&lt;=0.000001,IF(Assumptions!O$96=Assumptions!$C$10+1,(Project_Register!$AT$10-Project_Register!$AQ$10),0),(Project_Register!$AT$10-Project_Register!$AQ$10)*(O139-O140)/(1-Project_Register!$AV$10)))*Project_Register!$Z$10)</f>
        <v>31226.4846222222</v>
      </c>
      <c r="P143" s="58" t="n">
        <f aca="false">IF(P$5="A",Inputs_Actuals!P38,IF((Project_Register!$AT$10-Project_Register!$AQ$10)&lt;=0,0,IF(1-Project_Register!$AV$10&lt;=0.000001,IF(Assumptions!P$96=Assumptions!$C$10+1,(Project_Register!$AT$10-Project_Register!$AQ$10),0),(Project_Register!$AT$10-Project_Register!$AQ$10)*(P139-P140)/(1-Project_Register!$AV$10)))*Project_Register!$Z$10)</f>
        <v>26338.8609422222</v>
      </c>
      <c r="Q143" s="58" t="n">
        <f aca="false">IF(Q$5="A",Inputs_Actuals!Q38,IF((Project_Register!$AT$10-Project_Register!$AQ$10)&lt;=0,0,IF(1-Project_Register!$AV$10&lt;=0.000001,IF(Assumptions!Q$96=Assumptions!$C$10+1,(Project_Register!$AT$10-Project_Register!$AQ$10),0),(Project_Register!$AT$10-Project_Register!$AQ$10)*(Q139-Q140)/(1-Project_Register!$AV$10)))*Project_Register!$Z$10)</f>
        <v>18192.8214755556</v>
      </c>
      <c r="R143" s="58" t="n">
        <f aca="false">IF(R$5="A",Inputs_Actuals!R38,IF((Project_Register!$AT$10-Project_Register!$AQ$10)&lt;=0,0,IF(1-Project_Register!$AV$10&lt;=0.000001,IF(Assumptions!R$96=Assumptions!$C$10+1,(Project_Register!$AT$10-Project_Register!$AQ$10),0),(Project_Register!$AT$10-Project_Register!$AQ$10)*(R139-R140)/(1-Project_Register!$AV$10)))*Project_Register!$Z$10)</f>
        <v>6788.36622222218</v>
      </c>
      <c r="S143" s="58" t="n">
        <f aca="false">IF(S$5="A",Inputs_Actuals!S38,IF((Project_Register!$AT$10-Project_Register!$AQ$10)&lt;=0,0,IF(1-Project_Register!$AV$10&lt;=0.000001,IF(Assumptions!S$96=Assumptions!$C$10+1,(Project_Register!$AT$10-Project_Register!$AQ$10),0),(Project_Register!$AT$10-Project_Register!$AQ$10)*(S139-S140)/(1-Project_Register!$AV$10)))*Project_Register!$Z$10)</f>
        <v>0</v>
      </c>
      <c r="T143" s="58" t="n">
        <f aca="false">IF(T$5="A",Inputs_Actuals!T38,IF((Project_Register!$AT$10-Project_Register!$AQ$10)&lt;=0,0,IF(1-Project_Register!$AV$10&lt;=0.000001,IF(Assumptions!T$96=Assumptions!$C$10+1,(Project_Register!$AT$10-Project_Register!$AQ$10),0),(Project_Register!$AT$10-Project_Register!$AQ$10)*(T139-T140)/(1-Project_Register!$AV$10)))*Project_Register!$Z$10)</f>
        <v>0</v>
      </c>
      <c r="U143" s="58" t="n">
        <f aca="false">IF(U$5="A",Inputs_Actuals!U38,IF((Project_Register!$AT$10-Project_Register!$AQ$10)&lt;=0,0,IF(1-Project_Register!$AV$10&lt;=0.000001,IF(Assumptions!U$96=Assumptions!$C$10+1,(Project_Register!$AT$10-Project_Register!$AQ$10),0),(Project_Register!$AT$10-Project_Register!$AQ$10)*(U139-U140)/(1-Project_Register!$AV$10)))*Project_Register!$Z$10)</f>
        <v>0</v>
      </c>
      <c r="V143" s="58" t="n">
        <f aca="false">IF(V$5="A",Inputs_Actuals!V38,IF((Project_Register!$AT$10-Project_Register!$AQ$10)&lt;=0,0,IF(1-Project_Register!$AV$10&lt;=0.000001,IF(Assumptions!V$96=Assumptions!$C$10+1,(Project_Register!$AT$10-Project_Register!$AQ$10),0),(Project_Register!$AT$10-Project_Register!$AQ$10)*(V139-V140)/(1-Project_Register!$AV$10)))*Project_Register!$Z$10)</f>
        <v>0</v>
      </c>
      <c r="W143" s="58" t="n">
        <f aca="false">IF(W$5="A",Inputs_Actuals!W38,IF((Project_Register!$AT$10-Project_Register!$AQ$10)&lt;=0,0,IF(1-Project_Register!$AV$10&lt;=0.000001,IF(Assumptions!W$96=Assumptions!$C$10+1,(Project_Register!$AT$10-Project_Register!$AQ$10),0),(Project_Register!$AT$10-Project_Register!$AQ$10)*(W139-W140)/(1-Project_Register!$AV$10)))*Project_Register!$Z$10)</f>
        <v>0</v>
      </c>
      <c r="X143" s="58" t="n">
        <f aca="false">IF(X$5="A",Inputs_Actuals!X38,IF((Project_Register!$AT$10-Project_Register!$AQ$10)&lt;=0,0,IF(1-Project_Register!$AV$10&lt;=0.000001,IF(Assumptions!X$96=Assumptions!$C$10+1,(Project_Register!$AT$10-Project_Register!$AQ$10),0),(Project_Register!$AT$10-Project_Register!$AQ$10)*(X139-X140)/(1-Project_Register!$AV$10)))*Project_Register!$Z$10)</f>
        <v>0</v>
      </c>
      <c r="Y143" s="58" t="n">
        <f aca="false">IF(Y$5="A",Inputs_Actuals!Y38,IF((Project_Register!$AT$10-Project_Register!$AQ$10)&lt;=0,0,IF(1-Project_Register!$AV$10&lt;=0.000001,IF(Assumptions!Y$96=Assumptions!$C$10+1,(Project_Register!$AT$10-Project_Register!$AQ$10),0),(Project_Register!$AT$10-Project_Register!$AQ$10)*(Y139-Y140)/(1-Project_Register!$AV$10)))*Project_Register!$Z$10)</f>
        <v>0</v>
      </c>
      <c r="Z143" s="58" t="n">
        <f aca="false">IF(Z$5="A",Inputs_Actuals!Z38,IF((Project_Register!$AT$10-Project_Register!$AQ$10)&lt;=0,0,IF(1-Project_Register!$AV$10&lt;=0.000001,IF(Assumptions!Z$96=Assumptions!$C$10+1,(Project_Register!$AT$10-Project_Register!$AQ$10),0),(Project_Register!$AT$10-Project_Register!$AQ$10)*(Z139-Z140)/(1-Project_Register!$AV$10)))*Project_Register!$Z$10)</f>
        <v>0</v>
      </c>
      <c r="AA143" s="58" t="n">
        <f aca="false">IF(AA$5="A",Inputs_Actuals!AA38,IF((Project_Register!$AT$10-Project_Register!$AQ$10)&lt;=0,0,IF(1-Project_Register!$AV$10&lt;=0.000001,IF(Assumptions!AA$96=Assumptions!$C$10+1,(Project_Register!$AT$10-Project_Register!$AQ$10),0),(Project_Register!$AT$10-Project_Register!$AQ$10)*(AA139-AA140)/(1-Project_Register!$AV$10)))*Project_Register!$Z$10)</f>
        <v>0</v>
      </c>
      <c r="AB143" s="58" t="n">
        <f aca="false">IF(AB$5="A",Inputs_Actuals!AB38,IF((Project_Register!$AT$10-Project_Register!$AQ$10)&lt;=0,0,IF(1-Project_Register!$AV$10&lt;=0.000001,IF(Assumptions!AB$96=Assumptions!$C$10+1,(Project_Register!$AT$10-Project_Register!$AQ$10),0),(Project_Register!$AT$10-Project_Register!$AQ$10)*(AB139-AB140)/(1-Project_Register!$AV$10)))*Project_Register!$Z$10)</f>
        <v>0</v>
      </c>
    </row>
    <row r="144" customFormat="false" ht="15" hidden="false" customHeight="false" outlineLevel="0" collapsed="false">
      <c r="A144" s="27" t="s">
        <v>725</v>
      </c>
      <c r="B144" s="56" t="s">
        <v>722</v>
      </c>
      <c r="C144" s="57" t="n">
        <f aca="false">SUM(E144:P144)</f>
        <v>21570.3203377778</v>
      </c>
      <c r="D144" s="57" t="n">
        <f aca="false">SUM(Q144:AB144)</f>
        <v>3122.64846222222</v>
      </c>
      <c r="E144" s="58" t="n">
        <f aca="false">IF(E$5="A",Inputs_Actuals!E39,IF((Project_Register!$AT$10-Project_Register!$AQ$10)&lt;=0,0,IF(1-Project_Register!$AV$10&lt;=0.000001,IF(Assumptions!E$96=Assumptions!$C$10+1,(Project_Register!$AT$10-Project_Register!$AQ$10),0),(Project_Register!$AT$10-Project_Register!$AQ$10)*(E139-E140)/(1-Project_Register!$AV$10)))*Project_Register!$AA$10)</f>
        <v>0</v>
      </c>
      <c r="F144" s="58" t="n">
        <f aca="false">IF(F$5="A",Inputs_Actuals!F39,IF((Project_Register!$AT$10-Project_Register!$AQ$10)&lt;=0,0,IF(1-Project_Register!$AV$10&lt;=0.000001,IF(Assumptions!F$96=Assumptions!$C$10+1,(Project_Register!$AT$10-Project_Register!$AQ$10),0),(Project_Register!$AT$10-Project_Register!$AQ$10)*(F139-F140)/(1-Project_Register!$AV$10)))*Project_Register!$AA$10)</f>
        <v>0</v>
      </c>
      <c r="G144" s="58" t="n">
        <f aca="false">IF(G$5="A",Inputs_Actuals!G39,IF((Project_Register!$AT$10-Project_Register!$AQ$10)&lt;=0,0,IF(1-Project_Register!$AV$10&lt;=0.000001,IF(Assumptions!G$96=Assumptions!$C$10+1,(Project_Register!$AT$10-Project_Register!$AQ$10),0),(Project_Register!$AT$10-Project_Register!$AQ$10)*(G139-G140)/(1-Project_Register!$AV$10)))*Project_Register!$AA$10)</f>
        <v>0</v>
      </c>
      <c r="H144" s="58" t="n">
        <f aca="false">IF(H$5="A",Inputs_Actuals!H39,IF((Project_Register!$AT$10-Project_Register!$AQ$10)&lt;=0,0,IF(1-Project_Register!$AV$10&lt;=0.000001,IF(Assumptions!H$96=Assumptions!$C$10+1,(Project_Register!$AT$10-Project_Register!$AQ$10),0),(Project_Register!$AT$10-Project_Register!$AQ$10)*(H139-H140)/(1-Project_Register!$AV$10)))*Project_Register!$AA$10)</f>
        <v>0</v>
      </c>
      <c r="I144" s="58" t="n">
        <f aca="false">IF(I$5="A",Inputs_Actuals!I39,IF((Project_Register!$AT$10-Project_Register!$AQ$10)&lt;=0,0,IF(1-Project_Register!$AV$10&lt;=0.000001,IF(Assumptions!I$96=Assumptions!$C$10+1,(Project_Register!$AT$10-Project_Register!$AQ$10),0),(Project_Register!$AT$10-Project_Register!$AQ$10)*(I139-I140)/(1-Project_Register!$AV$10)))*Project_Register!$AA$10)</f>
        <v>0</v>
      </c>
      <c r="J144" s="58" t="n">
        <f aca="false">IF(J$5="A",Inputs_Actuals!J39,IF((Project_Register!$AT$10-Project_Register!$AQ$10)&lt;=0,0,IF(1-Project_Register!$AV$10&lt;=0.000001,IF(Assumptions!J$96=Assumptions!$C$10+1,(Project_Register!$AT$10-Project_Register!$AQ$10),0),(Project_Register!$AT$10-Project_Register!$AQ$10)*(J139-J140)/(1-Project_Register!$AV$10)))*Project_Register!$AA$10)</f>
        <v>766.17</v>
      </c>
      <c r="K144" s="58" t="n">
        <f aca="false">IF(K$5="A",Inputs_Actuals!K39,IF((Project_Register!$AT$10-Project_Register!$AQ$10)&lt;=0,0,IF(1-Project_Register!$AV$10&lt;=0.000001,IF(Assumptions!K$96=Assumptions!$C$10+1,(Project_Register!$AT$10-Project_Register!$AQ$10),0),(Project_Register!$AT$10-Project_Register!$AQ$10)*(K139-K140)/(1-Project_Register!$AV$10)))*Project_Register!$AA$10)</f>
        <v>2359.28</v>
      </c>
      <c r="L144" s="58" t="n">
        <f aca="false">IF(L$5="A",Inputs_Actuals!L39,IF((Project_Register!$AT$10-Project_Register!$AQ$10)&lt;=0,0,IF(1-Project_Register!$AV$10&lt;=0.000001,IF(Assumptions!L$96=Assumptions!$C$10+1,(Project_Register!$AT$10-Project_Register!$AQ$10),0),(Project_Register!$AT$10-Project_Register!$AQ$10)*(L139-L140)/(1-Project_Register!$AV$10)))*Project_Register!$AA$10)</f>
        <v>3238.93</v>
      </c>
      <c r="M144" s="58" t="n">
        <f aca="false">IF(M$5="A",Inputs_Actuals!M39,IF((Project_Register!$AT$10-Project_Register!$AQ$10)&lt;=0,0,IF(1-Project_Register!$AV$10&lt;=0.000001,IF(Assumptions!M$96=Assumptions!$C$10+1,(Project_Register!$AT$10-Project_Register!$AQ$10),0),(Project_Register!$AT$10-Project_Register!$AQ$10)*(M139-M140)/(1-Project_Register!$AV$10)))*Project_Register!$AA$10)</f>
        <v>3903.31057777778</v>
      </c>
      <c r="N144" s="58" t="n">
        <f aca="false">IF(N$5="A",Inputs_Actuals!N39,IF((Project_Register!$AT$10-Project_Register!$AQ$10)&lt;=0,0,IF(1-Project_Register!$AV$10&lt;=0.000001,IF(Assumptions!N$96=Assumptions!$C$10+1,(Project_Register!$AT$10-Project_Register!$AQ$10),0),(Project_Register!$AT$10-Project_Register!$AQ$10)*(N139-N140)/(1-Project_Register!$AV$10)))*Project_Register!$AA$10)</f>
        <v>4106.96156444445</v>
      </c>
      <c r="O144" s="58" t="n">
        <f aca="false">IF(O$5="A",Inputs_Actuals!O39,IF((Project_Register!$AT$10-Project_Register!$AQ$10)&lt;=0,0,IF(1-Project_Register!$AV$10&lt;=0.000001,IF(Assumptions!O$96=Assumptions!$C$10+1,(Project_Register!$AT$10-Project_Register!$AQ$10),0),(Project_Register!$AT$10-Project_Register!$AQ$10)*(O139-O140)/(1-Project_Register!$AV$10)))*Project_Register!$AA$10)</f>
        <v>3903.31057777778</v>
      </c>
      <c r="P144" s="58" t="n">
        <f aca="false">IF(P$5="A",Inputs_Actuals!P39,IF((Project_Register!$AT$10-Project_Register!$AQ$10)&lt;=0,0,IF(1-Project_Register!$AV$10&lt;=0.000001,IF(Assumptions!P$96=Assumptions!$C$10+1,(Project_Register!$AT$10-Project_Register!$AQ$10),0),(Project_Register!$AT$10-Project_Register!$AQ$10)*(P139-P140)/(1-Project_Register!$AV$10)))*Project_Register!$AA$10)</f>
        <v>3292.35761777778</v>
      </c>
      <c r="Q144" s="58" t="n">
        <f aca="false">IF(Q$5="A",Inputs_Actuals!Q39,IF((Project_Register!$AT$10-Project_Register!$AQ$10)&lt;=0,0,IF(1-Project_Register!$AV$10&lt;=0.000001,IF(Assumptions!Q$96=Assumptions!$C$10+1,(Project_Register!$AT$10-Project_Register!$AQ$10),0),(Project_Register!$AT$10-Project_Register!$AQ$10)*(Q139-Q140)/(1-Project_Register!$AV$10)))*Project_Register!$AA$10)</f>
        <v>2274.10268444445</v>
      </c>
      <c r="R144" s="58" t="n">
        <f aca="false">IF(R$5="A",Inputs_Actuals!R39,IF((Project_Register!$AT$10-Project_Register!$AQ$10)&lt;=0,0,IF(1-Project_Register!$AV$10&lt;=0.000001,IF(Assumptions!R$96=Assumptions!$C$10+1,(Project_Register!$AT$10-Project_Register!$AQ$10),0),(Project_Register!$AT$10-Project_Register!$AQ$10)*(R139-R140)/(1-Project_Register!$AV$10)))*Project_Register!$AA$10)</f>
        <v>848.545777777773</v>
      </c>
      <c r="S144" s="58" t="n">
        <f aca="false">IF(S$5="A",Inputs_Actuals!S39,IF((Project_Register!$AT$10-Project_Register!$AQ$10)&lt;=0,0,IF(1-Project_Register!$AV$10&lt;=0.000001,IF(Assumptions!S$96=Assumptions!$C$10+1,(Project_Register!$AT$10-Project_Register!$AQ$10),0),(Project_Register!$AT$10-Project_Register!$AQ$10)*(S139-S140)/(1-Project_Register!$AV$10)))*Project_Register!$AA$10)</f>
        <v>0</v>
      </c>
      <c r="T144" s="58" t="n">
        <f aca="false">IF(T$5="A",Inputs_Actuals!T39,IF((Project_Register!$AT$10-Project_Register!$AQ$10)&lt;=0,0,IF(1-Project_Register!$AV$10&lt;=0.000001,IF(Assumptions!T$96=Assumptions!$C$10+1,(Project_Register!$AT$10-Project_Register!$AQ$10),0),(Project_Register!$AT$10-Project_Register!$AQ$10)*(T139-T140)/(1-Project_Register!$AV$10)))*Project_Register!$AA$10)</f>
        <v>0</v>
      </c>
      <c r="U144" s="58" t="n">
        <f aca="false">IF(U$5="A",Inputs_Actuals!U39,IF((Project_Register!$AT$10-Project_Register!$AQ$10)&lt;=0,0,IF(1-Project_Register!$AV$10&lt;=0.000001,IF(Assumptions!U$96=Assumptions!$C$10+1,(Project_Register!$AT$10-Project_Register!$AQ$10),0),(Project_Register!$AT$10-Project_Register!$AQ$10)*(U139-U140)/(1-Project_Register!$AV$10)))*Project_Register!$AA$10)</f>
        <v>0</v>
      </c>
      <c r="V144" s="58" t="n">
        <f aca="false">IF(V$5="A",Inputs_Actuals!V39,IF((Project_Register!$AT$10-Project_Register!$AQ$10)&lt;=0,0,IF(1-Project_Register!$AV$10&lt;=0.000001,IF(Assumptions!V$96=Assumptions!$C$10+1,(Project_Register!$AT$10-Project_Register!$AQ$10),0),(Project_Register!$AT$10-Project_Register!$AQ$10)*(V139-V140)/(1-Project_Register!$AV$10)))*Project_Register!$AA$10)</f>
        <v>0</v>
      </c>
      <c r="W144" s="58" t="n">
        <f aca="false">IF(W$5="A",Inputs_Actuals!W39,IF((Project_Register!$AT$10-Project_Register!$AQ$10)&lt;=0,0,IF(1-Project_Register!$AV$10&lt;=0.000001,IF(Assumptions!W$96=Assumptions!$C$10+1,(Project_Register!$AT$10-Project_Register!$AQ$10),0),(Project_Register!$AT$10-Project_Register!$AQ$10)*(W139-W140)/(1-Project_Register!$AV$10)))*Project_Register!$AA$10)</f>
        <v>0</v>
      </c>
      <c r="X144" s="58" t="n">
        <f aca="false">IF(X$5="A",Inputs_Actuals!X39,IF((Project_Register!$AT$10-Project_Register!$AQ$10)&lt;=0,0,IF(1-Project_Register!$AV$10&lt;=0.000001,IF(Assumptions!X$96=Assumptions!$C$10+1,(Project_Register!$AT$10-Project_Register!$AQ$10),0),(Project_Register!$AT$10-Project_Register!$AQ$10)*(X139-X140)/(1-Project_Register!$AV$10)))*Project_Register!$AA$10)</f>
        <v>0</v>
      </c>
      <c r="Y144" s="58" t="n">
        <f aca="false">IF(Y$5="A",Inputs_Actuals!Y39,IF((Project_Register!$AT$10-Project_Register!$AQ$10)&lt;=0,0,IF(1-Project_Register!$AV$10&lt;=0.000001,IF(Assumptions!Y$96=Assumptions!$C$10+1,(Project_Register!$AT$10-Project_Register!$AQ$10),0),(Project_Register!$AT$10-Project_Register!$AQ$10)*(Y139-Y140)/(1-Project_Register!$AV$10)))*Project_Register!$AA$10)</f>
        <v>0</v>
      </c>
      <c r="Z144" s="58" t="n">
        <f aca="false">IF(Z$5="A",Inputs_Actuals!Z39,IF((Project_Register!$AT$10-Project_Register!$AQ$10)&lt;=0,0,IF(1-Project_Register!$AV$10&lt;=0.000001,IF(Assumptions!Z$96=Assumptions!$C$10+1,(Project_Register!$AT$10-Project_Register!$AQ$10),0),(Project_Register!$AT$10-Project_Register!$AQ$10)*(Z139-Z140)/(1-Project_Register!$AV$10)))*Project_Register!$AA$10)</f>
        <v>0</v>
      </c>
      <c r="AA144" s="58" t="n">
        <f aca="false">IF(AA$5="A",Inputs_Actuals!AA39,IF((Project_Register!$AT$10-Project_Register!$AQ$10)&lt;=0,0,IF(1-Project_Register!$AV$10&lt;=0.000001,IF(Assumptions!AA$96=Assumptions!$C$10+1,(Project_Register!$AT$10-Project_Register!$AQ$10),0),(Project_Register!$AT$10-Project_Register!$AQ$10)*(AA139-AA140)/(1-Project_Register!$AV$10)))*Project_Register!$AA$10)</f>
        <v>0</v>
      </c>
      <c r="AB144" s="58" t="n">
        <f aca="false">IF(AB$5="A",Inputs_Actuals!AB39,IF((Project_Register!$AT$10-Project_Register!$AQ$10)&lt;=0,0,IF(1-Project_Register!$AV$10&lt;=0.000001,IF(Assumptions!AB$96=Assumptions!$C$10+1,(Project_Register!$AT$10-Project_Register!$AQ$10),0),(Project_Register!$AT$10-Project_Register!$AQ$10)*(AB139-AB140)/(1-Project_Register!$AV$10)))*Project_Register!$AA$10)</f>
        <v>0</v>
      </c>
    </row>
    <row r="145" customFormat="false" ht="15" hidden="false" customHeight="false" outlineLevel="0" collapsed="false">
      <c r="A145" s="27" t="s">
        <v>726</v>
      </c>
      <c r="B145" s="56" t="s">
        <v>722</v>
      </c>
      <c r="C145" s="57" t="n">
        <f aca="false">SUM(E145:P145)</f>
        <v>50044.4474548148</v>
      </c>
      <c r="D145" s="57" t="n">
        <f aca="false">SUM(Q145:AB145)</f>
        <v>7286.17974518518</v>
      </c>
      <c r="E145" s="58" t="n">
        <f aca="false">IF(E$5="A",Inputs_Actuals!E40,IF((Project_Register!$AT$10-Project_Register!$AQ$10)&lt;=0,0,IF(1-Project_Register!$AV$10&lt;=0.000001,IF(Assumptions!E$96=Assumptions!$C$10+1,(Project_Register!$AT$10-Project_Register!$AQ$10),0),(Project_Register!$AT$10-Project_Register!$AQ$10)*(E139-E140)/(1-Project_Register!$AV$10)))*Project_Register!$AB$10)</f>
        <v>0</v>
      </c>
      <c r="F145" s="58" t="n">
        <f aca="false">IF(F$5="A",Inputs_Actuals!F40,IF((Project_Register!$AT$10-Project_Register!$AQ$10)&lt;=0,0,IF(1-Project_Register!$AV$10&lt;=0.000001,IF(Assumptions!F$96=Assumptions!$C$10+1,(Project_Register!$AT$10-Project_Register!$AQ$10),0),(Project_Register!$AT$10-Project_Register!$AQ$10)*(F139-F140)/(1-Project_Register!$AV$10)))*Project_Register!$AB$10)</f>
        <v>0</v>
      </c>
      <c r="G145" s="58" t="n">
        <f aca="false">IF(G$5="A",Inputs_Actuals!G40,IF((Project_Register!$AT$10-Project_Register!$AQ$10)&lt;=0,0,IF(1-Project_Register!$AV$10&lt;=0.000001,IF(Assumptions!G$96=Assumptions!$C$10+1,(Project_Register!$AT$10-Project_Register!$AQ$10),0),(Project_Register!$AT$10-Project_Register!$AQ$10)*(G139-G140)/(1-Project_Register!$AV$10)))*Project_Register!$AB$10)</f>
        <v>0</v>
      </c>
      <c r="H145" s="58" t="n">
        <f aca="false">IF(H$5="A",Inputs_Actuals!H40,IF((Project_Register!$AT$10-Project_Register!$AQ$10)&lt;=0,0,IF(1-Project_Register!$AV$10&lt;=0.000001,IF(Assumptions!H$96=Assumptions!$C$10+1,(Project_Register!$AT$10-Project_Register!$AQ$10),0),(Project_Register!$AT$10-Project_Register!$AQ$10)*(H139-H140)/(1-Project_Register!$AV$10)))*Project_Register!$AB$10)</f>
        <v>0</v>
      </c>
      <c r="I145" s="58" t="n">
        <f aca="false">IF(I$5="A",Inputs_Actuals!I40,IF((Project_Register!$AT$10-Project_Register!$AQ$10)&lt;=0,0,IF(1-Project_Register!$AV$10&lt;=0.000001,IF(Assumptions!I$96=Assumptions!$C$10+1,(Project_Register!$AT$10-Project_Register!$AQ$10),0),(Project_Register!$AT$10-Project_Register!$AQ$10)*(I139-I140)/(1-Project_Register!$AV$10)))*Project_Register!$AB$10)</f>
        <v>0</v>
      </c>
      <c r="J145" s="58" t="n">
        <f aca="false">IF(J$5="A",Inputs_Actuals!J40,IF((Project_Register!$AT$10-Project_Register!$AQ$10)&lt;=0,0,IF(1-Project_Register!$AV$10&lt;=0.000001,IF(Assumptions!J$96=Assumptions!$C$10+1,(Project_Register!$AT$10-Project_Register!$AQ$10),0),(Project_Register!$AT$10-Project_Register!$AQ$10)*(J139-J140)/(1-Project_Register!$AV$10)))*Project_Register!$AB$10)</f>
        <v>1720.39</v>
      </c>
      <c r="K145" s="58" t="n">
        <f aca="false">IF(K$5="A",Inputs_Actuals!K40,IF((Project_Register!$AT$10-Project_Register!$AQ$10)&lt;=0,0,IF(1-Project_Register!$AV$10&lt;=0.000001,IF(Assumptions!K$96=Assumptions!$C$10+1,(Project_Register!$AT$10-Project_Register!$AQ$10),0),(Project_Register!$AT$10-Project_Register!$AQ$10)*(K139-K140)/(1-Project_Register!$AV$10)))*Project_Register!$AB$10)</f>
        <v>5192.47</v>
      </c>
      <c r="L145" s="58" t="n">
        <f aca="false">IF(L$5="A",Inputs_Actuals!L40,IF((Project_Register!$AT$10-Project_Register!$AQ$10)&lt;=0,0,IF(1-Project_Register!$AV$10&lt;=0.000001,IF(Assumptions!L$96=Assumptions!$C$10+1,(Project_Register!$AT$10-Project_Register!$AQ$10),0),(Project_Register!$AT$10-Project_Register!$AQ$10)*(L139-L140)/(1-Project_Register!$AV$10)))*Project_Register!$AB$10)</f>
        <v>7651.06</v>
      </c>
      <c r="M145" s="58" t="n">
        <f aca="false">IF(M$5="A",Inputs_Actuals!M40,IF((Project_Register!$AT$10-Project_Register!$AQ$10)&lt;=0,0,IF(1-Project_Register!$AV$10&lt;=0.000001,IF(Assumptions!M$96=Assumptions!$C$10+1,(Project_Register!$AT$10-Project_Register!$AQ$10),0),(Project_Register!$AT$10-Project_Register!$AQ$10)*(M139-M140)/(1-Project_Register!$AV$10)))*Project_Register!$AB$10)</f>
        <v>9107.72468148148</v>
      </c>
      <c r="N145" s="58" t="n">
        <f aca="false">IF(N$5="A",Inputs_Actuals!N40,IF((Project_Register!$AT$10-Project_Register!$AQ$10)&lt;=0,0,IF(1-Project_Register!$AV$10&lt;=0.000001,IF(Assumptions!N$96=Assumptions!$C$10+1,(Project_Register!$AT$10-Project_Register!$AQ$10),0),(Project_Register!$AT$10-Project_Register!$AQ$10)*(N139-N140)/(1-Project_Register!$AV$10)))*Project_Register!$AB$10)</f>
        <v>9582.91031703704</v>
      </c>
      <c r="O145" s="58" t="n">
        <f aca="false">IF(O$5="A",Inputs_Actuals!O40,IF((Project_Register!$AT$10-Project_Register!$AQ$10)&lt;=0,0,IF(1-Project_Register!$AV$10&lt;=0.000001,IF(Assumptions!O$96=Assumptions!$C$10+1,(Project_Register!$AT$10-Project_Register!$AQ$10),0),(Project_Register!$AT$10-Project_Register!$AQ$10)*(O139-O140)/(1-Project_Register!$AV$10)))*Project_Register!$AB$10)</f>
        <v>9107.72468148148</v>
      </c>
      <c r="P145" s="58" t="n">
        <f aca="false">IF(P$5="A",Inputs_Actuals!P40,IF((Project_Register!$AT$10-Project_Register!$AQ$10)&lt;=0,0,IF(1-Project_Register!$AV$10&lt;=0.000001,IF(Assumptions!P$96=Assumptions!$C$10+1,(Project_Register!$AT$10-Project_Register!$AQ$10),0),(Project_Register!$AT$10-Project_Register!$AQ$10)*(P139-P140)/(1-Project_Register!$AV$10)))*Project_Register!$AB$10)</f>
        <v>7682.16777481481</v>
      </c>
      <c r="Q145" s="58" t="n">
        <f aca="false">IF(Q$5="A",Inputs_Actuals!Q40,IF((Project_Register!$AT$10-Project_Register!$AQ$10)&lt;=0,0,IF(1-Project_Register!$AV$10&lt;=0.000001,IF(Assumptions!Q$96=Assumptions!$C$10+1,(Project_Register!$AT$10-Project_Register!$AQ$10),0),(Project_Register!$AT$10-Project_Register!$AQ$10)*(Q139-Q140)/(1-Project_Register!$AV$10)))*Project_Register!$AB$10)</f>
        <v>5306.23959703705</v>
      </c>
      <c r="R145" s="58" t="n">
        <f aca="false">IF(R$5="A",Inputs_Actuals!R40,IF((Project_Register!$AT$10-Project_Register!$AQ$10)&lt;=0,0,IF(1-Project_Register!$AV$10&lt;=0.000001,IF(Assumptions!R$96=Assumptions!$C$10+1,(Project_Register!$AT$10-Project_Register!$AQ$10),0),(Project_Register!$AT$10-Project_Register!$AQ$10)*(R139-R140)/(1-Project_Register!$AV$10)))*Project_Register!$AB$10)</f>
        <v>1979.94014814814</v>
      </c>
      <c r="S145" s="58" t="n">
        <f aca="false">IF(S$5="A",Inputs_Actuals!S40,IF((Project_Register!$AT$10-Project_Register!$AQ$10)&lt;=0,0,IF(1-Project_Register!$AV$10&lt;=0.000001,IF(Assumptions!S$96=Assumptions!$C$10+1,(Project_Register!$AT$10-Project_Register!$AQ$10),0),(Project_Register!$AT$10-Project_Register!$AQ$10)*(S139-S140)/(1-Project_Register!$AV$10)))*Project_Register!$AB$10)</f>
        <v>0</v>
      </c>
      <c r="T145" s="58" t="n">
        <f aca="false">IF(T$5="A",Inputs_Actuals!T40,IF((Project_Register!$AT$10-Project_Register!$AQ$10)&lt;=0,0,IF(1-Project_Register!$AV$10&lt;=0.000001,IF(Assumptions!T$96=Assumptions!$C$10+1,(Project_Register!$AT$10-Project_Register!$AQ$10),0),(Project_Register!$AT$10-Project_Register!$AQ$10)*(T139-T140)/(1-Project_Register!$AV$10)))*Project_Register!$AB$10)</f>
        <v>0</v>
      </c>
      <c r="U145" s="58" t="n">
        <f aca="false">IF(U$5="A",Inputs_Actuals!U40,IF((Project_Register!$AT$10-Project_Register!$AQ$10)&lt;=0,0,IF(1-Project_Register!$AV$10&lt;=0.000001,IF(Assumptions!U$96=Assumptions!$C$10+1,(Project_Register!$AT$10-Project_Register!$AQ$10),0),(Project_Register!$AT$10-Project_Register!$AQ$10)*(U139-U140)/(1-Project_Register!$AV$10)))*Project_Register!$AB$10)</f>
        <v>0</v>
      </c>
      <c r="V145" s="58" t="n">
        <f aca="false">IF(V$5="A",Inputs_Actuals!V40,IF((Project_Register!$AT$10-Project_Register!$AQ$10)&lt;=0,0,IF(1-Project_Register!$AV$10&lt;=0.000001,IF(Assumptions!V$96=Assumptions!$C$10+1,(Project_Register!$AT$10-Project_Register!$AQ$10),0),(Project_Register!$AT$10-Project_Register!$AQ$10)*(V139-V140)/(1-Project_Register!$AV$10)))*Project_Register!$AB$10)</f>
        <v>0</v>
      </c>
      <c r="W145" s="58" t="n">
        <f aca="false">IF(W$5="A",Inputs_Actuals!W40,IF((Project_Register!$AT$10-Project_Register!$AQ$10)&lt;=0,0,IF(1-Project_Register!$AV$10&lt;=0.000001,IF(Assumptions!W$96=Assumptions!$C$10+1,(Project_Register!$AT$10-Project_Register!$AQ$10),0),(Project_Register!$AT$10-Project_Register!$AQ$10)*(W139-W140)/(1-Project_Register!$AV$10)))*Project_Register!$AB$10)</f>
        <v>0</v>
      </c>
      <c r="X145" s="58" t="n">
        <f aca="false">IF(X$5="A",Inputs_Actuals!X40,IF((Project_Register!$AT$10-Project_Register!$AQ$10)&lt;=0,0,IF(1-Project_Register!$AV$10&lt;=0.000001,IF(Assumptions!X$96=Assumptions!$C$10+1,(Project_Register!$AT$10-Project_Register!$AQ$10),0),(Project_Register!$AT$10-Project_Register!$AQ$10)*(X139-X140)/(1-Project_Register!$AV$10)))*Project_Register!$AB$10)</f>
        <v>0</v>
      </c>
      <c r="Y145" s="58" t="n">
        <f aca="false">IF(Y$5="A",Inputs_Actuals!Y40,IF((Project_Register!$AT$10-Project_Register!$AQ$10)&lt;=0,0,IF(1-Project_Register!$AV$10&lt;=0.000001,IF(Assumptions!Y$96=Assumptions!$C$10+1,(Project_Register!$AT$10-Project_Register!$AQ$10),0),(Project_Register!$AT$10-Project_Register!$AQ$10)*(Y139-Y140)/(1-Project_Register!$AV$10)))*Project_Register!$AB$10)</f>
        <v>0</v>
      </c>
      <c r="Z145" s="58" t="n">
        <f aca="false">IF(Z$5="A",Inputs_Actuals!Z40,IF((Project_Register!$AT$10-Project_Register!$AQ$10)&lt;=0,0,IF(1-Project_Register!$AV$10&lt;=0.000001,IF(Assumptions!Z$96=Assumptions!$C$10+1,(Project_Register!$AT$10-Project_Register!$AQ$10),0),(Project_Register!$AT$10-Project_Register!$AQ$10)*(Z139-Z140)/(1-Project_Register!$AV$10)))*Project_Register!$AB$10)</f>
        <v>0</v>
      </c>
      <c r="AA145" s="58" t="n">
        <f aca="false">IF(AA$5="A",Inputs_Actuals!AA40,IF((Project_Register!$AT$10-Project_Register!$AQ$10)&lt;=0,0,IF(1-Project_Register!$AV$10&lt;=0.000001,IF(Assumptions!AA$96=Assumptions!$C$10+1,(Project_Register!$AT$10-Project_Register!$AQ$10),0),(Project_Register!$AT$10-Project_Register!$AQ$10)*(AA139-AA140)/(1-Project_Register!$AV$10)))*Project_Register!$AB$10)</f>
        <v>0</v>
      </c>
      <c r="AB145" s="58" t="n">
        <f aca="false">IF(AB$5="A",Inputs_Actuals!AB40,IF((Project_Register!$AT$10-Project_Register!$AQ$10)&lt;=0,0,IF(1-Project_Register!$AV$10&lt;=0.000001,IF(Assumptions!AB$96=Assumptions!$C$10+1,(Project_Register!$AT$10-Project_Register!$AQ$10),0),(Project_Register!$AT$10-Project_Register!$AQ$10)*(AB139-AB140)/(1-Project_Register!$AV$10)))*Project_Register!$AB$10)</f>
        <v>0</v>
      </c>
    </row>
    <row r="146" customFormat="false" ht="15" hidden="false" customHeight="false" outlineLevel="0" collapsed="false">
      <c r="A146" s="67" t="s">
        <v>727</v>
      </c>
      <c r="B146" s="68" t="s">
        <v>728</v>
      </c>
      <c r="C146" s="69" t="n">
        <f aca="false">SUM(E146:P146)</f>
        <v>713911.717925926</v>
      </c>
      <c r="D146" s="69" t="n">
        <f aca="false">SUM(Q146:AB146)</f>
        <v>104088.282074074</v>
      </c>
      <c r="E146" s="69" t="n">
        <f aca="false">SUM(E141:E145)</f>
        <v>0</v>
      </c>
      <c r="F146" s="69" t="n">
        <f aca="false">SUM(F141:F145)</f>
        <v>0</v>
      </c>
      <c r="G146" s="69" t="n">
        <f aca="false">SUM(G141:G145)</f>
        <v>0</v>
      </c>
      <c r="H146" s="69" t="n">
        <f aca="false">SUM(H141:H145)</f>
        <v>0</v>
      </c>
      <c r="I146" s="69" t="n">
        <f aca="false">SUM(I141:I145)</f>
        <v>0</v>
      </c>
      <c r="J146" s="69" t="n">
        <f aca="false">SUM(J141:J145)</f>
        <v>26058.16</v>
      </c>
      <c r="K146" s="69" t="n">
        <f aca="false">SUM(K141:K145)</f>
        <v>76117.97</v>
      </c>
      <c r="L146" s="69" t="n">
        <f aca="false">SUM(L141:L145)</f>
        <v>104870.91</v>
      </c>
      <c r="M146" s="69" t="n">
        <f aca="false">SUM(M141:M145)</f>
        <v>130110.352592593</v>
      </c>
      <c r="N146" s="69" t="n">
        <f aca="false">SUM(N141:N145)</f>
        <v>136898.718814815</v>
      </c>
      <c r="O146" s="69" t="n">
        <f aca="false">SUM(O141:O145)</f>
        <v>130110.352592593</v>
      </c>
      <c r="P146" s="69" t="n">
        <f aca="false">SUM(P141:P145)</f>
        <v>109745.253925926</v>
      </c>
      <c r="Q146" s="69" t="n">
        <f aca="false">SUM(Q141:Q145)</f>
        <v>75803.422814815</v>
      </c>
      <c r="R146" s="69" t="n">
        <f aca="false">SUM(R141:R145)</f>
        <v>28284.8592592591</v>
      </c>
      <c r="S146" s="69" t="n">
        <f aca="false">SUM(S141:S145)</f>
        <v>0</v>
      </c>
      <c r="T146" s="69" t="n">
        <f aca="false">SUM(T141:T145)</f>
        <v>0</v>
      </c>
      <c r="U146" s="69" t="n">
        <f aca="false">SUM(U141:U145)</f>
        <v>0</v>
      </c>
      <c r="V146" s="69" t="n">
        <f aca="false">SUM(V141:V145)</f>
        <v>0</v>
      </c>
      <c r="W146" s="69" t="n">
        <f aca="false">SUM(W141:W145)</f>
        <v>0</v>
      </c>
      <c r="X146" s="69" t="n">
        <f aca="false">SUM(X141:X145)</f>
        <v>0</v>
      </c>
      <c r="Y146" s="69" t="n">
        <f aca="false">SUM(Y141:Y145)</f>
        <v>0</v>
      </c>
      <c r="Z146" s="69" t="n">
        <f aca="false">SUM(Z141:Z145)</f>
        <v>0</v>
      </c>
      <c r="AA146" s="69" t="n">
        <f aca="false">SUM(AA141:AA145)</f>
        <v>0</v>
      </c>
      <c r="AB146" s="69" t="n">
        <f aca="false">SUM(AB141:AB145)</f>
        <v>0</v>
      </c>
    </row>
    <row r="147" customFormat="false" ht="15" hidden="false" customHeight="false" outlineLevel="0" collapsed="false">
      <c r="A147" s="27" t="s">
        <v>729</v>
      </c>
      <c r="B147" s="56" t="s">
        <v>730</v>
      </c>
      <c r="C147" s="57" t="n">
        <f aca="false">P147</f>
        <v>713911.717925926</v>
      </c>
      <c r="D147" s="57" t="n">
        <f aca="false">AB147</f>
        <v>818000</v>
      </c>
      <c r="E147" s="58" t="n">
        <f aca="false">Project_Register!$AC$10+E146</f>
        <v>0</v>
      </c>
      <c r="F147" s="70" t="n">
        <f aca="false">E147+F146</f>
        <v>0</v>
      </c>
      <c r="G147" s="70" t="n">
        <f aca="false">F147+G146</f>
        <v>0</v>
      </c>
      <c r="H147" s="70" t="n">
        <f aca="false">G147+H146</f>
        <v>0</v>
      </c>
      <c r="I147" s="70" t="n">
        <f aca="false">H147+I146</f>
        <v>0</v>
      </c>
      <c r="J147" s="70" t="n">
        <f aca="false">I147+J146</f>
        <v>26058.16</v>
      </c>
      <c r="K147" s="70" t="n">
        <f aca="false">J147+K146</f>
        <v>102176.13</v>
      </c>
      <c r="L147" s="70" t="n">
        <f aca="false">K147+L146</f>
        <v>207047.04</v>
      </c>
      <c r="M147" s="70" t="n">
        <f aca="false">L147+M146</f>
        <v>337157.392592593</v>
      </c>
      <c r="N147" s="70" t="n">
        <f aca="false">M147+N146</f>
        <v>474056.111407407</v>
      </c>
      <c r="O147" s="70" t="n">
        <f aca="false">N147+O146</f>
        <v>604166.464</v>
      </c>
      <c r="P147" s="70" t="n">
        <f aca="false">O147+P146</f>
        <v>713911.717925926</v>
      </c>
      <c r="Q147" s="70" t="n">
        <f aca="false">P147+Q146</f>
        <v>789715.140740741</v>
      </c>
      <c r="R147" s="70" t="n">
        <f aca="false">Q147+R146</f>
        <v>818000</v>
      </c>
      <c r="S147" s="70" t="n">
        <f aca="false">R147+S146</f>
        <v>818000</v>
      </c>
      <c r="T147" s="70" t="n">
        <f aca="false">S147+T146</f>
        <v>818000</v>
      </c>
      <c r="U147" s="70" t="n">
        <f aca="false">T147+U146</f>
        <v>818000</v>
      </c>
      <c r="V147" s="70" t="n">
        <f aca="false">U147+V146</f>
        <v>818000</v>
      </c>
      <c r="W147" s="70" t="n">
        <f aca="false">V147+W146</f>
        <v>818000</v>
      </c>
      <c r="X147" s="70" t="n">
        <f aca="false">W147+X146</f>
        <v>818000</v>
      </c>
      <c r="Y147" s="70" t="n">
        <f aca="false">X147+Y146</f>
        <v>818000</v>
      </c>
      <c r="Z147" s="70" t="n">
        <f aca="false">Y147+Z146</f>
        <v>818000</v>
      </c>
      <c r="AA147" s="70" t="n">
        <f aca="false">Z147+AA146</f>
        <v>818000</v>
      </c>
      <c r="AB147" s="70" t="n">
        <f aca="false">AA147+AB146</f>
        <v>818000</v>
      </c>
    </row>
    <row r="148" customFormat="false" ht="15" hidden="false" customHeight="false" outlineLevel="0" collapsed="false">
      <c r="A148" s="27" t="s">
        <v>731</v>
      </c>
      <c r="B148" s="56" t="s">
        <v>732</v>
      </c>
      <c r="C148" s="57" t="n">
        <f aca="false">P148</f>
        <v>818000</v>
      </c>
      <c r="D148" s="57" t="n">
        <f aca="false">AB148</f>
        <v>818000</v>
      </c>
      <c r="E148" s="58" t="n">
        <f aca="false">IF(E$5="A",IF(E147+N(Inputs_Actuals!E41)&lt;=0,Project_Register!$AP$10,E147+N(Inputs_Actuals!E41)),Project_Register!$AT$10)</f>
        <v>812000</v>
      </c>
      <c r="F148" s="58" t="n">
        <f aca="false">IF(F$5="A",IF(F147+N(Inputs_Actuals!F41)&lt;=0,Project_Register!$AP$10,F147+N(Inputs_Actuals!F41)),Project_Register!$AT$10)</f>
        <v>812000</v>
      </c>
      <c r="G148" s="58" t="n">
        <f aca="false">IF(G$5="A",IF(G147+N(Inputs_Actuals!G41)&lt;=0,Project_Register!$AP$10,G147+N(Inputs_Actuals!G41)),Project_Register!$AT$10)</f>
        <v>812000</v>
      </c>
      <c r="H148" s="58" t="n">
        <f aca="false">IF(H$5="A",IF(H147+N(Inputs_Actuals!H41)&lt;=0,Project_Register!$AP$10,H147+N(Inputs_Actuals!H41)),Project_Register!$AT$10)</f>
        <v>812000</v>
      </c>
      <c r="I148" s="58" t="n">
        <f aca="false">IF(I$5="A",IF(I147+N(Inputs_Actuals!I41)&lt;=0,Project_Register!$AP$10,I147+N(Inputs_Actuals!I41)),Project_Register!$AT$10)</f>
        <v>812000</v>
      </c>
      <c r="J148" s="58" t="n">
        <f aca="false">IF(J$5="A",IF(J147+N(Inputs_Actuals!J41)&lt;=0,Project_Register!$AP$10,J147+N(Inputs_Actuals!J41)),Project_Register!$AT$10)</f>
        <v>812000</v>
      </c>
      <c r="K148" s="58" t="n">
        <f aca="false">IF(K$5="A",IF(K147+N(Inputs_Actuals!K41)&lt;=0,Project_Register!$AP$10,K147+N(Inputs_Actuals!K41)),Project_Register!$AT$10)</f>
        <v>818000</v>
      </c>
      <c r="L148" s="58" t="n">
        <f aca="false">IF(L$5="A",IF(L147+N(Inputs_Actuals!L41)&lt;=0,Project_Register!$AP$10,L147+N(Inputs_Actuals!L41)),Project_Register!$AT$10)</f>
        <v>818000</v>
      </c>
      <c r="M148" s="58" t="n">
        <f aca="false">IF(M$5="A",IF(M147+N(Inputs_Actuals!M41)&lt;=0,Project_Register!$AP$10,M147+N(Inputs_Actuals!M41)),Project_Register!$AT$10)</f>
        <v>818000</v>
      </c>
      <c r="N148" s="58" t="n">
        <f aca="false">IF(N$5="A",IF(N147+N(Inputs_Actuals!N41)&lt;=0,Project_Register!$AP$10,N147+N(Inputs_Actuals!N41)),Project_Register!$AT$10)</f>
        <v>818000</v>
      </c>
      <c r="O148" s="58" t="n">
        <f aca="false">IF(O$5="A",IF(O147+N(Inputs_Actuals!O41)&lt;=0,Project_Register!$AP$10,O147+N(Inputs_Actuals!O41)),Project_Register!$AT$10)</f>
        <v>818000</v>
      </c>
      <c r="P148" s="58" t="n">
        <f aca="false">IF(P$5="A",IF(P147+N(Inputs_Actuals!P41)&lt;=0,Project_Register!$AP$10,P147+N(Inputs_Actuals!P41)),Project_Register!$AT$10)</f>
        <v>818000</v>
      </c>
      <c r="Q148" s="58" t="n">
        <f aca="false">IF(Q$5="A",IF(Q147+N(Inputs_Actuals!Q41)&lt;=0,Project_Register!$AP$10,Q147+N(Inputs_Actuals!Q41)),Project_Register!$AT$10)</f>
        <v>818000</v>
      </c>
      <c r="R148" s="58" t="n">
        <f aca="false">IF(R$5="A",IF(R147+N(Inputs_Actuals!R41)&lt;=0,Project_Register!$AP$10,R147+N(Inputs_Actuals!R41)),Project_Register!$AT$10)</f>
        <v>818000</v>
      </c>
      <c r="S148" s="58" t="n">
        <f aca="false">IF(S$5="A",IF(S147+N(Inputs_Actuals!S41)&lt;=0,Project_Register!$AP$10,S147+N(Inputs_Actuals!S41)),Project_Register!$AT$10)</f>
        <v>818000</v>
      </c>
      <c r="T148" s="58" t="n">
        <f aca="false">IF(T$5="A",IF(T147+N(Inputs_Actuals!T41)&lt;=0,Project_Register!$AP$10,T147+N(Inputs_Actuals!T41)),Project_Register!$AT$10)</f>
        <v>818000</v>
      </c>
      <c r="U148" s="58" t="n">
        <f aca="false">IF(U$5="A",IF(U147+N(Inputs_Actuals!U41)&lt;=0,Project_Register!$AP$10,U147+N(Inputs_Actuals!U41)),Project_Register!$AT$10)</f>
        <v>818000</v>
      </c>
      <c r="V148" s="58" t="n">
        <f aca="false">IF(V$5="A",IF(V147+N(Inputs_Actuals!V41)&lt;=0,Project_Register!$AP$10,V147+N(Inputs_Actuals!V41)),Project_Register!$AT$10)</f>
        <v>818000</v>
      </c>
      <c r="W148" s="58" t="n">
        <f aca="false">IF(W$5="A",IF(W147+N(Inputs_Actuals!W41)&lt;=0,Project_Register!$AP$10,W147+N(Inputs_Actuals!W41)),Project_Register!$AT$10)</f>
        <v>818000</v>
      </c>
      <c r="X148" s="58" t="n">
        <f aca="false">IF(X$5="A",IF(X147+N(Inputs_Actuals!X41)&lt;=0,Project_Register!$AP$10,X147+N(Inputs_Actuals!X41)),Project_Register!$AT$10)</f>
        <v>818000</v>
      </c>
      <c r="Y148" s="58" t="n">
        <f aca="false">IF(Y$5="A",IF(Y147+N(Inputs_Actuals!Y41)&lt;=0,Project_Register!$AP$10,Y147+N(Inputs_Actuals!Y41)),Project_Register!$AT$10)</f>
        <v>818000</v>
      </c>
      <c r="Z148" s="58" t="n">
        <f aca="false">IF(Z$5="A",IF(Z147+N(Inputs_Actuals!Z41)&lt;=0,Project_Register!$AP$10,Z147+N(Inputs_Actuals!Z41)),Project_Register!$AT$10)</f>
        <v>818000</v>
      </c>
      <c r="AA148" s="58" t="n">
        <f aca="false">IF(AA$5="A",IF(AA147+N(Inputs_Actuals!AA41)&lt;=0,Project_Register!$AP$10,AA147+N(Inputs_Actuals!AA41)),Project_Register!$AT$10)</f>
        <v>818000</v>
      </c>
      <c r="AB148" s="58" t="n">
        <f aca="false">IF(AB$5="A",IF(AB147+N(Inputs_Actuals!AB41)&lt;=0,Project_Register!$AP$10,AB147+N(Inputs_Actuals!AB41)),Project_Register!$AT$10)</f>
        <v>818000</v>
      </c>
    </row>
    <row r="149" customFormat="false" ht="15" hidden="false" customHeight="false" outlineLevel="0" collapsed="false">
      <c r="A149" s="27" t="s">
        <v>733</v>
      </c>
      <c r="B149" s="56" t="s">
        <v>734</v>
      </c>
      <c r="C149" s="59" t="n">
        <f aca="false">P149</f>
        <v>0.872752711400887</v>
      </c>
      <c r="D149" s="59" t="n">
        <f aca="false">AB149</f>
        <v>1</v>
      </c>
      <c r="E149" s="60" t="n">
        <f aca="false">IF(E148&lt;=0,0,MIN(1,E147/E148))</f>
        <v>0</v>
      </c>
      <c r="F149" s="60" t="n">
        <f aca="false">IF(F148&lt;=0,0,MIN(1,F147/F148))</f>
        <v>0</v>
      </c>
      <c r="G149" s="60" t="n">
        <f aca="false">IF(G148&lt;=0,0,MIN(1,G147/G148))</f>
        <v>0</v>
      </c>
      <c r="H149" s="60" t="n">
        <f aca="false">IF(H148&lt;=0,0,MIN(1,H147/H148))</f>
        <v>0</v>
      </c>
      <c r="I149" s="60" t="n">
        <f aca="false">IF(I148&lt;=0,0,MIN(1,I147/I148))</f>
        <v>0</v>
      </c>
      <c r="J149" s="60" t="n">
        <f aca="false">IF(J148&lt;=0,0,MIN(1,J147/J148))</f>
        <v>0.0320913300492611</v>
      </c>
      <c r="K149" s="60" t="n">
        <f aca="false">IF(K148&lt;=0,0,MIN(1,K147/K148))</f>
        <v>0.124909694376528</v>
      </c>
      <c r="L149" s="60" t="n">
        <f aca="false">IF(L148&lt;=0,0,MIN(1,L147/L148))</f>
        <v>0.253113740831296</v>
      </c>
      <c r="M149" s="60" t="n">
        <f aca="false">IF(M148&lt;=0,0,MIN(1,M147/M148))</f>
        <v>0.412172851580187</v>
      </c>
      <c r="N149" s="60" t="n">
        <f aca="false">IF(N148&lt;=0,0,MIN(1,N147/N148))</f>
        <v>0.579530698542063</v>
      </c>
      <c r="O149" s="60" t="n">
        <f aca="false">IF(O148&lt;=0,0,MIN(1,O147/O148))</f>
        <v>0.738589809290953</v>
      </c>
      <c r="P149" s="60" t="n">
        <f aca="false">IF(P148&lt;=0,0,MIN(1,P147/P148))</f>
        <v>0.872752711400887</v>
      </c>
      <c r="Q149" s="60" t="n">
        <f aca="false">IF(Q148&lt;=0,0,MIN(1,Q147/Q148))</f>
        <v>0.965421932445893</v>
      </c>
      <c r="R149" s="60" t="n">
        <f aca="false">IF(R148&lt;=0,0,MIN(1,R147/R148))</f>
        <v>1</v>
      </c>
      <c r="S149" s="60" t="n">
        <f aca="false">IF(S148&lt;=0,0,MIN(1,S147/S148))</f>
        <v>1</v>
      </c>
      <c r="T149" s="60" t="n">
        <f aca="false">IF(T148&lt;=0,0,MIN(1,T147/T148))</f>
        <v>1</v>
      </c>
      <c r="U149" s="60" t="n">
        <f aca="false">IF(U148&lt;=0,0,MIN(1,U147/U148))</f>
        <v>1</v>
      </c>
      <c r="V149" s="60" t="n">
        <f aca="false">IF(V148&lt;=0,0,MIN(1,V147/V148))</f>
        <v>1</v>
      </c>
      <c r="W149" s="60" t="n">
        <f aca="false">IF(W148&lt;=0,0,MIN(1,W147/W148))</f>
        <v>1</v>
      </c>
      <c r="X149" s="60" t="n">
        <f aca="false">IF(X148&lt;=0,0,MIN(1,X147/X148))</f>
        <v>1</v>
      </c>
      <c r="Y149" s="60" t="n">
        <f aca="false">IF(Y148&lt;=0,0,MIN(1,Y147/Y148))</f>
        <v>1</v>
      </c>
      <c r="Z149" s="60" t="n">
        <f aca="false">IF(Z148&lt;=0,0,MIN(1,Z147/Z148))</f>
        <v>1</v>
      </c>
      <c r="AA149" s="60" t="n">
        <f aca="false">IF(AA148&lt;=0,0,MIN(1,AA147/AA148))</f>
        <v>1</v>
      </c>
      <c r="AB149" s="60" t="n">
        <f aca="false">IF(AB148&lt;=0,0,MIN(1,AB147/AB148))</f>
        <v>1</v>
      </c>
    </row>
    <row r="150" customFormat="false" ht="15" hidden="false" customHeight="false" outlineLevel="0" collapsed="false">
      <c r="A150" s="27" t="s">
        <v>735</v>
      </c>
      <c r="B150" s="56" t="s">
        <v>736</v>
      </c>
      <c r="C150" s="57" t="n">
        <f aca="false">P150</f>
        <v>27400</v>
      </c>
      <c r="D150" s="57" t="n">
        <f aca="false">AB150</f>
        <v>27400</v>
      </c>
      <c r="E150" s="58" t="n">
        <f aca="false">SUMIFS(Variations!$H$6:$H$21,Variations!$B$6:$B$21,"CF-2602",Variations!$F$6:$F$21,"Approved",Variations!$G$6:$G$21,"&lt;="&amp;Assumptions!E$95)</f>
        <v>0</v>
      </c>
      <c r="F150" s="58" t="n">
        <f aca="false">SUMIFS(Variations!$H$6:$H$21,Variations!$B$6:$B$21,"CF-2602",Variations!$F$6:$F$21,"Approved",Variations!$G$6:$G$21,"&lt;="&amp;Assumptions!F$95)</f>
        <v>0</v>
      </c>
      <c r="G150" s="58" t="n">
        <f aca="false">SUMIFS(Variations!$H$6:$H$21,Variations!$B$6:$B$21,"CF-2602",Variations!$F$6:$F$21,"Approved",Variations!$G$6:$G$21,"&lt;="&amp;Assumptions!G$95)</f>
        <v>0</v>
      </c>
      <c r="H150" s="58" t="n">
        <f aca="false">SUMIFS(Variations!$H$6:$H$21,Variations!$B$6:$B$21,"CF-2602",Variations!$F$6:$F$21,"Approved",Variations!$G$6:$G$21,"&lt;="&amp;Assumptions!H$95)</f>
        <v>0</v>
      </c>
      <c r="I150" s="58" t="n">
        <f aca="false">SUMIFS(Variations!$H$6:$H$21,Variations!$B$6:$B$21,"CF-2602",Variations!$F$6:$F$21,"Approved",Variations!$G$6:$G$21,"&lt;="&amp;Assumptions!I$95)</f>
        <v>0</v>
      </c>
      <c r="J150" s="58" t="n">
        <f aca="false">SUMIFS(Variations!$H$6:$H$21,Variations!$B$6:$B$21,"CF-2602",Variations!$F$6:$F$21,"Approved",Variations!$G$6:$G$21,"&lt;="&amp;Assumptions!J$95)</f>
        <v>0</v>
      </c>
      <c r="K150" s="58" t="n">
        <f aca="false">SUMIFS(Variations!$H$6:$H$21,Variations!$B$6:$B$21,"CF-2602",Variations!$F$6:$F$21,"Approved",Variations!$G$6:$G$21,"&lt;="&amp;Assumptions!K$95)</f>
        <v>0</v>
      </c>
      <c r="L150" s="58" t="n">
        <f aca="false">SUMIFS(Variations!$H$6:$H$21,Variations!$B$6:$B$21,"CF-2602",Variations!$F$6:$F$21,"Approved",Variations!$G$6:$G$21,"&lt;="&amp;Assumptions!L$95)</f>
        <v>27400</v>
      </c>
      <c r="M150" s="58" t="n">
        <f aca="false">SUMIFS(Variations!$H$6:$H$21,Variations!$B$6:$B$21,"CF-2602",Variations!$F$6:$F$21,"Approved",Variations!$G$6:$G$21,"&lt;="&amp;Assumptions!M$95)</f>
        <v>27400</v>
      </c>
      <c r="N150" s="58" t="n">
        <f aca="false">SUMIFS(Variations!$H$6:$H$21,Variations!$B$6:$B$21,"CF-2602",Variations!$F$6:$F$21,"Approved",Variations!$G$6:$G$21,"&lt;="&amp;Assumptions!N$95)</f>
        <v>27400</v>
      </c>
      <c r="O150" s="58" t="n">
        <f aca="false">SUMIFS(Variations!$H$6:$H$21,Variations!$B$6:$B$21,"CF-2602",Variations!$F$6:$F$21,"Approved",Variations!$G$6:$G$21,"&lt;="&amp;Assumptions!O$95)</f>
        <v>27400</v>
      </c>
      <c r="P150" s="58" t="n">
        <f aca="false">SUMIFS(Variations!$H$6:$H$21,Variations!$B$6:$B$21,"CF-2602",Variations!$F$6:$F$21,"Approved",Variations!$G$6:$G$21,"&lt;="&amp;Assumptions!P$95)</f>
        <v>27400</v>
      </c>
      <c r="Q150" s="58" t="n">
        <f aca="false">SUMIFS(Variations!$H$6:$H$21,Variations!$B$6:$B$21,"CF-2602",Variations!$F$6:$F$21,"Approved",Variations!$G$6:$G$21,"&lt;="&amp;Assumptions!Q$95)</f>
        <v>27400</v>
      </c>
      <c r="R150" s="58" t="n">
        <f aca="false">SUMIFS(Variations!$H$6:$H$21,Variations!$B$6:$B$21,"CF-2602",Variations!$F$6:$F$21,"Approved",Variations!$G$6:$G$21,"&lt;="&amp;Assumptions!R$95)</f>
        <v>27400</v>
      </c>
      <c r="S150" s="58" t="n">
        <f aca="false">SUMIFS(Variations!$H$6:$H$21,Variations!$B$6:$B$21,"CF-2602",Variations!$F$6:$F$21,"Approved",Variations!$G$6:$G$21,"&lt;="&amp;Assumptions!S$95)</f>
        <v>27400</v>
      </c>
      <c r="T150" s="58" t="n">
        <f aca="false">SUMIFS(Variations!$H$6:$H$21,Variations!$B$6:$B$21,"CF-2602",Variations!$F$6:$F$21,"Approved",Variations!$G$6:$G$21,"&lt;="&amp;Assumptions!T$95)</f>
        <v>27400</v>
      </c>
      <c r="U150" s="58" t="n">
        <f aca="false">SUMIFS(Variations!$H$6:$H$21,Variations!$B$6:$B$21,"CF-2602",Variations!$F$6:$F$21,"Approved",Variations!$G$6:$G$21,"&lt;="&amp;Assumptions!U$95)</f>
        <v>27400</v>
      </c>
      <c r="V150" s="58" t="n">
        <f aca="false">SUMIFS(Variations!$H$6:$H$21,Variations!$B$6:$B$21,"CF-2602",Variations!$F$6:$F$21,"Approved",Variations!$G$6:$G$21,"&lt;="&amp;Assumptions!V$95)</f>
        <v>27400</v>
      </c>
      <c r="W150" s="58" t="n">
        <f aca="false">SUMIFS(Variations!$H$6:$H$21,Variations!$B$6:$B$21,"CF-2602",Variations!$F$6:$F$21,"Approved",Variations!$G$6:$G$21,"&lt;="&amp;Assumptions!W$95)</f>
        <v>27400</v>
      </c>
      <c r="X150" s="58" t="n">
        <f aca="false">SUMIFS(Variations!$H$6:$H$21,Variations!$B$6:$B$21,"CF-2602",Variations!$F$6:$F$21,"Approved",Variations!$G$6:$G$21,"&lt;="&amp;Assumptions!X$95)</f>
        <v>27400</v>
      </c>
      <c r="Y150" s="58" t="n">
        <f aca="false">SUMIFS(Variations!$H$6:$H$21,Variations!$B$6:$B$21,"CF-2602",Variations!$F$6:$F$21,"Approved",Variations!$G$6:$G$21,"&lt;="&amp;Assumptions!Y$95)</f>
        <v>27400</v>
      </c>
      <c r="Z150" s="58" t="n">
        <f aca="false">SUMIFS(Variations!$H$6:$H$21,Variations!$B$6:$B$21,"CF-2602",Variations!$F$6:$F$21,"Approved",Variations!$G$6:$G$21,"&lt;="&amp;Assumptions!Z$95)</f>
        <v>27400</v>
      </c>
      <c r="AA150" s="58" t="n">
        <f aca="false">SUMIFS(Variations!$H$6:$H$21,Variations!$B$6:$B$21,"CF-2602",Variations!$F$6:$F$21,"Approved",Variations!$G$6:$G$21,"&lt;="&amp;Assumptions!AA$95)</f>
        <v>27400</v>
      </c>
      <c r="AB150" s="58" t="n">
        <f aca="false">SUMIFS(Variations!$H$6:$H$21,Variations!$B$6:$B$21,"CF-2602",Variations!$F$6:$F$21,"Approved",Variations!$G$6:$G$21,"&lt;="&amp;Assumptions!AB$95)</f>
        <v>27400</v>
      </c>
    </row>
    <row r="151" customFormat="false" ht="15" hidden="false" customHeight="false" outlineLevel="0" collapsed="false">
      <c r="A151" s="27" t="s">
        <v>737</v>
      </c>
      <c r="B151" s="56"/>
      <c r="C151" s="57" t="n">
        <f aca="false">P151</f>
        <v>0</v>
      </c>
      <c r="D151" s="57" t="n">
        <f aca="false">AB151</f>
        <v>0</v>
      </c>
      <c r="E151" s="58" t="n">
        <f aca="false">SUMIFS(Variations!$E$6:$E$21,Variations!$B$6:$B$21,"CF-2602",Variations!$D$6:$D$21,"&lt;="&amp;Assumptions!E$95,Variations!$G$6:$G$21,"&gt;"&amp;Assumptions!E$95)</f>
        <v>0</v>
      </c>
      <c r="F151" s="58" t="n">
        <f aca="false">SUMIFS(Variations!$E$6:$E$21,Variations!$B$6:$B$21,"CF-2602",Variations!$D$6:$D$21,"&lt;="&amp;Assumptions!F$95,Variations!$G$6:$G$21,"&gt;"&amp;Assumptions!F$95)</f>
        <v>0</v>
      </c>
      <c r="G151" s="58" t="n">
        <f aca="false">SUMIFS(Variations!$E$6:$E$21,Variations!$B$6:$B$21,"CF-2602",Variations!$D$6:$D$21,"&lt;="&amp;Assumptions!G$95,Variations!$G$6:$G$21,"&gt;"&amp;Assumptions!G$95)</f>
        <v>0</v>
      </c>
      <c r="H151" s="58" t="n">
        <f aca="false">SUMIFS(Variations!$E$6:$E$21,Variations!$B$6:$B$21,"CF-2602",Variations!$D$6:$D$21,"&lt;="&amp;Assumptions!H$95,Variations!$G$6:$G$21,"&gt;"&amp;Assumptions!H$95)</f>
        <v>0</v>
      </c>
      <c r="I151" s="58" t="n">
        <f aca="false">SUMIFS(Variations!$E$6:$E$21,Variations!$B$6:$B$21,"CF-2602",Variations!$D$6:$D$21,"&lt;="&amp;Assumptions!I$95,Variations!$G$6:$G$21,"&gt;"&amp;Assumptions!I$95)</f>
        <v>0</v>
      </c>
      <c r="J151" s="58" t="n">
        <f aca="false">SUMIFS(Variations!$E$6:$E$21,Variations!$B$6:$B$21,"CF-2602",Variations!$D$6:$D$21,"&lt;="&amp;Assumptions!J$95,Variations!$G$6:$G$21,"&gt;"&amp;Assumptions!J$95)</f>
        <v>28800</v>
      </c>
      <c r="K151" s="58" t="n">
        <f aca="false">SUMIFS(Variations!$E$6:$E$21,Variations!$B$6:$B$21,"CF-2602",Variations!$D$6:$D$21,"&lt;="&amp;Assumptions!K$95,Variations!$G$6:$G$21,"&gt;"&amp;Assumptions!K$95)</f>
        <v>28800</v>
      </c>
      <c r="L151" s="58" t="n">
        <f aca="false">SUMIFS(Variations!$E$6:$E$21,Variations!$B$6:$B$21,"CF-2602",Variations!$D$6:$D$21,"&lt;="&amp;Assumptions!L$95,Variations!$G$6:$G$21,"&gt;"&amp;Assumptions!L$95)</f>
        <v>19500</v>
      </c>
      <c r="M151" s="58" t="n">
        <f aca="false">SUMIFS(Variations!$E$6:$E$21,Variations!$B$6:$B$21,"CF-2602",Variations!$D$6:$D$21,"&lt;="&amp;Assumptions!M$95,Variations!$G$6:$G$21,"&gt;"&amp;Assumptions!M$95)</f>
        <v>19500</v>
      </c>
      <c r="N151" s="58" t="n">
        <f aca="false">SUMIFS(Variations!$E$6:$E$21,Variations!$B$6:$B$21,"CF-2602",Variations!$D$6:$D$21,"&lt;="&amp;Assumptions!N$95,Variations!$G$6:$G$21,"&gt;"&amp;Assumptions!N$95)</f>
        <v>0</v>
      </c>
      <c r="O151" s="58" t="n">
        <f aca="false">SUMIFS(Variations!$E$6:$E$21,Variations!$B$6:$B$21,"CF-2602",Variations!$D$6:$D$21,"&lt;="&amp;Assumptions!O$95,Variations!$G$6:$G$21,"&gt;"&amp;Assumptions!O$95)</f>
        <v>0</v>
      </c>
      <c r="P151" s="58" t="n">
        <f aca="false">SUMIFS(Variations!$E$6:$E$21,Variations!$B$6:$B$21,"CF-2602",Variations!$D$6:$D$21,"&lt;="&amp;Assumptions!P$95,Variations!$G$6:$G$21,"&gt;"&amp;Assumptions!P$95)</f>
        <v>0</v>
      </c>
      <c r="Q151" s="58" t="n">
        <f aca="false">SUMIFS(Variations!$E$6:$E$21,Variations!$B$6:$B$21,"CF-2602",Variations!$D$6:$D$21,"&lt;="&amp;Assumptions!Q$95,Variations!$G$6:$G$21,"&gt;"&amp;Assumptions!Q$95)</f>
        <v>0</v>
      </c>
      <c r="R151" s="58" t="n">
        <f aca="false">SUMIFS(Variations!$E$6:$E$21,Variations!$B$6:$B$21,"CF-2602",Variations!$D$6:$D$21,"&lt;="&amp;Assumptions!R$95,Variations!$G$6:$G$21,"&gt;"&amp;Assumptions!R$95)</f>
        <v>0</v>
      </c>
      <c r="S151" s="58" t="n">
        <f aca="false">SUMIFS(Variations!$E$6:$E$21,Variations!$B$6:$B$21,"CF-2602",Variations!$D$6:$D$21,"&lt;="&amp;Assumptions!S$95,Variations!$G$6:$G$21,"&gt;"&amp;Assumptions!S$95)</f>
        <v>0</v>
      </c>
      <c r="T151" s="58" t="n">
        <f aca="false">SUMIFS(Variations!$E$6:$E$21,Variations!$B$6:$B$21,"CF-2602",Variations!$D$6:$D$21,"&lt;="&amp;Assumptions!T$95,Variations!$G$6:$G$21,"&gt;"&amp;Assumptions!T$95)</f>
        <v>0</v>
      </c>
      <c r="U151" s="58" t="n">
        <f aca="false">SUMIFS(Variations!$E$6:$E$21,Variations!$B$6:$B$21,"CF-2602",Variations!$D$6:$D$21,"&lt;="&amp;Assumptions!U$95,Variations!$G$6:$G$21,"&gt;"&amp;Assumptions!U$95)</f>
        <v>0</v>
      </c>
      <c r="V151" s="58" t="n">
        <f aca="false">SUMIFS(Variations!$E$6:$E$21,Variations!$B$6:$B$21,"CF-2602",Variations!$D$6:$D$21,"&lt;="&amp;Assumptions!V$95,Variations!$G$6:$G$21,"&gt;"&amp;Assumptions!V$95)</f>
        <v>0</v>
      </c>
      <c r="W151" s="58" t="n">
        <f aca="false">SUMIFS(Variations!$E$6:$E$21,Variations!$B$6:$B$21,"CF-2602",Variations!$D$6:$D$21,"&lt;="&amp;Assumptions!W$95,Variations!$G$6:$G$21,"&gt;"&amp;Assumptions!W$95)</f>
        <v>0</v>
      </c>
      <c r="X151" s="58" t="n">
        <f aca="false">SUMIFS(Variations!$E$6:$E$21,Variations!$B$6:$B$21,"CF-2602",Variations!$D$6:$D$21,"&lt;="&amp;Assumptions!X$95,Variations!$G$6:$G$21,"&gt;"&amp;Assumptions!X$95)</f>
        <v>0</v>
      </c>
      <c r="Y151" s="58" t="n">
        <f aca="false">SUMIFS(Variations!$E$6:$E$21,Variations!$B$6:$B$21,"CF-2602",Variations!$D$6:$D$21,"&lt;="&amp;Assumptions!Y$95,Variations!$G$6:$G$21,"&gt;"&amp;Assumptions!Y$95)</f>
        <v>0</v>
      </c>
      <c r="Z151" s="58" t="n">
        <f aca="false">SUMIFS(Variations!$E$6:$E$21,Variations!$B$6:$B$21,"CF-2602",Variations!$D$6:$D$21,"&lt;="&amp;Assumptions!Z$95,Variations!$G$6:$G$21,"&gt;"&amp;Assumptions!Z$95)</f>
        <v>0</v>
      </c>
      <c r="AA151" s="58" t="n">
        <f aca="false">SUMIFS(Variations!$E$6:$E$21,Variations!$B$6:$B$21,"CF-2602",Variations!$D$6:$D$21,"&lt;="&amp;Assumptions!AA$95,Variations!$G$6:$G$21,"&gt;"&amp;Assumptions!AA$95)</f>
        <v>0</v>
      </c>
      <c r="AB151" s="58" t="n">
        <f aca="false">SUMIFS(Variations!$E$6:$E$21,Variations!$B$6:$B$21,"CF-2602",Variations!$D$6:$D$21,"&lt;="&amp;Assumptions!AB$95,Variations!$G$6:$G$21,"&gt;"&amp;Assumptions!AB$95)</f>
        <v>0</v>
      </c>
    </row>
    <row r="152" customFormat="false" ht="15" hidden="false" customHeight="false" outlineLevel="0" collapsed="false">
      <c r="A152" s="27" t="s">
        <v>738</v>
      </c>
      <c r="B152" s="56"/>
      <c r="C152" s="57" t="n">
        <f aca="false">P152</f>
        <v>19500</v>
      </c>
      <c r="D152" s="57" t="n">
        <f aca="false">AB152</f>
        <v>19500</v>
      </c>
      <c r="E152" s="58" t="n">
        <f aca="false">SUMIFS(Variations!$E$6:$E$21,Variations!$B$6:$B$21,"CF-2602",Variations!$F$6:$F$21,"Pending",Variations!$G$6:$G$21,"&lt;="&amp;Assumptions!E$95)</f>
        <v>0</v>
      </c>
      <c r="F152" s="58" t="n">
        <f aca="false">SUMIFS(Variations!$E$6:$E$21,Variations!$B$6:$B$21,"CF-2602",Variations!$F$6:$F$21,"Pending",Variations!$G$6:$G$21,"&lt;="&amp;Assumptions!F$95)</f>
        <v>0</v>
      </c>
      <c r="G152" s="58" t="n">
        <f aca="false">SUMIFS(Variations!$E$6:$E$21,Variations!$B$6:$B$21,"CF-2602",Variations!$F$6:$F$21,"Pending",Variations!$G$6:$G$21,"&lt;="&amp;Assumptions!G$95)</f>
        <v>0</v>
      </c>
      <c r="H152" s="58" t="n">
        <f aca="false">SUMIFS(Variations!$E$6:$E$21,Variations!$B$6:$B$21,"CF-2602",Variations!$F$6:$F$21,"Pending",Variations!$G$6:$G$21,"&lt;="&amp;Assumptions!H$95)</f>
        <v>0</v>
      </c>
      <c r="I152" s="58" t="n">
        <f aca="false">SUMIFS(Variations!$E$6:$E$21,Variations!$B$6:$B$21,"CF-2602",Variations!$F$6:$F$21,"Pending",Variations!$G$6:$G$21,"&lt;="&amp;Assumptions!I$95)</f>
        <v>0</v>
      </c>
      <c r="J152" s="58" t="n">
        <f aca="false">SUMIFS(Variations!$E$6:$E$21,Variations!$B$6:$B$21,"CF-2602",Variations!$F$6:$F$21,"Pending",Variations!$G$6:$G$21,"&lt;="&amp;Assumptions!J$95)</f>
        <v>0</v>
      </c>
      <c r="K152" s="58" t="n">
        <f aca="false">SUMIFS(Variations!$E$6:$E$21,Variations!$B$6:$B$21,"CF-2602",Variations!$F$6:$F$21,"Pending",Variations!$G$6:$G$21,"&lt;="&amp;Assumptions!K$95)</f>
        <v>0</v>
      </c>
      <c r="L152" s="58" t="n">
        <f aca="false">SUMIFS(Variations!$E$6:$E$21,Variations!$B$6:$B$21,"CF-2602",Variations!$F$6:$F$21,"Pending",Variations!$G$6:$G$21,"&lt;="&amp;Assumptions!L$95)</f>
        <v>0</v>
      </c>
      <c r="M152" s="58" t="n">
        <f aca="false">SUMIFS(Variations!$E$6:$E$21,Variations!$B$6:$B$21,"CF-2602",Variations!$F$6:$F$21,"Pending",Variations!$G$6:$G$21,"&lt;="&amp;Assumptions!M$95)</f>
        <v>0</v>
      </c>
      <c r="N152" s="58" t="n">
        <f aca="false">SUMIFS(Variations!$E$6:$E$21,Variations!$B$6:$B$21,"CF-2602",Variations!$F$6:$F$21,"Pending",Variations!$G$6:$G$21,"&lt;="&amp;Assumptions!N$95)</f>
        <v>19500</v>
      </c>
      <c r="O152" s="58" t="n">
        <f aca="false">SUMIFS(Variations!$E$6:$E$21,Variations!$B$6:$B$21,"CF-2602",Variations!$F$6:$F$21,"Pending",Variations!$G$6:$G$21,"&lt;="&amp;Assumptions!O$95)</f>
        <v>19500</v>
      </c>
      <c r="P152" s="58" t="n">
        <f aca="false">SUMIFS(Variations!$E$6:$E$21,Variations!$B$6:$B$21,"CF-2602",Variations!$F$6:$F$21,"Pending",Variations!$G$6:$G$21,"&lt;="&amp;Assumptions!P$95)</f>
        <v>19500</v>
      </c>
      <c r="Q152" s="58" t="n">
        <f aca="false">SUMIFS(Variations!$E$6:$E$21,Variations!$B$6:$B$21,"CF-2602",Variations!$F$6:$F$21,"Pending",Variations!$G$6:$G$21,"&lt;="&amp;Assumptions!Q$95)</f>
        <v>19500</v>
      </c>
      <c r="R152" s="58" t="n">
        <f aca="false">SUMIFS(Variations!$E$6:$E$21,Variations!$B$6:$B$21,"CF-2602",Variations!$F$6:$F$21,"Pending",Variations!$G$6:$G$21,"&lt;="&amp;Assumptions!R$95)</f>
        <v>19500</v>
      </c>
      <c r="S152" s="58" t="n">
        <f aca="false">SUMIFS(Variations!$E$6:$E$21,Variations!$B$6:$B$21,"CF-2602",Variations!$F$6:$F$21,"Pending",Variations!$G$6:$G$21,"&lt;="&amp;Assumptions!S$95)</f>
        <v>19500</v>
      </c>
      <c r="T152" s="58" t="n">
        <f aca="false">SUMIFS(Variations!$E$6:$E$21,Variations!$B$6:$B$21,"CF-2602",Variations!$F$6:$F$21,"Pending",Variations!$G$6:$G$21,"&lt;="&amp;Assumptions!T$95)</f>
        <v>19500</v>
      </c>
      <c r="U152" s="58" t="n">
        <f aca="false">SUMIFS(Variations!$E$6:$E$21,Variations!$B$6:$B$21,"CF-2602",Variations!$F$6:$F$21,"Pending",Variations!$G$6:$G$21,"&lt;="&amp;Assumptions!U$95)</f>
        <v>19500</v>
      </c>
      <c r="V152" s="58" t="n">
        <f aca="false">SUMIFS(Variations!$E$6:$E$21,Variations!$B$6:$B$21,"CF-2602",Variations!$F$6:$F$21,"Pending",Variations!$G$6:$G$21,"&lt;="&amp;Assumptions!V$95)</f>
        <v>19500</v>
      </c>
      <c r="W152" s="58" t="n">
        <f aca="false">SUMIFS(Variations!$E$6:$E$21,Variations!$B$6:$B$21,"CF-2602",Variations!$F$6:$F$21,"Pending",Variations!$G$6:$G$21,"&lt;="&amp;Assumptions!W$95)</f>
        <v>19500</v>
      </c>
      <c r="X152" s="58" t="n">
        <f aca="false">SUMIFS(Variations!$E$6:$E$21,Variations!$B$6:$B$21,"CF-2602",Variations!$F$6:$F$21,"Pending",Variations!$G$6:$G$21,"&lt;="&amp;Assumptions!X$95)</f>
        <v>19500</v>
      </c>
      <c r="Y152" s="58" t="n">
        <f aca="false">SUMIFS(Variations!$E$6:$E$21,Variations!$B$6:$B$21,"CF-2602",Variations!$F$6:$F$21,"Pending",Variations!$G$6:$G$21,"&lt;="&amp;Assumptions!Y$95)</f>
        <v>19500</v>
      </c>
      <c r="Z152" s="58" t="n">
        <f aca="false">SUMIFS(Variations!$E$6:$E$21,Variations!$B$6:$B$21,"CF-2602",Variations!$F$6:$F$21,"Pending",Variations!$G$6:$G$21,"&lt;="&amp;Assumptions!Z$95)</f>
        <v>19500</v>
      </c>
      <c r="AA152" s="58" t="n">
        <f aca="false">SUMIFS(Variations!$E$6:$E$21,Variations!$B$6:$B$21,"CF-2602",Variations!$F$6:$F$21,"Pending",Variations!$G$6:$G$21,"&lt;="&amp;Assumptions!AA$95)</f>
        <v>19500</v>
      </c>
      <c r="AB152" s="58" t="n">
        <f aca="false">SUMIFS(Variations!$E$6:$E$21,Variations!$B$6:$B$21,"CF-2602",Variations!$F$6:$F$21,"Pending",Variations!$G$6:$G$21,"&lt;="&amp;Assumptions!AB$95)</f>
        <v>19500</v>
      </c>
    </row>
    <row r="153" customFormat="false" ht="15" hidden="false" customHeight="false" outlineLevel="0" collapsed="false">
      <c r="A153" s="27" t="s">
        <v>739</v>
      </c>
      <c r="B153" s="56" t="s">
        <v>740</v>
      </c>
      <c r="C153" s="57" t="n">
        <f aca="false">P153</f>
        <v>980075</v>
      </c>
      <c r="D153" s="57" t="n">
        <f aca="false">AB153</f>
        <v>980075</v>
      </c>
      <c r="E153" s="58" t="n">
        <f aca="false">Project_Register!$AO$10+E150+Assumptions!$C$74*E151+Assumptions!$F$121*E152</f>
        <v>940000</v>
      </c>
      <c r="F153" s="58" t="n">
        <f aca="false">Project_Register!$AO$10+F150+Assumptions!$C$74*F151+Assumptions!$F$121*F152</f>
        <v>940000</v>
      </c>
      <c r="G153" s="58" t="n">
        <f aca="false">Project_Register!$AO$10+G150+Assumptions!$C$74*G151+Assumptions!$F$121*G152</f>
        <v>940000</v>
      </c>
      <c r="H153" s="58" t="n">
        <f aca="false">Project_Register!$AO$10+H150+Assumptions!$C$74*H151+Assumptions!$F$121*H152</f>
        <v>940000</v>
      </c>
      <c r="I153" s="58" t="n">
        <f aca="false">Project_Register!$AO$10+I150+Assumptions!$C$74*I151+Assumptions!$F$121*I152</f>
        <v>940000</v>
      </c>
      <c r="J153" s="58" t="n">
        <f aca="false">Project_Register!$AO$10+J150+Assumptions!$C$74*J151+Assumptions!$F$121*J152</f>
        <v>954400</v>
      </c>
      <c r="K153" s="58" t="n">
        <f aca="false">Project_Register!$AO$10+K150+Assumptions!$C$74*K151+Assumptions!$F$121*K152</f>
        <v>954400</v>
      </c>
      <c r="L153" s="58" t="n">
        <f aca="false">Project_Register!$AO$10+L150+Assumptions!$C$74*L151+Assumptions!$F$121*L152</f>
        <v>977150</v>
      </c>
      <c r="M153" s="58" t="n">
        <f aca="false">Project_Register!$AO$10+M150+Assumptions!$C$74*M151+Assumptions!$F$121*M152</f>
        <v>977150</v>
      </c>
      <c r="N153" s="58" t="n">
        <f aca="false">Project_Register!$AO$10+N150+Assumptions!$C$74*N151+Assumptions!$F$121*N152</f>
        <v>980075</v>
      </c>
      <c r="O153" s="58" t="n">
        <f aca="false">Project_Register!$AO$10+O150+Assumptions!$C$74*O151+Assumptions!$F$121*O152</f>
        <v>980075</v>
      </c>
      <c r="P153" s="58" t="n">
        <f aca="false">Project_Register!$AO$10+P150+Assumptions!$C$74*P151+Assumptions!$F$121*P152</f>
        <v>980075</v>
      </c>
      <c r="Q153" s="58" t="n">
        <f aca="false">Project_Register!$AO$10+Q150+Assumptions!$C$74*Q151+Assumptions!$F$121*Q152</f>
        <v>980075</v>
      </c>
      <c r="R153" s="58" t="n">
        <f aca="false">Project_Register!$AO$10+R150+Assumptions!$C$74*R151+Assumptions!$F$121*R152</f>
        <v>980075</v>
      </c>
      <c r="S153" s="58" t="n">
        <f aca="false">Project_Register!$AO$10+S150+Assumptions!$C$74*S151+Assumptions!$F$121*S152</f>
        <v>980075</v>
      </c>
      <c r="T153" s="58" t="n">
        <f aca="false">Project_Register!$AO$10+T150+Assumptions!$C$74*T151+Assumptions!$F$121*T152</f>
        <v>980075</v>
      </c>
      <c r="U153" s="58" t="n">
        <f aca="false">Project_Register!$AO$10+U150+Assumptions!$C$74*U151+Assumptions!$F$121*U152</f>
        <v>980075</v>
      </c>
      <c r="V153" s="58" t="n">
        <f aca="false">Project_Register!$AO$10+V150+Assumptions!$C$74*V151+Assumptions!$F$121*V152</f>
        <v>980075</v>
      </c>
      <c r="W153" s="58" t="n">
        <f aca="false">Project_Register!$AO$10+W150+Assumptions!$C$74*W151+Assumptions!$F$121*W152</f>
        <v>980075</v>
      </c>
      <c r="X153" s="58" t="n">
        <f aca="false">Project_Register!$AO$10+X150+Assumptions!$C$74*X151+Assumptions!$F$121*X152</f>
        <v>980075</v>
      </c>
      <c r="Y153" s="58" t="n">
        <f aca="false">Project_Register!$AO$10+Y150+Assumptions!$C$74*Y151+Assumptions!$F$121*Y152</f>
        <v>980075</v>
      </c>
      <c r="Z153" s="58" t="n">
        <f aca="false">Project_Register!$AO$10+Z150+Assumptions!$C$74*Z151+Assumptions!$F$121*Z152</f>
        <v>980075</v>
      </c>
      <c r="AA153" s="58" t="n">
        <f aca="false">Project_Register!$AO$10+AA150+Assumptions!$C$74*AA151+Assumptions!$F$121*AA152</f>
        <v>980075</v>
      </c>
      <c r="AB153" s="58" t="n">
        <f aca="false">Project_Register!$AO$10+AB150+Assumptions!$C$74*AB151+Assumptions!$F$121*AB152</f>
        <v>980075</v>
      </c>
    </row>
    <row r="154" customFormat="false" ht="15" hidden="false" customHeight="false" outlineLevel="0" collapsed="false">
      <c r="A154" s="27" t="s">
        <v>741</v>
      </c>
      <c r="B154" s="56" t="s">
        <v>742</v>
      </c>
      <c r="C154" s="57" t="n">
        <f aca="false">P154</f>
        <v>855363.113626225</v>
      </c>
      <c r="D154" s="57" t="n">
        <f aca="false">AB154</f>
        <v>980075</v>
      </c>
      <c r="E154" s="58" t="n">
        <f aca="false">IF(E$5="A",Project_Register!$AD$10+Inputs_Actuals!E42,E149*E153)</f>
        <v>0</v>
      </c>
      <c r="F154" s="58" t="n">
        <f aca="false">IF(F$5="A",E154+Inputs_Actuals!F42,F149*F153)</f>
        <v>0</v>
      </c>
      <c r="G154" s="58" t="n">
        <f aca="false">IF(G$5="A",F154+Inputs_Actuals!G42,G149*G153)</f>
        <v>0</v>
      </c>
      <c r="H154" s="58" t="n">
        <f aca="false">IF(H$5="A",G154+Inputs_Actuals!H42,H149*H153)</f>
        <v>0</v>
      </c>
      <c r="I154" s="58" t="n">
        <f aca="false">IF(I$5="A",H154+Inputs_Actuals!I42,I149*I153)</f>
        <v>0</v>
      </c>
      <c r="J154" s="58" t="n">
        <f aca="false">IF(J$5="A",I154+Inputs_Actuals!J42,J149*J153)</f>
        <v>30627.97</v>
      </c>
      <c r="K154" s="58" t="n">
        <f aca="false">IF(K$5="A",J154+Inputs_Actuals!K42,K149*K153)</f>
        <v>119213.81</v>
      </c>
      <c r="L154" s="58" t="n">
        <f aca="false">IF(L$5="A",K154+Inputs_Actuals!L42,L149*L153)</f>
        <v>247330.09</v>
      </c>
      <c r="M154" s="58" t="n">
        <f aca="false">IF(M$5="A",L154+Inputs_Actuals!M42,M149*M153)</f>
        <v>402754.701921579</v>
      </c>
      <c r="N154" s="58" t="n">
        <f aca="false">IF(N$5="A",M154+Inputs_Actuals!N42,N149*N153)</f>
        <v>567983.549373612</v>
      </c>
      <c r="O154" s="58" t="n">
        <f aca="false">IF(O$5="A",N154+Inputs_Actuals!O42,O149*O153)</f>
        <v>723873.407340831</v>
      </c>
      <c r="P154" s="58" t="n">
        <f aca="false">IF(P$5="A",O154+Inputs_Actuals!P42,P149*P153)</f>
        <v>855363.113626225</v>
      </c>
      <c r="Q154" s="58" t="n">
        <f aca="false">IF(Q$5="A",P154+Inputs_Actuals!Q42,Q149*Q153)</f>
        <v>946185.900441909</v>
      </c>
      <c r="R154" s="58" t="n">
        <f aca="false">IF(R$5="A",Q154+Inputs_Actuals!R42,R149*R153)</f>
        <v>980075</v>
      </c>
      <c r="S154" s="58" t="n">
        <f aca="false">IF(S$5="A",R154+Inputs_Actuals!S42,S149*S153)</f>
        <v>980075</v>
      </c>
      <c r="T154" s="58" t="n">
        <f aca="false">IF(T$5="A",S154+Inputs_Actuals!T42,T149*T153)</f>
        <v>980075</v>
      </c>
      <c r="U154" s="58" t="n">
        <f aca="false">IF(U$5="A",T154+Inputs_Actuals!U42,U149*U153)</f>
        <v>980075</v>
      </c>
      <c r="V154" s="58" t="n">
        <f aca="false">IF(V$5="A",U154+Inputs_Actuals!V42,V149*V153)</f>
        <v>980075</v>
      </c>
      <c r="W154" s="58" t="n">
        <f aca="false">IF(W$5="A",V154+Inputs_Actuals!W42,W149*W153)</f>
        <v>980075</v>
      </c>
      <c r="X154" s="58" t="n">
        <f aca="false">IF(X$5="A",W154+Inputs_Actuals!X42,X149*X153)</f>
        <v>980075</v>
      </c>
      <c r="Y154" s="58" t="n">
        <f aca="false">IF(Y$5="A",X154+Inputs_Actuals!Y42,Y149*Y153)</f>
        <v>980075</v>
      </c>
      <c r="Z154" s="58" t="n">
        <f aca="false">IF(Z$5="A",Y154+Inputs_Actuals!Z42,Z149*Z153)</f>
        <v>980075</v>
      </c>
      <c r="AA154" s="58" t="n">
        <f aca="false">IF(AA$5="A",Z154+Inputs_Actuals!AA42,AA149*AA153)</f>
        <v>980075</v>
      </c>
      <c r="AB154" s="58" t="n">
        <f aca="false">IF(AB$5="A",AA154+Inputs_Actuals!AB42,AB149*AB153)</f>
        <v>980075</v>
      </c>
    </row>
    <row r="155" customFormat="false" ht="15" hidden="false" customHeight="false" outlineLevel="0" collapsed="false">
      <c r="A155" s="67" t="s">
        <v>743</v>
      </c>
      <c r="B155" s="68" t="s">
        <v>744</v>
      </c>
      <c r="C155" s="69" t="n">
        <f aca="false">SUM(E155:P155)</f>
        <v>855363.113626225</v>
      </c>
      <c r="D155" s="69" t="n">
        <f aca="false">SUM(Q155:AB155)</f>
        <v>124711.886373775</v>
      </c>
      <c r="E155" s="74" t="n">
        <f aca="false">E154-Project_Register!$AD$10</f>
        <v>0</v>
      </c>
      <c r="F155" s="69" t="n">
        <f aca="false">F154-E154</f>
        <v>0</v>
      </c>
      <c r="G155" s="69" t="n">
        <f aca="false">G154-F154</f>
        <v>0</v>
      </c>
      <c r="H155" s="69" t="n">
        <f aca="false">H154-G154</f>
        <v>0</v>
      </c>
      <c r="I155" s="69" t="n">
        <f aca="false">I154-H154</f>
        <v>0</v>
      </c>
      <c r="J155" s="69" t="n">
        <f aca="false">J154-I154</f>
        <v>30627.97</v>
      </c>
      <c r="K155" s="69" t="n">
        <f aca="false">K154-J154</f>
        <v>88585.84</v>
      </c>
      <c r="L155" s="69" t="n">
        <f aca="false">L154-K154</f>
        <v>128116.28</v>
      </c>
      <c r="M155" s="69" t="n">
        <f aca="false">M154-L154</f>
        <v>155424.611921579</v>
      </c>
      <c r="N155" s="69" t="n">
        <f aca="false">N154-M154</f>
        <v>165228.847452033</v>
      </c>
      <c r="O155" s="69" t="n">
        <f aca="false">O154-N154</f>
        <v>155889.857967219</v>
      </c>
      <c r="P155" s="69" t="n">
        <f aca="false">P154-O154</f>
        <v>131489.706285393</v>
      </c>
      <c r="Q155" s="69" t="n">
        <f aca="false">Q154-P154</f>
        <v>90822.7868156844</v>
      </c>
      <c r="R155" s="69" t="n">
        <f aca="false">R154-Q154</f>
        <v>33889.0995580908</v>
      </c>
      <c r="S155" s="69" t="n">
        <f aca="false">S154-R154</f>
        <v>0</v>
      </c>
      <c r="T155" s="69" t="n">
        <f aca="false">T154-S154</f>
        <v>0</v>
      </c>
      <c r="U155" s="69" t="n">
        <f aca="false">U154-T154</f>
        <v>0</v>
      </c>
      <c r="V155" s="69" t="n">
        <f aca="false">V154-U154</f>
        <v>0</v>
      </c>
      <c r="W155" s="69" t="n">
        <f aca="false">W154-V154</f>
        <v>0</v>
      </c>
      <c r="X155" s="69" t="n">
        <f aca="false">X154-W154</f>
        <v>0</v>
      </c>
      <c r="Y155" s="69" t="n">
        <f aca="false">Y154-X154</f>
        <v>0</v>
      </c>
      <c r="Z155" s="69" t="n">
        <f aca="false">Z154-Y154</f>
        <v>0</v>
      </c>
      <c r="AA155" s="69" t="n">
        <f aca="false">AA154-Z154</f>
        <v>0</v>
      </c>
      <c r="AB155" s="69" t="n">
        <f aca="false">AB154-AA154</f>
        <v>0</v>
      </c>
    </row>
    <row r="156" customFormat="false" ht="15" hidden="false" customHeight="false" outlineLevel="0" collapsed="false">
      <c r="A156" s="27" t="s">
        <v>745</v>
      </c>
      <c r="B156" s="56" t="s">
        <v>746</v>
      </c>
      <c r="C156" s="57" t="n">
        <f aca="false">P156</f>
        <v>0</v>
      </c>
      <c r="D156" s="57" t="n">
        <f aca="false">AB156</f>
        <v>0</v>
      </c>
      <c r="E156" s="70" t="n">
        <f aca="false">MAX(0,E148-E153)*(1-E149)</f>
        <v>0</v>
      </c>
      <c r="F156" s="70" t="n">
        <f aca="false">MAX(0,F148-F153)*(1-F149)</f>
        <v>0</v>
      </c>
      <c r="G156" s="70" t="n">
        <f aca="false">MAX(0,G148-G153)*(1-G149)</f>
        <v>0</v>
      </c>
      <c r="H156" s="70" t="n">
        <f aca="false">MAX(0,H148-H153)*(1-H149)</f>
        <v>0</v>
      </c>
      <c r="I156" s="70" t="n">
        <f aca="false">MAX(0,I148-I153)*(1-I149)</f>
        <v>0</v>
      </c>
      <c r="J156" s="70" t="n">
        <f aca="false">MAX(0,J148-J153)*(1-J149)</f>
        <v>0</v>
      </c>
      <c r="K156" s="70" t="n">
        <f aca="false">MAX(0,K148-K153)*(1-K149)</f>
        <v>0</v>
      </c>
      <c r="L156" s="70" t="n">
        <f aca="false">MAX(0,L148-L153)*(1-L149)</f>
        <v>0</v>
      </c>
      <c r="M156" s="70" t="n">
        <f aca="false">MAX(0,M148-M153)*(1-M149)</f>
        <v>0</v>
      </c>
      <c r="N156" s="70" t="n">
        <f aca="false">MAX(0,N148-N153)*(1-N149)</f>
        <v>0</v>
      </c>
      <c r="O156" s="70" t="n">
        <f aca="false">MAX(0,O148-O153)*(1-O149)</f>
        <v>0</v>
      </c>
      <c r="P156" s="70" t="n">
        <f aca="false">MAX(0,P148-P153)*(1-P149)</f>
        <v>0</v>
      </c>
      <c r="Q156" s="70" t="n">
        <f aca="false">MAX(0,Q148-Q153)*(1-Q149)</f>
        <v>0</v>
      </c>
      <c r="R156" s="70" t="n">
        <f aca="false">MAX(0,R148-R153)*(1-R149)</f>
        <v>0</v>
      </c>
      <c r="S156" s="70" t="n">
        <f aca="false">MAX(0,S148-S153)*(1-S149)</f>
        <v>0</v>
      </c>
      <c r="T156" s="70" t="n">
        <f aca="false">MAX(0,T148-T153)*(1-T149)</f>
        <v>0</v>
      </c>
      <c r="U156" s="70" t="n">
        <f aca="false">MAX(0,U148-U153)*(1-U149)</f>
        <v>0</v>
      </c>
      <c r="V156" s="70" t="n">
        <f aca="false">MAX(0,V148-V153)*(1-V149)</f>
        <v>0</v>
      </c>
      <c r="W156" s="70" t="n">
        <f aca="false">MAX(0,W148-W153)*(1-W149)</f>
        <v>0</v>
      </c>
      <c r="X156" s="70" t="n">
        <f aca="false">MAX(0,X148-X153)*(1-X149)</f>
        <v>0</v>
      </c>
      <c r="Y156" s="70" t="n">
        <f aca="false">MAX(0,Y148-Y153)*(1-Y149)</f>
        <v>0</v>
      </c>
      <c r="Z156" s="70" t="n">
        <f aca="false">MAX(0,Z148-Z153)*(1-Z149)</f>
        <v>0</v>
      </c>
      <c r="AA156" s="70" t="n">
        <f aca="false">MAX(0,AA148-AA153)*(1-AA149)</f>
        <v>0</v>
      </c>
      <c r="AB156" s="70" t="n">
        <f aca="false">MAX(0,AB148-AB153)*(1-AB149)</f>
        <v>0</v>
      </c>
    </row>
    <row r="157" customFormat="false" ht="15" hidden="false" customHeight="false" outlineLevel="0" collapsed="false">
      <c r="A157" s="27" t="s">
        <v>747</v>
      </c>
      <c r="B157" s="56"/>
      <c r="C157" s="57" t="n">
        <f aca="false">SUM(E157:P157)</f>
        <v>0</v>
      </c>
      <c r="D157" s="57" t="n">
        <f aca="false">SUM(Q157:AB157)</f>
        <v>0</v>
      </c>
      <c r="E157" s="70" t="n">
        <f aca="false">-(E156-0)</f>
        <v>-0</v>
      </c>
      <c r="F157" s="70" t="n">
        <f aca="false">-(F156-E156)</f>
        <v>-0</v>
      </c>
      <c r="G157" s="70" t="n">
        <f aca="false">-(G156-F156)</f>
        <v>-0</v>
      </c>
      <c r="H157" s="70" t="n">
        <f aca="false">-(H156-G156)</f>
        <v>-0</v>
      </c>
      <c r="I157" s="70" t="n">
        <f aca="false">-(I156-H156)</f>
        <v>-0</v>
      </c>
      <c r="J157" s="70" t="n">
        <f aca="false">-(J156-I156)</f>
        <v>-0</v>
      </c>
      <c r="K157" s="70" t="n">
        <f aca="false">-(K156-J156)</f>
        <v>-0</v>
      </c>
      <c r="L157" s="70" t="n">
        <f aca="false">-(L156-K156)</f>
        <v>-0</v>
      </c>
      <c r="M157" s="70" t="n">
        <f aca="false">-(M156-L156)</f>
        <v>-0</v>
      </c>
      <c r="N157" s="70" t="n">
        <f aca="false">-(N156-M156)</f>
        <v>-0</v>
      </c>
      <c r="O157" s="70" t="n">
        <f aca="false">-(O156-N156)</f>
        <v>-0</v>
      </c>
      <c r="P157" s="70" t="n">
        <f aca="false">-(P156-O156)</f>
        <v>-0</v>
      </c>
      <c r="Q157" s="70" t="n">
        <f aca="false">-(Q156-P156)</f>
        <v>-0</v>
      </c>
      <c r="R157" s="70" t="n">
        <f aca="false">-(R156-Q156)</f>
        <v>-0</v>
      </c>
      <c r="S157" s="70" t="n">
        <f aca="false">-(S156-R156)</f>
        <v>-0</v>
      </c>
      <c r="T157" s="70" t="n">
        <f aca="false">-(T156-S156)</f>
        <v>-0</v>
      </c>
      <c r="U157" s="70" t="n">
        <f aca="false">-(U156-T156)</f>
        <v>-0</v>
      </c>
      <c r="V157" s="70" t="n">
        <f aca="false">-(V156-U156)</f>
        <v>-0</v>
      </c>
      <c r="W157" s="70" t="n">
        <f aca="false">-(W156-V156)</f>
        <v>-0</v>
      </c>
      <c r="X157" s="70" t="n">
        <f aca="false">-(X156-W156)</f>
        <v>-0</v>
      </c>
      <c r="Y157" s="70" t="n">
        <f aca="false">-(Y156-X156)</f>
        <v>-0</v>
      </c>
      <c r="Z157" s="70" t="n">
        <f aca="false">-(Z156-Y156)</f>
        <v>-0</v>
      </c>
      <c r="AA157" s="70" t="n">
        <f aca="false">-(AA156-Z156)</f>
        <v>-0</v>
      </c>
      <c r="AB157" s="70" t="n">
        <f aca="false">-(AB156-AA156)</f>
        <v>-0</v>
      </c>
    </row>
    <row r="158" customFormat="false" ht="15" hidden="false" customHeight="false" outlineLevel="0" collapsed="false">
      <c r="A158" s="67" t="s">
        <v>748</v>
      </c>
      <c r="B158" s="68" t="s">
        <v>749</v>
      </c>
      <c r="C158" s="69" t="n">
        <f aca="false">SUM(E158:P158)</f>
        <v>141451.395700299</v>
      </c>
      <c r="D158" s="69" t="n">
        <f aca="false">SUM(Q158:AB158)</f>
        <v>20623.6042997011</v>
      </c>
      <c r="E158" s="69" t="n">
        <f aca="false">E155-E146+E157</f>
        <v>0</v>
      </c>
      <c r="F158" s="69" t="n">
        <f aca="false">F155-F146+F157</f>
        <v>0</v>
      </c>
      <c r="G158" s="69" t="n">
        <f aca="false">G155-G146+G157</f>
        <v>0</v>
      </c>
      <c r="H158" s="69" t="n">
        <f aca="false">H155-H146+H157</f>
        <v>0</v>
      </c>
      <c r="I158" s="69" t="n">
        <f aca="false">I155-I146+I157</f>
        <v>0</v>
      </c>
      <c r="J158" s="69" t="n">
        <f aca="false">J155-J146+J157</f>
        <v>4569.81</v>
      </c>
      <c r="K158" s="69" t="n">
        <f aca="false">K155-K146+K157</f>
        <v>12467.87</v>
      </c>
      <c r="L158" s="69" t="n">
        <f aca="false">L155-L146+L157</f>
        <v>23245.37</v>
      </c>
      <c r="M158" s="69" t="n">
        <f aca="false">M155-M146+M157</f>
        <v>25314.2593289867</v>
      </c>
      <c r="N158" s="69" t="n">
        <f aca="false">N155-N146+N157</f>
        <v>28330.1286372182</v>
      </c>
      <c r="O158" s="69" t="n">
        <f aca="false">O155-O146+O157</f>
        <v>25779.5053746263</v>
      </c>
      <c r="P158" s="69" t="n">
        <f aca="false">P155-P146+P157</f>
        <v>21744.4523594675</v>
      </c>
      <c r="Q158" s="69" t="n">
        <f aca="false">Q155-Q146+Q157</f>
        <v>15019.3640008694</v>
      </c>
      <c r="R158" s="69" t="n">
        <f aca="false">R155-R146+R157</f>
        <v>5604.24029883169</v>
      </c>
      <c r="S158" s="69" t="n">
        <f aca="false">S155-S146+S157</f>
        <v>0</v>
      </c>
      <c r="T158" s="69" t="n">
        <f aca="false">T155-T146+T157</f>
        <v>0</v>
      </c>
      <c r="U158" s="69" t="n">
        <f aca="false">U155-U146+U157</f>
        <v>0</v>
      </c>
      <c r="V158" s="69" t="n">
        <f aca="false">V155-V146+V157</f>
        <v>0</v>
      </c>
      <c r="W158" s="69" t="n">
        <f aca="false">W155-W146+W157</f>
        <v>0</v>
      </c>
      <c r="X158" s="69" t="n">
        <f aca="false">X155-X146+X157</f>
        <v>0</v>
      </c>
      <c r="Y158" s="69" t="n">
        <f aca="false">Y155-Y146+Y157</f>
        <v>0</v>
      </c>
      <c r="Z158" s="69" t="n">
        <f aca="false">Z155-Z146+Z157</f>
        <v>0</v>
      </c>
      <c r="AA158" s="69" t="n">
        <f aca="false">AA155-AA146+AA157</f>
        <v>0</v>
      </c>
      <c r="AB158" s="69" t="n">
        <f aca="false">AB155-AB146+AB157</f>
        <v>0</v>
      </c>
    </row>
    <row r="159" customFormat="false" ht="15" hidden="false" customHeight="false" outlineLevel="0" collapsed="false">
      <c r="A159" s="27" t="s">
        <v>750</v>
      </c>
      <c r="B159" s="56"/>
      <c r="C159" s="57" t="n">
        <f aca="false">P159</f>
        <v>980075</v>
      </c>
      <c r="D159" s="57" t="n">
        <f aca="false">AB159</f>
        <v>980075</v>
      </c>
      <c r="E159" s="58" t="n">
        <f aca="false">Project_Register!$AO$10+E150+Assumptions!$F$121*E152</f>
        <v>940000</v>
      </c>
      <c r="F159" s="58" t="n">
        <f aca="false">Project_Register!$AO$10+F150+Assumptions!$F$121*F152</f>
        <v>940000</v>
      </c>
      <c r="G159" s="58" t="n">
        <f aca="false">Project_Register!$AO$10+G150+Assumptions!$F$121*G152</f>
        <v>940000</v>
      </c>
      <c r="H159" s="58" t="n">
        <f aca="false">Project_Register!$AO$10+H150+Assumptions!$F$121*H152</f>
        <v>940000</v>
      </c>
      <c r="I159" s="58" t="n">
        <f aca="false">Project_Register!$AO$10+I150+Assumptions!$F$121*I152</f>
        <v>940000</v>
      </c>
      <c r="J159" s="58" t="n">
        <f aca="false">Project_Register!$AO$10+J150+Assumptions!$F$121*J152</f>
        <v>940000</v>
      </c>
      <c r="K159" s="58" t="n">
        <f aca="false">Project_Register!$AO$10+K150+Assumptions!$F$121*K152</f>
        <v>940000</v>
      </c>
      <c r="L159" s="58" t="n">
        <f aca="false">Project_Register!$AO$10+L150+Assumptions!$F$121*L152</f>
        <v>967400</v>
      </c>
      <c r="M159" s="58" t="n">
        <f aca="false">Project_Register!$AO$10+M150+Assumptions!$F$121*M152</f>
        <v>967400</v>
      </c>
      <c r="N159" s="58" t="n">
        <f aca="false">Project_Register!$AO$10+N150+Assumptions!$F$121*N152</f>
        <v>980075</v>
      </c>
      <c r="O159" s="58" t="n">
        <f aca="false">Project_Register!$AO$10+O150+Assumptions!$F$121*O152</f>
        <v>980075</v>
      </c>
      <c r="P159" s="58" t="n">
        <f aca="false">Project_Register!$AO$10+P150+Assumptions!$F$121*P152</f>
        <v>980075</v>
      </c>
      <c r="Q159" s="58" t="n">
        <f aca="false">Project_Register!$AO$10+Q150+Assumptions!$F$121*Q152</f>
        <v>980075</v>
      </c>
      <c r="R159" s="58" t="n">
        <f aca="false">Project_Register!$AO$10+R150+Assumptions!$F$121*R152</f>
        <v>980075</v>
      </c>
      <c r="S159" s="58" t="n">
        <f aca="false">Project_Register!$AO$10+S150+Assumptions!$F$121*S152</f>
        <v>980075</v>
      </c>
      <c r="T159" s="58" t="n">
        <f aca="false">Project_Register!$AO$10+T150+Assumptions!$F$121*T152</f>
        <v>980075</v>
      </c>
      <c r="U159" s="58" t="n">
        <f aca="false">Project_Register!$AO$10+U150+Assumptions!$F$121*U152</f>
        <v>980075</v>
      </c>
      <c r="V159" s="58" t="n">
        <f aca="false">Project_Register!$AO$10+V150+Assumptions!$F$121*V152</f>
        <v>980075</v>
      </c>
      <c r="W159" s="58" t="n">
        <f aca="false">Project_Register!$AO$10+W150+Assumptions!$F$121*W152</f>
        <v>980075</v>
      </c>
      <c r="X159" s="58" t="n">
        <f aca="false">Project_Register!$AO$10+X150+Assumptions!$F$121*X152</f>
        <v>980075</v>
      </c>
      <c r="Y159" s="58" t="n">
        <f aca="false">Project_Register!$AO$10+Y150+Assumptions!$F$121*Y152</f>
        <v>980075</v>
      </c>
      <c r="Z159" s="58" t="n">
        <f aca="false">Project_Register!$AO$10+Z150+Assumptions!$F$121*Z152</f>
        <v>980075</v>
      </c>
      <c r="AA159" s="58" t="n">
        <f aca="false">Project_Register!$AO$10+AA150+Assumptions!$F$121*AA152</f>
        <v>980075</v>
      </c>
      <c r="AB159" s="58" t="n">
        <f aca="false">Project_Register!$AO$10+AB150+Assumptions!$F$121*AB152</f>
        <v>980075</v>
      </c>
    </row>
    <row r="160" customFormat="false" ht="15" hidden="false" customHeight="false" outlineLevel="0" collapsed="false">
      <c r="A160" s="27" t="s">
        <v>751</v>
      </c>
      <c r="B160" s="56" t="s">
        <v>752</v>
      </c>
      <c r="C160" s="57" t="n">
        <f aca="false">P160</f>
        <v>723873.407340831</v>
      </c>
      <c r="D160" s="57" t="n">
        <f aca="false">AB160</f>
        <v>980075</v>
      </c>
      <c r="E160" s="58" t="n">
        <f aca="false">IF(E$5="A",Project_Register!$AE$10+Inputs_Actuals!E43,IF(Assumptions!E$96&gt;=Project_Register!$AM$10,E159,MIN(E159,MAX(Project_Register!$AE$10,0*E159))))</f>
        <v>0</v>
      </c>
      <c r="F160" s="58" t="n">
        <f aca="false">IF(F$5="A",E160+Inputs_Actuals!F43,IF(Assumptions!F$96&gt;=Project_Register!$AM$10,F159,MIN(F159,MAX(E160,E149*F159))))</f>
        <v>0</v>
      </c>
      <c r="G160" s="58" t="n">
        <f aca="false">IF(G$5="A",F160+Inputs_Actuals!G43,IF(Assumptions!G$96&gt;=Project_Register!$AM$10,G159,MIN(G159,MAX(F160,F149*G159))))</f>
        <v>0</v>
      </c>
      <c r="H160" s="58" t="n">
        <f aca="false">IF(H$5="A",G160+Inputs_Actuals!H43,IF(Assumptions!H$96&gt;=Project_Register!$AM$10,H159,MIN(H159,MAX(G160,G149*H159))))</f>
        <v>0</v>
      </c>
      <c r="I160" s="58" t="n">
        <f aca="false">IF(I$5="A",H160+Inputs_Actuals!I43,IF(Assumptions!I$96&gt;=Project_Register!$AM$10,I159,MIN(I159,MAX(H160,H149*I159))))</f>
        <v>0</v>
      </c>
      <c r="J160" s="58" t="n">
        <f aca="false">IF(J$5="A",I160+Inputs_Actuals!J43,IF(Assumptions!J$96&gt;=Project_Register!$AM$10,J159,MIN(J159,MAX(I160,I149*J159))))</f>
        <v>0</v>
      </c>
      <c r="K160" s="58" t="n">
        <f aca="false">IF(K$5="A",J160+Inputs_Actuals!K43,IF(Assumptions!K$96&gt;=Project_Register!$AM$10,K159,MIN(K159,MAX(J160,J149*K159))))</f>
        <v>30165.85</v>
      </c>
      <c r="L160" s="58" t="n">
        <f aca="false">IF(L$5="A",K160+Inputs_Actuals!L43,IF(Assumptions!L$96&gt;=Project_Register!$AM$10,L159,MIN(L159,MAX(K160,K149*L159))))</f>
        <v>120837.64</v>
      </c>
      <c r="M160" s="58" t="n">
        <f aca="false">IF(M$5="A",L160+Inputs_Actuals!M43,IF(Assumptions!M$96&gt;=Project_Register!$AM$10,M159,MIN(M159,MAX(L160,L149*M159))))</f>
        <v>244862.232880196</v>
      </c>
      <c r="N160" s="58" t="n">
        <f aca="false">IF(N$5="A",M160+Inputs_Actuals!N43,IF(Assumptions!N$96&gt;=Project_Register!$AM$10,N159,MIN(N159,MAX(M160,M149*N159))))</f>
        <v>403960.307512451</v>
      </c>
      <c r="O160" s="58" t="n">
        <f aca="false">IF(O$5="A",N160+Inputs_Actuals!O43,IF(Assumptions!O$96&gt;=Project_Register!$AM$10,O159,MIN(O159,MAX(N160,N149*O159))))</f>
        <v>567983.549373612</v>
      </c>
      <c r="P160" s="58" t="n">
        <f aca="false">IF(P$5="A",O160+Inputs_Actuals!P43,IF(Assumptions!P$96&gt;=Project_Register!$AM$10,P159,MIN(P159,MAX(O160,O149*P159))))</f>
        <v>723873.407340831</v>
      </c>
      <c r="Q160" s="58" t="n">
        <f aca="false">IF(Q$5="A",P160+Inputs_Actuals!Q43,IF(Assumptions!Q$96&gt;=Project_Register!$AM$10,Q159,MIN(Q159,MAX(P160,P149*Q159))))</f>
        <v>855363.113626225</v>
      </c>
      <c r="R160" s="58" t="n">
        <f aca="false">IF(R$5="A",Q160+Inputs_Actuals!R43,IF(Assumptions!R$96&gt;=Project_Register!$AM$10,R159,MIN(R159,MAX(Q160,Q149*R159))))</f>
        <v>946185.900441909</v>
      </c>
      <c r="S160" s="58" t="n">
        <f aca="false">IF(S$5="A",R160+Inputs_Actuals!S43,IF(Assumptions!S$96&gt;=Project_Register!$AM$10,S159,MIN(S159,MAX(R160,R149*S159))))</f>
        <v>980075</v>
      </c>
      <c r="T160" s="58" t="n">
        <f aca="false">IF(T$5="A",S160+Inputs_Actuals!T43,IF(Assumptions!T$96&gt;=Project_Register!$AM$10,T159,MIN(T159,MAX(S160,S149*T159))))</f>
        <v>980075</v>
      </c>
      <c r="U160" s="58" t="n">
        <f aca="false">IF(U$5="A",T160+Inputs_Actuals!U43,IF(Assumptions!U$96&gt;=Project_Register!$AM$10,U159,MIN(U159,MAX(T160,T149*U159))))</f>
        <v>980075</v>
      </c>
      <c r="V160" s="58" t="n">
        <f aca="false">IF(V$5="A",U160+Inputs_Actuals!V43,IF(Assumptions!V$96&gt;=Project_Register!$AM$10,V159,MIN(V159,MAX(U160,U149*V159))))</f>
        <v>980075</v>
      </c>
      <c r="W160" s="58" t="n">
        <f aca="false">IF(W$5="A",V160+Inputs_Actuals!W43,IF(Assumptions!W$96&gt;=Project_Register!$AM$10,W159,MIN(W159,MAX(V160,V149*W159))))</f>
        <v>980075</v>
      </c>
      <c r="X160" s="58" t="n">
        <f aca="false">IF(X$5="A",W160+Inputs_Actuals!X43,IF(Assumptions!X$96&gt;=Project_Register!$AM$10,X159,MIN(X159,MAX(W160,W149*X159))))</f>
        <v>980075</v>
      </c>
      <c r="Y160" s="58" t="n">
        <f aca="false">IF(Y$5="A",X160+Inputs_Actuals!Y43,IF(Assumptions!Y$96&gt;=Project_Register!$AM$10,Y159,MIN(Y159,MAX(X160,X149*Y159))))</f>
        <v>980075</v>
      </c>
      <c r="Z160" s="58" t="n">
        <f aca="false">IF(Z$5="A",Y160+Inputs_Actuals!Z43,IF(Assumptions!Z$96&gt;=Project_Register!$AM$10,Z159,MIN(Z159,MAX(Y160,Y149*Z159))))</f>
        <v>980075</v>
      </c>
      <c r="AA160" s="58" t="n">
        <f aca="false">IF(AA$5="A",Z160+Inputs_Actuals!AA43,IF(Assumptions!AA$96&gt;=Project_Register!$AM$10,AA159,MIN(AA159,MAX(Z160,Z149*AA159))))</f>
        <v>980075</v>
      </c>
      <c r="AB160" s="58" t="n">
        <f aca="false">IF(AB$5="A",AA160+Inputs_Actuals!AB43,IF(Assumptions!AB$96&gt;=Project_Register!$AM$10,AB159,MIN(AB159,MAX(AA160,AA149*AB159))))</f>
        <v>980075</v>
      </c>
    </row>
    <row r="161" customFormat="false" ht="15" hidden="false" customHeight="false" outlineLevel="0" collapsed="false">
      <c r="A161" s="27" t="s">
        <v>753</v>
      </c>
      <c r="B161" s="56"/>
      <c r="C161" s="57" t="n">
        <f aca="false">SUM(E161:P161)</f>
        <v>723873.407340831</v>
      </c>
      <c r="D161" s="57" t="n">
        <f aca="false">SUM(Q161:AB161)</f>
        <v>256201.592659169</v>
      </c>
      <c r="E161" s="58" t="n">
        <f aca="false">E160-Project_Register!$AE$10</f>
        <v>0</v>
      </c>
      <c r="F161" s="70" t="n">
        <f aca="false">F160-E160</f>
        <v>0</v>
      </c>
      <c r="G161" s="70" t="n">
        <f aca="false">G160-F160</f>
        <v>0</v>
      </c>
      <c r="H161" s="70" t="n">
        <f aca="false">H160-G160</f>
        <v>0</v>
      </c>
      <c r="I161" s="70" t="n">
        <f aca="false">I160-H160</f>
        <v>0</v>
      </c>
      <c r="J161" s="70" t="n">
        <f aca="false">J160-I160</f>
        <v>0</v>
      </c>
      <c r="K161" s="70" t="n">
        <f aca="false">K160-J160</f>
        <v>30165.85</v>
      </c>
      <c r="L161" s="70" t="n">
        <f aca="false">L160-K160</f>
        <v>90671.79</v>
      </c>
      <c r="M161" s="70" t="n">
        <f aca="false">M160-L160</f>
        <v>124024.592880196</v>
      </c>
      <c r="N161" s="70" t="n">
        <f aca="false">N160-M160</f>
        <v>159098.074632256</v>
      </c>
      <c r="O161" s="70" t="n">
        <f aca="false">O160-N160</f>
        <v>164023.241861161</v>
      </c>
      <c r="P161" s="70" t="n">
        <f aca="false">P160-O160</f>
        <v>155889.857967219</v>
      </c>
      <c r="Q161" s="70" t="n">
        <f aca="false">Q160-P160</f>
        <v>131489.706285393</v>
      </c>
      <c r="R161" s="70" t="n">
        <f aca="false">R160-Q160</f>
        <v>90822.7868156844</v>
      </c>
      <c r="S161" s="70" t="n">
        <f aca="false">S160-R160</f>
        <v>33889.0995580908</v>
      </c>
      <c r="T161" s="70" t="n">
        <f aca="false">T160-S160</f>
        <v>0</v>
      </c>
      <c r="U161" s="70" t="n">
        <f aca="false">U160-T160</f>
        <v>0</v>
      </c>
      <c r="V161" s="70" t="n">
        <f aca="false">V160-U160</f>
        <v>0</v>
      </c>
      <c r="W161" s="70" t="n">
        <f aca="false">W160-V160</f>
        <v>0</v>
      </c>
      <c r="X161" s="70" t="n">
        <f aca="false">X160-W160</f>
        <v>0</v>
      </c>
      <c r="Y161" s="70" t="n">
        <f aca="false">Y160-X160</f>
        <v>0</v>
      </c>
      <c r="Z161" s="70" t="n">
        <f aca="false">Z160-Y160</f>
        <v>0</v>
      </c>
      <c r="AA161" s="70" t="n">
        <f aca="false">AA160-Z160</f>
        <v>0</v>
      </c>
      <c r="AB161" s="70" t="n">
        <f aca="false">AB160-AA160</f>
        <v>0</v>
      </c>
    </row>
    <row r="162" customFormat="false" ht="15" hidden="false" customHeight="false" outlineLevel="0" collapsed="false">
      <c r="A162" s="27" t="s">
        <v>754</v>
      </c>
      <c r="B162" s="56" t="s">
        <v>755</v>
      </c>
      <c r="C162" s="57" t="n">
        <f aca="false">P162</f>
        <v>21716.2022202249</v>
      </c>
      <c r="D162" s="57" t="n">
        <f aca="false">AB162</f>
        <v>14701.125</v>
      </c>
      <c r="E162" s="58" t="n">
        <f aca="false">Project_Register!$Q$10*E160*(1-Project_Register!$R$10*(Assumptions!E$96&gt;=Project_Register!$AK$10+1)-(1-Project_Register!$R$10)*(Assumptions!E$96&gt;=Project_Register!$AN$10))</f>
        <v>0</v>
      </c>
      <c r="F162" s="58" t="n">
        <f aca="false">Project_Register!$Q$10*F160*(1-Project_Register!$R$10*(Assumptions!F$96&gt;=Project_Register!$AK$10+1)-(1-Project_Register!$R$10)*(Assumptions!F$96&gt;=Project_Register!$AN$10))</f>
        <v>0</v>
      </c>
      <c r="G162" s="58" t="n">
        <f aca="false">Project_Register!$Q$10*G160*(1-Project_Register!$R$10*(Assumptions!G$96&gt;=Project_Register!$AK$10+1)-(1-Project_Register!$R$10)*(Assumptions!G$96&gt;=Project_Register!$AN$10))</f>
        <v>0</v>
      </c>
      <c r="H162" s="58" t="n">
        <f aca="false">Project_Register!$Q$10*H160*(1-Project_Register!$R$10*(Assumptions!H$96&gt;=Project_Register!$AK$10+1)-(1-Project_Register!$R$10)*(Assumptions!H$96&gt;=Project_Register!$AN$10))</f>
        <v>0</v>
      </c>
      <c r="I162" s="58" t="n">
        <f aca="false">Project_Register!$Q$10*I160*(1-Project_Register!$R$10*(Assumptions!I$96&gt;=Project_Register!$AK$10+1)-(1-Project_Register!$R$10)*(Assumptions!I$96&gt;=Project_Register!$AN$10))</f>
        <v>0</v>
      </c>
      <c r="J162" s="58" t="n">
        <f aca="false">Project_Register!$Q$10*J160*(1-Project_Register!$R$10*(Assumptions!J$96&gt;=Project_Register!$AK$10+1)-(1-Project_Register!$R$10)*(Assumptions!J$96&gt;=Project_Register!$AN$10))</f>
        <v>0</v>
      </c>
      <c r="K162" s="58" t="n">
        <f aca="false">Project_Register!$Q$10*K160*(1-Project_Register!$R$10*(Assumptions!K$96&gt;=Project_Register!$AK$10+1)-(1-Project_Register!$R$10)*(Assumptions!K$96&gt;=Project_Register!$AN$10))</f>
        <v>904.9755</v>
      </c>
      <c r="L162" s="58" t="n">
        <f aca="false">Project_Register!$Q$10*L160*(1-Project_Register!$R$10*(Assumptions!L$96&gt;=Project_Register!$AK$10+1)-(1-Project_Register!$R$10)*(Assumptions!L$96&gt;=Project_Register!$AN$10))</f>
        <v>3625.1292</v>
      </c>
      <c r="M162" s="58" t="n">
        <f aca="false">Project_Register!$Q$10*M160*(1-Project_Register!$R$10*(Assumptions!M$96&gt;=Project_Register!$AK$10+1)-(1-Project_Register!$R$10)*(Assumptions!M$96&gt;=Project_Register!$AN$10))</f>
        <v>7345.86698640587</v>
      </c>
      <c r="N162" s="58" t="n">
        <f aca="false">Project_Register!$Q$10*N160*(1-Project_Register!$R$10*(Assumptions!N$96&gt;=Project_Register!$AK$10+1)-(1-Project_Register!$R$10)*(Assumptions!N$96&gt;=Project_Register!$AN$10))</f>
        <v>12118.8092253735</v>
      </c>
      <c r="O162" s="58" t="n">
        <f aca="false">Project_Register!$Q$10*O160*(1-Project_Register!$R$10*(Assumptions!O$96&gt;=Project_Register!$AK$10+1)-(1-Project_Register!$R$10)*(Assumptions!O$96&gt;=Project_Register!$AN$10))</f>
        <v>17039.5064812084</v>
      </c>
      <c r="P162" s="58" t="n">
        <f aca="false">Project_Register!$Q$10*P160*(1-Project_Register!$R$10*(Assumptions!P$96&gt;=Project_Register!$AK$10+1)-(1-Project_Register!$R$10)*(Assumptions!P$96&gt;=Project_Register!$AN$10))</f>
        <v>21716.2022202249</v>
      </c>
      <c r="Q162" s="58" t="n">
        <f aca="false">Project_Register!$Q$10*Q160*(1-Project_Register!$R$10*(Assumptions!Q$96&gt;=Project_Register!$AK$10+1)-(1-Project_Register!$R$10)*(Assumptions!Q$96&gt;=Project_Register!$AN$10))</f>
        <v>25660.8934087867</v>
      </c>
      <c r="R162" s="58" t="n">
        <f aca="false">Project_Register!$Q$10*R160*(1-Project_Register!$R$10*(Assumptions!R$96&gt;=Project_Register!$AK$10+1)-(1-Project_Register!$R$10)*(Assumptions!R$96&gt;=Project_Register!$AN$10))</f>
        <v>28385.5770132573</v>
      </c>
      <c r="S162" s="58" t="n">
        <f aca="false">Project_Register!$Q$10*S160*(1-Project_Register!$R$10*(Assumptions!S$96&gt;=Project_Register!$AK$10+1)-(1-Project_Register!$R$10)*(Assumptions!S$96&gt;=Project_Register!$AN$10))</f>
        <v>14701.125</v>
      </c>
      <c r="T162" s="58" t="n">
        <f aca="false">Project_Register!$Q$10*T160*(1-Project_Register!$R$10*(Assumptions!T$96&gt;=Project_Register!$AK$10+1)-(1-Project_Register!$R$10)*(Assumptions!T$96&gt;=Project_Register!$AN$10))</f>
        <v>14701.125</v>
      </c>
      <c r="U162" s="58" t="n">
        <f aca="false">Project_Register!$Q$10*U160*(1-Project_Register!$R$10*(Assumptions!U$96&gt;=Project_Register!$AK$10+1)-(1-Project_Register!$R$10)*(Assumptions!U$96&gt;=Project_Register!$AN$10))</f>
        <v>14701.125</v>
      </c>
      <c r="V162" s="58" t="n">
        <f aca="false">Project_Register!$Q$10*V160*(1-Project_Register!$R$10*(Assumptions!V$96&gt;=Project_Register!$AK$10+1)-(1-Project_Register!$R$10)*(Assumptions!V$96&gt;=Project_Register!$AN$10))</f>
        <v>14701.125</v>
      </c>
      <c r="W162" s="58" t="n">
        <f aca="false">Project_Register!$Q$10*W160*(1-Project_Register!$R$10*(Assumptions!W$96&gt;=Project_Register!$AK$10+1)-(1-Project_Register!$R$10)*(Assumptions!W$96&gt;=Project_Register!$AN$10))</f>
        <v>14701.125</v>
      </c>
      <c r="X162" s="58" t="n">
        <f aca="false">Project_Register!$Q$10*X160*(1-Project_Register!$R$10*(Assumptions!X$96&gt;=Project_Register!$AK$10+1)-(1-Project_Register!$R$10)*(Assumptions!X$96&gt;=Project_Register!$AN$10))</f>
        <v>14701.125</v>
      </c>
      <c r="Y162" s="58" t="n">
        <f aca="false">Project_Register!$Q$10*Y160*(1-Project_Register!$R$10*(Assumptions!Y$96&gt;=Project_Register!$AK$10+1)-(1-Project_Register!$R$10)*(Assumptions!Y$96&gt;=Project_Register!$AN$10))</f>
        <v>14701.125</v>
      </c>
      <c r="Z162" s="58" t="n">
        <f aca="false">Project_Register!$Q$10*Z160*(1-Project_Register!$R$10*(Assumptions!Z$96&gt;=Project_Register!$AK$10+1)-(1-Project_Register!$R$10)*(Assumptions!Z$96&gt;=Project_Register!$AN$10))</f>
        <v>14701.125</v>
      </c>
      <c r="AA162" s="58" t="n">
        <f aca="false">Project_Register!$Q$10*AA160*(1-Project_Register!$R$10*(Assumptions!AA$96&gt;=Project_Register!$AK$10+1)-(1-Project_Register!$R$10)*(Assumptions!AA$96&gt;=Project_Register!$AN$10))</f>
        <v>14701.125</v>
      </c>
      <c r="AB162" s="58" t="n">
        <f aca="false">Project_Register!$Q$10*AB160*(1-Project_Register!$R$10*(Assumptions!AB$96&gt;=Project_Register!$AK$10+1)-(1-Project_Register!$R$10)*(Assumptions!AB$96&gt;=Project_Register!$AN$10))</f>
        <v>14701.125</v>
      </c>
    </row>
    <row r="163" customFormat="false" ht="15" hidden="false" customHeight="false" outlineLevel="0" collapsed="false">
      <c r="A163" s="27" t="s">
        <v>756</v>
      </c>
      <c r="B163" s="56"/>
      <c r="C163" s="57" t="n">
        <f aca="false">SUM(E163:P163)</f>
        <v>21716.2022202249</v>
      </c>
      <c r="D163" s="57" t="n">
        <f aca="false">SUM(Q163:AB163)</f>
        <v>-7015.07722022494</v>
      </c>
      <c r="E163" s="58" t="n">
        <f aca="false">E162-Project_Register!$AW$10</f>
        <v>0</v>
      </c>
      <c r="F163" s="70" t="n">
        <f aca="false">F162-E162</f>
        <v>0</v>
      </c>
      <c r="G163" s="70" t="n">
        <f aca="false">G162-F162</f>
        <v>0</v>
      </c>
      <c r="H163" s="70" t="n">
        <f aca="false">H162-G162</f>
        <v>0</v>
      </c>
      <c r="I163" s="70" t="n">
        <f aca="false">I162-H162</f>
        <v>0</v>
      </c>
      <c r="J163" s="70" t="n">
        <f aca="false">J162-I162</f>
        <v>0</v>
      </c>
      <c r="K163" s="70" t="n">
        <f aca="false">K162-J162</f>
        <v>904.9755</v>
      </c>
      <c r="L163" s="70" t="n">
        <f aca="false">L162-K162</f>
        <v>2720.1537</v>
      </c>
      <c r="M163" s="70" t="n">
        <f aca="false">M162-L162</f>
        <v>3720.73778640587</v>
      </c>
      <c r="N163" s="70" t="n">
        <f aca="false">N162-M162</f>
        <v>4772.94223896767</v>
      </c>
      <c r="O163" s="70" t="n">
        <f aca="false">O162-N162</f>
        <v>4920.69725583483</v>
      </c>
      <c r="P163" s="70" t="n">
        <f aca="false">P162-O162</f>
        <v>4676.69573901656</v>
      </c>
      <c r="Q163" s="70" t="n">
        <f aca="false">Q162-P162</f>
        <v>3944.6911885618</v>
      </c>
      <c r="R163" s="70" t="n">
        <f aca="false">R162-Q162</f>
        <v>2724.68360447053</v>
      </c>
      <c r="S163" s="70" t="n">
        <f aca="false">S162-R162</f>
        <v>-13684.4520132573</v>
      </c>
      <c r="T163" s="70" t="n">
        <f aca="false">T162-S162</f>
        <v>0</v>
      </c>
      <c r="U163" s="70" t="n">
        <f aca="false">U162-T162</f>
        <v>0</v>
      </c>
      <c r="V163" s="70" t="n">
        <f aca="false">V162-U162</f>
        <v>0</v>
      </c>
      <c r="W163" s="70" t="n">
        <f aca="false">W162-V162</f>
        <v>0</v>
      </c>
      <c r="X163" s="70" t="n">
        <f aca="false">X162-W162</f>
        <v>0</v>
      </c>
      <c r="Y163" s="70" t="n">
        <f aca="false">Y162-X162</f>
        <v>0</v>
      </c>
      <c r="Z163" s="70" t="n">
        <f aca="false">Z162-Y162</f>
        <v>0</v>
      </c>
      <c r="AA163" s="70" t="n">
        <f aca="false">AA162-Z162</f>
        <v>0</v>
      </c>
      <c r="AB163" s="70" t="n">
        <f aca="false">AB162-AA162</f>
        <v>0</v>
      </c>
    </row>
    <row r="164" customFormat="false" ht="15" hidden="false" customHeight="false" outlineLevel="0" collapsed="false">
      <c r="A164" s="27" t="s">
        <v>757</v>
      </c>
      <c r="B164" s="56"/>
      <c r="C164" s="57" t="n">
        <f aca="false">SUM(E164:P164)</f>
        <v>702157.205120606</v>
      </c>
      <c r="D164" s="57" t="n">
        <f aca="false">SUM(Q164:AB164)</f>
        <v>263216.669879393</v>
      </c>
      <c r="E164" s="70" t="n">
        <f aca="false">E161-E163</f>
        <v>0</v>
      </c>
      <c r="F164" s="70" t="n">
        <f aca="false">F161-F163</f>
        <v>0</v>
      </c>
      <c r="G164" s="70" t="n">
        <f aca="false">G161-G163</f>
        <v>0</v>
      </c>
      <c r="H164" s="70" t="n">
        <f aca="false">H161-H163</f>
        <v>0</v>
      </c>
      <c r="I164" s="70" t="n">
        <f aca="false">I161-I163</f>
        <v>0</v>
      </c>
      <c r="J164" s="70" t="n">
        <f aca="false">J161-J163</f>
        <v>0</v>
      </c>
      <c r="K164" s="70" t="n">
        <f aca="false">K161-K163</f>
        <v>29260.8745</v>
      </c>
      <c r="L164" s="70" t="n">
        <f aca="false">L161-L163</f>
        <v>87951.6363</v>
      </c>
      <c r="M164" s="70" t="n">
        <f aca="false">M161-M163</f>
        <v>120303.85509379</v>
      </c>
      <c r="N164" s="70" t="n">
        <f aca="false">N161-N163</f>
        <v>154325.132393288</v>
      </c>
      <c r="O164" s="70" t="n">
        <f aca="false">O161-O163</f>
        <v>159102.544605326</v>
      </c>
      <c r="P164" s="70" t="n">
        <f aca="false">P161-P163</f>
        <v>151213.162228202</v>
      </c>
      <c r="Q164" s="70" t="n">
        <f aca="false">Q161-Q163</f>
        <v>127545.015096832</v>
      </c>
      <c r="R164" s="70" t="n">
        <f aca="false">R161-R163</f>
        <v>88098.1032112139</v>
      </c>
      <c r="S164" s="70" t="n">
        <f aca="false">S161-S163</f>
        <v>47573.5515713481</v>
      </c>
      <c r="T164" s="70" t="n">
        <f aca="false">T161-T163</f>
        <v>0</v>
      </c>
      <c r="U164" s="70" t="n">
        <f aca="false">U161-U163</f>
        <v>0</v>
      </c>
      <c r="V164" s="70" t="n">
        <f aca="false">V161-V163</f>
        <v>0</v>
      </c>
      <c r="W164" s="70" t="n">
        <f aca="false">W161-W163</f>
        <v>0</v>
      </c>
      <c r="X164" s="70" t="n">
        <f aca="false">X161-X163</f>
        <v>0</v>
      </c>
      <c r="Y164" s="70" t="n">
        <f aca="false">Y161-Y163</f>
        <v>0</v>
      </c>
      <c r="Z164" s="70" t="n">
        <f aca="false">Z161-Z163</f>
        <v>0</v>
      </c>
      <c r="AA164" s="70" t="n">
        <f aca="false">AA161-AA163</f>
        <v>0</v>
      </c>
      <c r="AB164" s="70" t="n">
        <f aca="false">AB161-AB163</f>
        <v>0</v>
      </c>
    </row>
    <row r="165" customFormat="false" ht="15" hidden="false" customHeight="false" outlineLevel="0" collapsed="false">
      <c r="A165" s="27" t="s">
        <v>758</v>
      </c>
      <c r="B165" s="56" t="s">
        <v>759</v>
      </c>
      <c r="C165" s="57" t="n">
        <f aca="false">SUM(E165:P165)</f>
        <v>94791.2226912818</v>
      </c>
      <c r="D165" s="57" t="n">
        <f aca="false">SUM(Q165:AB165)</f>
        <v>35534.2504337181</v>
      </c>
      <c r="E165" s="58" t="n">
        <f aca="false">E164*Project_Register!$W$10</f>
        <v>0</v>
      </c>
      <c r="F165" s="58" t="n">
        <f aca="false">F164*Project_Register!$W$10</f>
        <v>0</v>
      </c>
      <c r="G165" s="58" t="n">
        <f aca="false">G164*Project_Register!$W$10</f>
        <v>0</v>
      </c>
      <c r="H165" s="58" t="n">
        <f aca="false">H164*Project_Register!$W$10</f>
        <v>0</v>
      </c>
      <c r="I165" s="58" t="n">
        <f aca="false">I164*Project_Register!$W$10</f>
        <v>0</v>
      </c>
      <c r="J165" s="58" t="n">
        <f aca="false">J164*Project_Register!$W$10</f>
        <v>0</v>
      </c>
      <c r="K165" s="58" t="n">
        <f aca="false">K164*Project_Register!$W$10</f>
        <v>3950.2180575</v>
      </c>
      <c r="L165" s="58" t="n">
        <f aca="false">L164*Project_Register!$W$10</f>
        <v>11873.4709005</v>
      </c>
      <c r="M165" s="58" t="n">
        <f aca="false">M164*Project_Register!$W$10</f>
        <v>16241.0204376616</v>
      </c>
      <c r="N165" s="58" t="n">
        <f aca="false">N164*Project_Register!$W$10</f>
        <v>20833.8928730939</v>
      </c>
      <c r="O165" s="58" t="n">
        <f aca="false">O164*Project_Register!$W$10</f>
        <v>21478.843521719</v>
      </c>
      <c r="P165" s="58" t="n">
        <f aca="false">P164*Project_Register!$W$10</f>
        <v>20413.7769008073</v>
      </c>
      <c r="Q165" s="58" t="n">
        <f aca="false">Q164*Project_Register!$W$10</f>
        <v>17218.5770380723</v>
      </c>
      <c r="R165" s="58" t="n">
        <f aca="false">R164*Project_Register!$W$10</f>
        <v>11893.2439335139</v>
      </c>
      <c r="S165" s="58" t="n">
        <f aca="false">S164*Project_Register!$W$10</f>
        <v>6422.42946213199</v>
      </c>
      <c r="T165" s="58" t="n">
        <f aca="false">T164*Project_Register!$W$10</f>
        <v>0</v>
      </c>
      <c r="U165" s="58" t="n">
        <f aca="false">U164*Project_Register!$W$10</f>
        <v>0</v>
      </c>
      <c r="V165" s="58" t="n">
        <f aca="false">V164*Project_Register!$W$10</f>
        <v>0</v>
      </c>
      <c r="W165" s="58" t="n">
        <f aca="false">W164*Project_Register!$W$10</f>
        <v>0</v>
      </c>
      <c r="X165" s="58" t="n">
        <f aca="false">X164*Project_Register!$W$10</f>
        <v>0</v>
      </c>
      <c r="Y165" s="58" t="n">
        <f aca="false">Y164*Project_Register!$W$10</f>
        <v>0</v>
      </c>
      <c r="Z165" s="58" t="n">
        <f aca="false">Z164*Project_Register!$W$10</f>
        <v>0</v>
      </c>
      <c r="AA165" s="58" t="n">
        <f aca="false">AA164*Project_Register!$W$10</f>
        <v>0</v>
      </c>
      <c r="AB165" s="58" t="n">
        <f aca="false">AB164*Project_Register!$W$10</f>
        <v>0</v>
      </c>
    </row>
    <row r="166" customFormat="false" ht="15" hidden="false" customHeight="false" outlineLevel="0" collapsed="false">
      <c r="A166" s="27" t="s">
        <v>760</v>
      </c>
      <c r="B166" s="56"/>
      <c r="C166" s="57" t="n">
        <f aca="false">SUM(E166:P166)</f>
        <v>796948.427811888</v>
      </c>
      <c r="D166" s="57" t="n">
        <f aca="false">SUM(Q166:AB166)</f>
        <v>298750.920313112</v>
      </c>
      <c r="E166" s="70" t="n">
        <f aca="false">E164+E165</f>
        <v>0</v>
      </c>
      <c r="F166" s="70" t="n">
        <f aca="false">F164+F165</f>
        <v>0</v>
      </c>
      <c r="G166" s="70" t="n">
        <f aca="false">G164+G165</f>
        <v>0</v>
      </c>
      <c r="H166" s="70" t="n">
        <f aca="false">H164+H165</f>
        <v>0</v>
      </c>
      <c r="I166" s="70" t="n">
        <f aca="false">I164+I165</f>
        <v>0</v>
      </c>
      <c r="J166" s="70" t="n">
        <f aca="false">J164+J165</f>
        <v>0</v>
      </c>
      <c r="K166" s="70" t="n">
        <f aca="false">K164+K165</f>
        <v>33211.0925575</v>
      </c>
      <c r="L166" s="70" t="n">
        <f aca="false">L164+L165</f>
        <v>99825.1072005</v>
      </c>
      <c r="M166" s="70" t="n">
        <f aca="false">M164+M165</f>
        <v>136544.875531451</v>
      </c>
      <c r="N166" s="70" t="n">
        <f aca="false">N164+N165</f>
        <v>175159.025266382</v>
      </c>
      <c r="O166" s="70" t="n">
        <f aca="false">O164+O165</f>
        <v>180581.388127045</v>
      </c>
      <c r="P166" s="70" t="n">
        <f aca="false">P164+P165</f>
        <v>171626.93912901</v>
      </c>
      <c r="Q166" s="70" t="n">
        <f aca="false">Q164+Q165</f>
        <v>144763.592134904</v>
      </c>
      <c r="R166" s="70" t="n">
        <f aca="false">R164+R165</f>
        <v>99991.3471447277</v>
      </c>
      <c r="S166" s="70" t="n">
        <f aca="false">S164+S165</f>
        <v>53995.9810334801</v>
      </c>
      <c r="T166" s="70" t="n">
        <f aca="false">T164+T165</f>
        <v>0</v>
      </c>
      <c r="U166" s="70" t="n">
        <f aca="false">U164+U165</f>
        <v>0</v>
      </c>
      <c r="V166" s="70" t="n">
        <f aca="false">V164+V165</f>
        <v>0</v>
      </c>
      <c r="W166" s="70" t="n">
        <f aca="false">W164+W165</f>
        <v>0</v>
      </c>
      <c r="X166" s="70" t="n">
        <f aca="false">X164+X165</f>
        <v>0</v>
      </c>
      <c r="Y166" s="70" t="n">
        <f aca="false">Y164+Y165</f>
        <v>0</v>
      </c>
      <c r="Z166" s="70" t="n">
        <f aca="false">Z164+Z165</f>
        <v>0</v>
      </c>
      <c r="AA166" s="70" t="n">
        <f aca="false">AA164+AA165</f>
        <v>0</v>
      </c>
      <c r="AB166" s="70" t="n">
        <f aca="false">AB164+AB165</f>
        <v>0</v>
      </c>
    </row>
    <row r="167" customFormat="false" ht="15" hidden="false" customHeight="false" outlineLevel="0" collapsed="false">
      <c r="A167" s="27" t="s">
        <v>761</v>
      </c>
      <c r="B167" s="56" t="s">
        <v>762</v>
      </c>
      <c r="C167" s="57" t="n">
        <f aca="false">SUM(E167:P167)</f>
        <v>535030.794619356</v>
      </c>
      <c r="D167" s="57" t="n">
        <f aca="false">SUM(Q167:AB167)</f>
        <v>560668.553505644</v>
      </c>
      <c r="E167" s="58" t="n">
        <f aca="false">IF(E$5="A",Inputs_Actuals!E44,Project_Register!$AF$10+E166-(E166*MIN(1,Project_Register!$AY$10/30)+0*MIN(1,MAX(0,(Project_Register!$AY$10-30)/30))))</f>
        <v>0</v>
      </c>
      <c r="F167" s="58" t="n">
        <f aca="false">IF(F$5="A",Inputs_Actuals!F44,E168+F166-(F166*MIN(1,Project_Register!$AY$10/30)+E166*MIN(1,MAX(0,(Project_Register!$AY$10-30)/30))))</f>
        <v>0</v>
      </c>
      <c r="G167" s="58" t="n">
        <f aca="false">IF(G$5="A",Inputs_Actuals!G44,F168+G166-(G166*MIN(1,Project_Register!$AY$10/30)+F166*MIN(1,MAX(0,(Project_Register!$AY$10-30)/30))))</f>
        <v>0</v>
      </c>
      <c r="H167" s="58" t="n">
        <f aca="false">IF(H$5="A",Inputs_Actuals!H44,G168+H166-(H166*MIN(1,Project_Register!$AY$10/30)+G166*MIN(1,MAX(0,(Project_Register!$AY$10-30)/30))))</f>
        <v>0</v>
      </c>
      <c r="I167" s="58" t="n">
        <f aca="false">IF(I$5="A",Inputs_Actuals!I44,H168+I166-(I166*MIN(1,Project_Register!$AY$10/30)+H166*MIN(1,MAX(0,(Project_Register!$AY$10-30)/30))))</f>
        <v>0</v>
      </c>
      <c r="J167" s="58" t="n">
        <f aca="false">IF(J$5="A",Inputs_Actuals!J44,I168+J166-(J166*MIN(1,Project_Register!$AY$10/30)+I166*MIN(1,MAX(0,(Project_Register!$AY$10-30)/30))))</f>
        <v>0</v>
      </c>
      <c r="K167" s="58" t="n">
        <f aca="false">IF(K$5="A",Inputs_Actuals!K44,J168+K166-(K166*MIN(1,Project_Register!$AY$10/30)+J166*MIN(1,MAX(0,(Project_Register!$AY$10-30)/30))))</f>
        <v>-6040.66</v>
      </c>
      <c r="L167" s="58" t="n">
        <f aca="false">IF(L$5="A",Inputs_Actuals!L44,K168+L166-(L166*MIN(1,Project_Register!$AY$10/30)+K166*MIN(1,MAX(0,(Project_Register!$AY$10-30)/30))))</f>
        <v>23630.35</v>
      </c>
      <c r="M167" s="58" t="n">
        <f aca="false">IF(M$5="A",Inputs_Actuals!M44,L168+M166-(M166*MIN(1,Project_Register!$AY$10/30)+L166*MIN(1,MAX(0,(Project_Register!$AY$10-30)/30))))</f>
        <v>65533.95615775</v>
      </c>
      <c r="N167" s="58" t="n">
        <f aca="false">IF(N$5="A",Inputs_Actuals!N44,M168+N166-(N166*MIN(1,Project_Register!$AY$10/30)+M166*MIN(1,MAX(0,(Project_Register!$AY$10-30)/30))))</f>
        <v>118184.991365976</v>
      </c>
      <c r="O167" s="58" t="n">
        <f aca="false">IF(O$5="A",Inputs_Actuals!O44,N168+O166-(O166*MIN(1,Project_Register!$AY$10/30)+N166*MIN(1,MAX(0,(Project_Register!$AY$10-30)/30))))</f>
        <v>155851.950398917</v>
      </c>
      <c r="P167" s="58" t="n">
        <f aca="false">IF(P$5="A",Inputs_Actuals!P44,O168+P166-(P166*MIN(1,Project_Register!$AY$10/30)+O166*MIN(1,MAX(0,(Project_Register!$AY$10-30)/30))))</f>
        <v>177870.206696714</v>
      </c>
      <c r="Q167" s="58" t="n">
        <f aca="false">IF(Q$5="A",Inputs_Actuals!Q44,P168+Q166-(Q166*MIN(1,Project_Register!$AY$10/30)+P166*MIN(1,MAX(0,(Project_Register!$AY$10-30)/30))))</f>
        <v>176104.163628027</v>
      </c>
      <c r="R167" s="58" t="n">
        <f aca="false">IF(R$5="A",Inputs_Actuals!R44,Q168+R166-(R166*MIN(1,Project_Register!$AY$10/30)+Q166*MIN(1,MAX(0,(Project_Register!$AY$10-30)/30))))</f>
        <v>158195.265631957</v>
      </c>
      <c r="S167" s="58" t="n">
        <f aca="false">IF(S$5="A",Inputs_Actuals!S44,R168+S166-(S166*MIN(1,Project_Register!$AY$10/30)+R166*MIN(1,MAX(0,(Project_Register!$AY$10-30)/30))))</f>
        <v>122377.469639816</v>
      </c>
      <c r="T167" s="58" t="n">
        <f aca="false">IF(T$5="A",Inputs_Actuals!T44,S168+T166-(T166*MIN(1,Project_Register!$AY$10/30)+S166*MIN(1,MAX(0,(Project_Register!$AY$10-30)/30))))</f>
        <v>76993.6640891039</v>
      </c>
      <c r="U167" s="58" t="n">
        <f aca="false">IF(U$5="A",Inputs_Actuals!U44,T168+U166-(U166*MIN(1,Project_Register!$AY$10/30)+T166*MIN(1,MAX(0,(Project_Register!$AY$10-30)/30))))</f>
        <v>26997.99051674</v>
      </c>
      <c r="V167" s="58" t="n">
        <f aca="false">IF(V$5="A",Inputs_Actuals!V44,U168+V166-(V166*MIN(1,Project_Register!$AY$10/30)+U166*MIN(1,MAX(0,(Project_Register!$AY$10-30)/30))))</f>
        <v>0</v>
      </c>
      <c r="W167" s="58" t="n">
        <f aca="false">IF(W$5="A",Inputs_Actuals!W44,V168+W166-(W166*MIN(1,Project_Register!$AY$10/30)+V166*MIN(1,MAX(0,(Project_Register!$AY$10-30)/30))))</f>
        <v>0</v>
      </c>
      <c r="X167" s="58" t="n">
        <f aca="false">IF(X$5="A",Inputs_Actuals!X44,W168+X166-(X166*MIN(1,Project_Register!$AY$10/30)+W166*MIN(1,MAX(0,(Project_Register!$AY$10-30)/30))))</f>
        <v>0</v>
      </c>
      <c r="Y167" s="58" t="n">
        <f aca="false">IF(Y$5="A",Inputs_Actuals!Y44,X168+Y166-(Y166*MIN(1,Project_Register!$AY$10/30)+X166*MIN(1,MAX(0,(Project_Register!$AY$10-30)/30))))</f>
        <v>0</v>
      </c>
      <c r="Z167" s="58" t="n">
        <f aca="false">IF(Z$5="A",Inputs_Actuals!Z44,Y168+Z166-(Z166*MIN(1,Project_Register!$AY$10/30)+Y166*MIN(1,MAX(0,(Project_Register!$AY$10-30)/30))))</f>
        <v>0</v>
      </c>
      <c r="AA167" s="58" t="n">
        <f aca="false">IF(AA$5="A",Inputs_Actuals!AA44,Z168+AA166-(AA166*MIN(1,Project_Register!$AY$10/30)+Z166*MIN(1,MAX(0,(Project_Register!$AY$10-30)/30))))</f>
        <v>0</v>
      </c>
      <c r="AB167" s="58" t="n">
        <f aca="false">IF(AB$5="A",Inputs_Actuals!AB44,AA168+AB166-(AB166*MIN(1,Project_Register!$AY$10/30)+AA166*MIN(1,MAX(0,(Project_Register!$AY$10-30)/30))))</f>
        <v>0</v>
      </c>
    </row>
    <row r="168" customFormat="false" ht="15" hidden="false" customHeight="false" outlineLevel="0" collapsed="false">
      <c r="A168" s="27" t="s">
        <v>763</v>
      </c>
      <c r="B168" s="56" t="s">
        <v>764</v>
      </c>
      <c r="C168" s="57" t="n">
        <f aca="false">P168</f>
        <v>261917.633192532</v>
      </c>
      <c r="D168" s="57" t="n">
        <f aca="false">AB168</f>
        <v>0</v>
      </c>
      <c r="E168" s="58" t="n">
        <f aca="false">Project_Register!$AF$10+E166-E167</f>
        <v>0</v>
      </c>
      <c r="F168" s="70" t="n">
        <f aca="false">E168+F166-F167</f>
        <v>0</v>
      </c>
      <c r="G168" s="70" t="n">
        <f aca="false">F168+G166-G167</f>
        <v>0</v>
      </c>
      <c r="H168" s="70" t="n">
        <f aca="false">G168+H166-H167</f>
        <v>0</v>
      </c>
      <c r="I168" s="70" t="n">
        <f aca="false">H168+I166-I167</f>
        <v>0</v>
      </c>
      <c r="J168" s="70" t="n">
        <f aca="false">I168+J166-J167</f>
        <v>0</v>
      </c>
      <c r="K168" s="70" t="n">
        <f aca="false">J168+K166-K167</f>
        <v>39251.7525575</v>
      </c>
      <c r="L168" s="70" t="n">
        <f aca="false">K168+L166-L167</f>
        <v>115446.509758</v>
      </c>
      <c r="M168" s="70" t="n">
        <f aca="false">L168+M166-M167</f>
        <v>186457.429131701</v>
      </c>
      <c r="N168" s="70" t="n">
        <f aca="false">M168+N166-N167</f>
        <v>243431.463032108</v>
      </c>
      <c r="O168" s="70" t="n">
        <f aca="false">N168+O166-O167</f>
        <v>268160.900760236</v>
      </c>
      <c r="P168" s="70" t="n">
        <f aca="false">O168+P166-P167</f>
        <v>261917.633192532</v>
      </c>
      <c r="Q168" s="70" t="n">
        <f aca="false">P168+Q166-Q167</f>
        <v>230577.061699409</v>
      </c>
      <c r="R168" s="70" t="n">
        <f aca="false">Q168+R166-R167</f>
        <v>172373.14321218</v>
      </c>
      <c r="S168" s="70" t="n">
        <f aca="false">R168+S166-S167</f>
        <v>103991.654605844</v>
      </c>
      <c r="T168" s="70" t="n">
        <f aca="false">S168+T166-T167</f>
        <v>26997.99051674</v>
      </c>
      <c r="U168" s="70" t="n">
        <f aca="false">T168+U166-U167</f>
        <v>0</v>
      </c>
      <c r="V168" s="70" t="n">
        <f aca="false">U168+V166-V167</f>
        <v>0</v>
      </c>
      <c r="W168" s="70" t="n">
        <f aca="false">V168+W166-W167</f>
        <v>0</v>
      </c>
      <c r="X168" s="70" t="n">
        <f aca="false">W168+X166-X167</f>
        <v>0</v>
      </c>
      <c r="Y168" s="70" t="n">
        <f aca="false">X168+Y166-Y167</f>
        <v>0</v>
      </c>
      <c r="Z168" s="70" t="n">
        <f aca="false">Y168+Z166-Z167</f>
        <v>0</v>
      </c>
      <c r="AA168" s="70" t="n">
        <f aca="false">Z168+AA166-AA167</f>
        <v>0</v>
      </c>
      <c r="AB168" s="70" t="n">
        <f aca="false">AA168+AB166-AB167</f>
        <v>0</v>
      </c>
    </row>
    <row r="169" customFormat="false" ht="15" hidden="false" customHeight="false" outlineLevel="0" collapsed="false">
      <c r="A169" s="27" t="s">
        <v>765</v>
      </c>
      <c r="B169" s="56" t="s">
        <v>766</v>
      </c>
      <c r="C169" s="57" t="n">
        <f aca="false">P169</f>
        <v>131489.706285393</v>
      </c>
      <c r="D169" s="57" t="n">
        <f aca="false">AB169</f>
        <v>0</v>
      </c>
      <c r="E169" s="70" t="n">
        <f aca="false">E154-E160</f>
        <v>0</v>
      </c>
      <c r="F169" s="70" t="n">
        <f aca="false">F154-F160</f>
        <v>0</v>
      </c>
      <c r="G169" s="70" t="n">
        <f aca="false">G154-G160</f>
        <v>0</v>
      </c>
      <c r="H169" s="70" t="n">
        <f aca="false">H154-H160</f>
        <v>0</v>
      </c>
      <c r="I169" s="70" t="n">
        <f aca="false">I154-I160</f>
        <v>0</v>
      </c>
      <c r="J169" s="70" t="n">
        <f aca="false">J154-J160</f>
        <v>30627.97</v>
      </c>
      <c r="K169" s="70" t="n">
        <f aca="false">K154-K160</f>
        <v>89047.96</v>
      </c>
      <c r="L169" s="70" t="n">
        <f aca="false">L154-L160</f>
        <v>126492.45</v>
      </c>
      <c r="M169" s="70" t="n">
        <f aca="false">M154-M160</f>
        <v>157892.469041384</v>
      </c>
      <c r="N169" s="70" t="n">
        <f aca="false">N154-N160</f>
        <v>164023.241861161</v>
      </c>
      <c r="O169" s="70" t="n">
        <f aca="false">O154-O160</f>
        <v>155889.857967219</v>
      </c>
      <c r="P169" s="70" t="n">
        <f aca="false">P154-P160</f>
        <v>131489.706285393</v>
      </c>
      <c r="Q169" s="70" t="n">
        <f aca="false">Q154-Q160</f>
        <v>90822.7868156844</v>
      </c>
      <c r="R169" s="70" t="n">
        <f aca="false">R154-R160</f>
        <v>33889.0995580908</v>
      </c>
      <c r="S169" s="70" t="n">
        <f aca="false">S154-S160</f>
        <v>0</v>
      </c>
      <c r="T169" s="70" t="n">
        <f aca="false">T154-T160</f>
        <v>0</v>
      </c>
      <c r="U169" s="70" t="n">
        <f aca="false">U154-U160</f>
        <v>0</v>
      </c>
      <c r="V169" s="70" t="n">
        <f aca="false">V154-V160</f>
        <v>0</v>
      </c>
      <c r="W169" s="70" t="n">
        <f aca="false">W154-W160</f>
        <v>0</v>
      </c>
      <c r="X169" s="70" t="n">
        <f aca="false">X154-X160</f>
        <v>0</v>
      </c>
      <c r="Y169" s="70" t="n">
        <f aca="false">Y154-Y160</f>
        <v>0</v>
      </c>
      <c r="Z169" s="70" t="n">
        <f aca="false">Z154-Z160</f>
        <v>0</v>
      </c>
      <c r="AA169" s="70" t="n">
        <f aca="false">AA154-AA160</f>
        <v>0</v>
      </c>
      <c r="AB169" s="70" t="n">
        <f aca="false">AB154-AB160</f>
        <v>0</v>
      </c>
    </row>
    <row r="170" customFormat="false" ht="15" hidden="false" customHeight="false" outlineLevel="0" collapsed="false">
      <c r="A170" s="27" t="s">
        <v>767</v>
      </c>
      <c r="B170" s="56"/>
      <c r="C170" s="57" t="n">
        <f aca="false">P170</f>
        <v>131489.706285393</v>
      </c>
      <c r="D170" s="57" t="n">
        <f aca="false">AB170</f>
        <v>0</v>
      </c>
      <c r="E170" s="70" t="n">
        <f aca="false">MAX(0,E169)</f>
        <v>0</v>
      </c>
      <c r="F170" s="70" t="n">
        <f aca="false">MAX(0,F169)</f>
        <v>0</v>
      </c>
      <c r="G170" s="70" t="n">
        <f aca="false">MAX(0,G169)</f>
        <v>0</v>
      </c>
      <c r="H170" s="70" t="n">
        <f aca="false">MAX(0,H169)</f>
        <v>0</v>
      </c>
      <c r="I170" s="70" t="n">
        <f aca="false">MAX(0,I169)</f>
        <v>0</v>
      </c>
      <c r="J170" s="70" t="n">
        <f aca="false">MAX(0,J169)</f>
        <v>30627.97</v>
      </c>
      <c r="K170" s="70" t="n">
        <f aca="false">MAX(0,K169)</f>
        <v>89047.96</v>
      </c>
      <c r="L170" s="70" t="n">
        <f aca="false">MAX(0,L169)</f>
        <v>126492.45</v>
      </c>
      <c r="M170" s="70" t="n">
        <f aca="false">MAX(0,M169)</f>
        <v>157892.469041384</v>
      </c>
      <c r="N170" s="70" t="n">
        <f aca="false">MAX(0,N169)</f>
        <v>164023.241861161</v>
      </c>
      <c r="O170" s="70" t="n">
        <f aca="false">MAX(0,O169)</f>
        <v>155889.857967219</v>
      </c>
      <c r="P170" s="70" t="n">
        <f aca="false">MAX(0,P169)</f>
        <v>131489.706285393</v>
      </c>
      <c r="Q170" s="70" t="n">
        <f aca="false">MAX(0,Q169)</f>
        <v>90822.7868156844</v>
      </c>
      <c r="R170" s="70" t="n">
        <f aca="false">MAX(0,R169)</f>
        <v>33889.0995580908</v>
      </c>
      <c r="S170" s="70" t="n">
        <f aca="false">MAX(0,S169)</f>
        <v>0</v>
      </c>
      <c r="T170" s="70" t="n">
        <f aca="false">MAX(0,T169)</f>
        <v>0</v>
      </c>
      <c r="U170" s="70" t="n">
        <f aca="false">MAX(0,U169)</f>
        <v>0</v>
      </c>
      <c r="V170" s="70" t="n">
        <f aca="false">MAX(0,V169)</f>
        <v>0</v>
      </c>
      <c r="W170" s="70" t="n">
        <f aca="false">MAX(0,W169)</f>
        <v>0</v>
      </c>
      <c r="X170" s="70" t="n">
        <f aca="false">MAX(0,X169)</f>
        <v>0</v>
      </c>
      <c r="Y170" s="70" t="n">
        <f aca="false">MAX(0,Y169)</f>
        <v>0</v>
      </c>
      <c r="Z170" s="70" t="n">
        <f aca="false">MAX(0,Z169)</f>
        <v>0</v>
      </c>
      <c r="AA170" s="70" t="n">
        <f aca="false">MAX(0,AA169)</f>
        <v>0</v>
      </c>
      <c r="AB170" s="70" t="n">
        <f aca="false">MAX(0,AB169)</f>
        <v>0</v>
      </c>
    </row>
    <row r="171" customFormat="false" ht="15" hidden="false" customHeight="false" outlineLevel="0" collapsed="false">
      <c r="A171" s="27" t="s">
        <v>768</v>
      </c>
      <c r="B171" s="56"/>
      <c r="C171" s="57" t="n">
        <f aca="false">P171</f>
        <v>0</v>
      </c>
      <c r="D171" s="57" t="n">
        <f aca="false">AB171</f>
        <v>-0</v>
      </c>
      <c r="E171" s="70" t="n">
        <f aca="false">MAX(0,-E169)</f>
        <v>-0</v>
      </c>
      <c r="F171" s="70" t="n">
        <f aca="false">MAX(0,-F169)</f>
        <v>-0</v>
      </c>
      <c r="G171" s="70" t="n">
        <f aca="false">MAX(0,-G169)</f>
        <v>-0</v>
      </c>
      <c r="H171" s="70" t="n">
        <f aca="false">MAX(0,-H169)</f>
        <v>-0</v>
      </c>
      <c r="I171" s="70" t="n">
        <f aca="false">MAX(0,-I169)</f>
        <v>-0</v>
      </c>
      <c r="J171" s="70" t="n">
        <f aca="false">MAX(0,-J169)</f>
        <v>0</v>
      </c>
      <c r="K171" s="70" t="n">
        <f aca="false">MAX(0,-K169)</f>
        <v>0</v>
      </c>
      <c r="L171" s="70" t="n">
        <f aca="false">MAX(0,-L169)</f>
        <v>0</v>
      </c>
      <c r="M171" s="70" t="n">
        <f aca="false">MAX(0,-M169)</f>
        <v>0</v>
      </c>
      <c r="N171" s="70" t="n">
        <f aca="false">MAX(0,-N169)</f>
        <v>0</v>
      </c>
      <c r="O171" s="70" t="n">
        <f aca="false">MAX(0,-O169)</f>
        <v>0</v>
      </c>
      <c r="P171" s="70" t="n">
        <f aca="false">MAX(0,-P169)</f>
        <v>0</v>
      </c>
      <c r="Q171" s="70" t="n">
        <f aca="false">MAX(0,-Q169)</f>
        <v>0</v>
      </c>
      <c r="R171" s="70" t="n">
        <f aca="false">MAX(0,-R169)</f>
        <v>0</v>
      </c>
      <c r="S171" s="70" t="n">
        <f aca="false">MAX(0,-S169)</f>
        <v>-0</v>
      </c>
      <c r="T171" s="70" t="n">
        <f aca="false">MAX(0,-T169)</f>
        <v>-0</v>
      </c>
      <c r="U171" s="70" t="n">
        <f aca="false">MAX(0,-U169)</f>
        <v>-0</v>
      </c>
      <c r="V171" s="70" t="n">
        <f aca="false">MAX(0,-V169)</f>
        <v>-0</v>
      </c>
      <c r="W171" s="70" t="n">
        <f aca="false">MAX(0,-W169)</f>
        <v>-0</v>
      </c>
      <c r="X171" s="70" t="n">
        <f aca="false">MAX(0,-X169)</f>
        <v>-0</v>
      </c>
      <c r="Y171" s="70" t="n">
        <f aca="false">MAX(0,-Y169)</f>
        <v>-0</v>
      </c>
      <c r="Z171" s="70" t="n">
        <f aca="false">MAX(0,-Z169)</f>
        <v>-0</v>
      </c>
      <c r="AA171" s="70" t="n">
        <f aca="false">MAX(0,-AA169)</f>
        <v>-0</v>
      </c>
      <c r="AB171" s="70" t="n">
        <f aca="false">MAX(0,-AB169)</f>
        <v>-0</v>
      </c>
    </row>
    <row r="172" customFormat="false" ht="15" hidden="false" customHeight="false" outlineLevel="0" collapsed="false">
      <c r="A172" s="27" t="s">
        <v>769</v>
      </c>
      <c r="B172" s="56"/>
      <c r="C172" s="57" t="n">
        <f aca="false">P172</f>
        <v>353677.018962963</v>
      </c>
      <c r="D172" s="57" t="n">
        <f aca="false">AB172</f>
        <v>405721.16</v>
      </c>
      <c r="E172" s="58" t="n">
        <f aca="false">Project_Register!$AG$10+E142</f>
        <v>0</v>
      </c>
      <c r="F172" s="70" t="n">
        <f aca="false">E172+F142</f>
        <v>0</v>
      </c>
      <c r="G172" s="70" t="n">
        <f aca="false">F172+G142</f>
        <v>0</v>
      </c>
      <c r="H172" s="70" t="n">
        <f aca="false">G172+H142</f>
        <v>0</v>
      </c>
      <c r="I172" s="70" t="n">
        <f aca="false">H172+I142</f>
        <v>0</v>
      </c>
      <c r="J172" s="70" t="n">
        <f aca="false">I172+J142</f>
        <v>13677.06</v>
      </c>
      <c r="K172" s="70" t="n">
        <f aca="false">J172+K142</f>
        <v>48874.43</v>
      </c>
      <c r="L172" s="70" t="n">
        <f aca="false">K172+L142</f>
        <v>100244.68</v>
      </c>
      <c r="M172" s="70" t="n">
        <f aca="false">L172+M142</f>
        <v>165299.856296296</v>
      </c>
      <c r="N172" s="70" t="n">
        <f aca="false">M172+N142</f>
        <v>233749.215703704</v>
      </c>
      <c r="O172" s="70" t="n">
        <f aca="false">N172+O142</f>
        <v>298804.392</v>
      </c>
      <c r="P172" s="70" t="n">
        <f aca="false">O172+P142</f>
        <v>353677.018962963</v>
      </c>
      <c r="Q172" s="70" t="n">
        <f aca="false">P172+Q142</f>
        <v>391578.73037037</v>
      </c>
      <c r="R172" s="70" t="n">
        <f aca="false">Q172+R142</f>
        <v>405721.16</v>
      </c>
      <c r="S172" s="70" t="n">
        <f aca="false">R172+S142</f>
        <v>405721.16</v>
      </c>
      <c r="T172" s="70" t="n">
        <f aca="false">S172+T142</f>
        <v>405721.16</v>
      </c>
      <c r="U172" s="70" t="n">
        <f aca="false">T172+U142</f>
        <v>405721.16</v>
      </c>
      <c r="V172" s="70" t="n">
        <f aca="false">U172+V142</f>
        <v>405721.16</v>
      </c>
      <c r="W172" s="70" t="n">
        <f aca="false">V172+W142</f>
        <v>405721.16</v>
      </c>
      <c r="X172" s="70" t="n">
        <f aca="false">W172+X142</f>
        <v>405721.16</v>
      </c>
      <c r="Y172" s="70" t="n">
        <f aca="false">X172+Y142</f>
        <v>405721.16</v>
      </c>
      <c r="Z172" s="70" t="n">
        <f aca="false">Y172+Z142</f>
        <v>405721.16</v>
      </c>
      <c r="AA172" s="70" t="n">
        <f aca="false">Z172+AA142</f>
        <v>405721.16</v>
      </c>
      <c r="AB172" s="70" t="n">
        <f aca="false">AA172+AB142</f>
        <v>405721.16</v>
      </c>
    </row>
    <row r="173" customFormat="false" ht="15" hidden="false" customHeight="false" outlineLevel="0" collapsed="false">
      <c r="A173" s="27" t="s">
        <v>770</v>
      </c>
      <c r="B173" s="56"/>
      <c r="C173" s="57" t="n">
        <f aca="false">P173</f>
        <v>17683.8509481481</v>
      </c>
      <c r="D173" s="57" t="n">
        <f aca="false">AB173</f>
        <v>10143.029</v>
      </c>
      <c r="E173" s="58" t="n">
        <f aca="false">Project_Register!$U$10*E172*(1-Project_Register!$R$10*(Assumptions!E$96&gt;=Project_Register!$AK$10+1)-(1-Project_Register!$R$10)*(Assumptions!E$96&gt;=Project_Register!$AN$10))</f>
        <v>0</v>
      </c>
      <c r="F173" s="58" t="n">
        <f aca="false">Project_Register!$U$10*F172*(1-Project_Register!$R$10*(Assumptions!F$96&gt;=Project_Register!$AK$10+1)-(1-Project_Register!$R$10)*(Assumptions!F$96&gt;=Project_Register!$AN$10))</f>
        <v>0</v>
      </c>
      <c r="G173" s="58" t="n">
        <f aca="false">Project_Register!$U$10*G172*(1-Project_Register!$R$10*(Assumptions!G$96&gt;=Project_Register!$AK$10+1)-(1-Project_Register!$R$10)*(Assumptions!G$96&gt;=Project_Register!$AN$10))</f>
        <v>0</v>
      </c>
      <c r="H173" s="58" t="n">
        <f aca="false">Project_Register!$U$10*H172*(1-Project_Register!$R$10*(Assumptions!H$96&gt;=Project_Register!$AK$10+1)-(1-Project_Register!$R$10)*(Assumptions!H$96&gt;=Project_Register!$AN$10))</f>
        <v>0</v>
      </c>
      <c r="I173" s="58" t="n">
        <f aca="false">Project_Register!$U$10*I172*(1-Project_Register!$R$10*(Assumptions!I$96&gt;=Project_Register!$AK$10+1)-(1-Project_Register!$R$10)*(Assumptions!I$96&gt;=Project_Register!$AN$10))</f>
        <v>0</v>
      </c>
      <c r="J173" s="58" t="n">
        <f aca="false">Project_Register!$U$10*J172*(1-Project_Register!$R$10*(Assumptions!J$96&gt;=Project_Register!$AK$10+1)-(1-Project_Register!$R$10)*(Assumptions!J$96&gt;=Project_Register!$AN$10))</f>
        <v>683.853</v>
      </c>
      <c r="K173" s="58" t="n">
        <f aca="false">Project_Register!$U$10*K172*(1-Project_Register!$R$10*(Assumptions!K$96&gt;=Project_Register!$AK$10+1)-(1-Project_Register!$R$10)*(Assumptions!K$96&gt;=Project_Register!$AN$10))</f>
        <v>2443.7215</v>
      </c>
      <c r="L173" s="58" t="n">
        <f aca="false">Project_Register!$U$10*L172*(1-Project_Register!$R$10*(Assumptions!L$96&gt;=Project_Register!$AK$10+1)-(1-Project_Register!$R$10)*(Assumptions!L$96&gt;=Project_Register!$AN$10))</f>
        <v>5012.234</v>
      </c>
      <c r="M173" s="58" t="n">
        <f aca="false">Project_Register!$U$10*M172*(1-Project_Register!$R$10*(Assumptions!M$96&gt;=Project_Register!$AK$10+1)-(1-Project_Register!$R$10)*(Assumptions!M$96&gt;=Project_Register!$AN$10))</f>
        <v>8264.99281481482</v>
      </c>
      <c r="N173" s="58" t="n">
        <f aca="false">Project_Register!$U$10*N172*(1-Project_Register!$R$10*(Assumptions!N$96&gt;=Project_Register!$AK$10+1)-(1-Project_Register!$R$10)*(Assumptions!N$96&gt;=Project_Register!$AN$10))</f>
        <v>11687.4607851852</v>
      </c>
      <c r="O173" s="58" t="n">
        <f aca="false">Project_Register!$U$10*O172*(1-Project_Register!$R$10*(Assumptions!O$96&gt;=Project_Register!$AK$10+1)-(1-Project_Register!$R$10)*(Assumptions!O$96&gt;=Project_Register!$AN$10))</f>
        <v>14940.2196</v>
      </c>
      <c r="P173" s="58" t="n">
        <f aca="false">Project_Register!$U$10*P172*(1-Project_Register!$R$10*(Assumptions!P$96&gt;=Project_Register!$AK$10+1)-(1-Project_Register!$R$10)*(Assumptions!P$96&gt;=Project_Register!$AN$10))</f>
        <v>17683.8509481481</v>
      </c>
      <c r="Q173" s="58" t="n">
        <f aca="false">Project_Register!$U$10*Q172*(1-Project_Register!$R$10*(Assumptions!Q$96&gt;=Project_Register!$AK$10+1)-(1-Project_Register!$R$10)*(Assumptions!Q$96&gt;=Project_Register!$AN$10))</f>
        <v>19578.9365185185</v>
      </c>
      <c r="R173" s="58" t="n">
        <f aca="false">Project_Register!$U$10*R172*(1-Project_Register!$R$10*(Assumptions!R$96&gt;=Project_Register!$AK$10+1)-(1-Project_Register!$R$10)*(Assumptions!R$96&gt;=Project_Register!$AN$10))</f>
        <v>20286.058</v>
      </c>
      <c r="S173" s="58" t="n">
        <f aca="false">Project_Register!$U$10*S172*(1-Project_Register!$R$10*(Assumptions!S$96&gt;=Project_Register!$AK$10+1)-(1-Project_Register!$R$10)*(Assumptions!S$96&gt;=Project_Register!$AN$10))</f>
        <v>10143.029</v>
      </c>
      <c r="T173" s="58" t="n">
        <f aca="false">Project_Register!$U$10*T172*(1-Project_Register!$R$10*(Assumptions!T$96&gt;=Project_Register!$AK$10+1)-(1-Project_Register!$R$10)*(Assumptions!T$96&gt;=Project_Register!$AN$10))</f>
        <v>10143.029</v>
      </c>
      <c r="U173" s="58" t="n">
        <f aca="false">Project_Register!$U$10*U172*(1-Project_Register!$R$10*(Assumptions!U$96&gt;=Project_Register!$AK$10+1)-(1-Project_Register!$R$10)*(Assumptions!U$96&gt;=Project_Register!$AN$10))</f>
        <v>10143.029</v>
      </c>
      <c r="V173" s="58" t="n">
        <f aca="false">Project_Register!$U$10*V172*(1-Project_Register!$R$10*(Assumptions!V$96&gt;=Project_Register!$AK$10+1)-(1-Project_Register!$R$10)*(Assumptions!V$96&gt;=Project_Register!$AN$10))</f>
        <v>10143.029</v>
      </c>
      <c r="W173" s="58" t="n">
        <f aca="false">Project_Register!$U$10*W172*(1-Project_Register!$R$10*(Assumptions!W$96&gt;=Project_Register!$AK$10+1)-(1-Project_Register!$R$10)*(Assumptions!W$96&gt;=Project_Register!$AN$10))</f>
        <v>10143.029</v>
      </c>
      <c r="X173" s="58" t="n">
        <f aca="false">Project_Register!$U$10*X172*(1-Project_Register!$R$10*(Assumptions!X$96&gt;=Project_Register!$AK$10+1)-(1-Project_Register!$R$10)*(Assumptions!X$96&gt;=Project_Register!$AN$10))</f>
        <v>10143.029</v>
      </c>
      <c r="Y173" s="58" t="n">
        <f aca="false">Project_Register!$U$10*Y172*(1-Project_Register!$R$10*(Assumptions!Y$96&gt;=Project_Register!$AK$10+1)-(1-Project_Register!$R$10)*(Assumptions!Y$96&gt;=Project_Register!$AN$10))</f>
        <v>10143.029</v>
      </c>
      <c r="Z173" s="58" t="n">
        <f aca="false">Project_Register!$U$10*Z172*(1-Project_Register!$R$10*(Assumptions!Z$96&gt;=Project_Register!$AK$10+1)-(1-Project_Register!$R$10)*(Assumptions!Z$96&gt;=Project_Register!$AN$10))</f>
        <v>10143.029</v>
      </c>
      <c r="AA173" s="58" t="n">
        <f aca="false">Project_Register!$U$10*AA172*(1-Project_Register!$R$10*(Assumptions!AA$96&gt;=Project_Register!$AK$10+1)-(1-Project_Register!$R$10)*(Assumptions!AA$96&gt;=Project_Register!$AN$10))</f>
        <v>10143.029</v>
      </c>
      <c r="AB173" s="58" t="n">
        <f aca="false">Project_Register!$U$10*AB172*(1-Project_Register!$R$10*(Assumptions!AB$96&gt;=Project_Register!$AK$10+1)-(1-Project_Register!$R$10)*(Assumptions!AB$96&gt;=Project_Register!$AN$10))</f>
        <v>10143.029</v>
      </c>
    </row>
    <row r="174" customFormat="false" ht="15" hidden="false" customHeight="false" outlineLevel="0" collapsed="false">
      <c r="A174" s="27" t="s">
        <v>771</v>
      </c>
      <c r="B174" s="56"/>
      <c r="C174" s="57" t="n">
        <f aca="false">SUM(E174:P174)</f>
        <v>17683.8509481481</v>
      </c>
      <c r="D174" s="57" t="n">
        <f aca="false">SUM(Q174:AB174)</f>
        <v>-7540.82194814815</v>
      </c>
      <c r="E174" s="58" t="n">
        <f aca="false">E173-Project_Register!$AX$10</f>
        <v>0</v>
      </c>
      <c r="F174" s="70" t="n">
        <f aca="false">F173-E173</f>
        <v>0</v>
      </c>
      <c r="G174" s="70" t="n">
        <f aca="false">G173-F173</f>
        <v>0</v>
      </c>
      <c r="H174" s="70" t="n">
        <f aca="false">H173-G173</f>
        <v>0</v>
      </c>
      <c r="I174" s="70" t="n">
        <f aca="false">I173-H173</f>
        <v>0</v>
      </c>
      <c r="J174" s="70" t="n">
        <f aca="false">J173-I173</f>
        <v>683.853</v>
      </c>
      <c r="K174" s="70" t="n">
        <f aca="false">K173-J173</f>
        <v>1759.8685</v>
      </c>
      <c r="L174" s="70" t="n">
        <f aca="false">L173-K173</f>
        <v>2568.5125</v>
      </c>
      <c r="M174" s="70" t="n">
        <f aca="false">M173-L173</f>
        <v>3252.75881481482</v>
      </c>
      <c r="N174" s="70" t="n">
        <f aca="false">N173-M173</f>
        <v>3422.46797037037</v>
      </c>
      <c r="O174" s="70" t="n">
        <f aca="false">O173-N173</f>
        <v>3252.75881481482</v>
      </c>
      <c r="P174" s="70" t="n">
        <f aca="false">P173-O173</f>
        <v>2743.63134814814</v>
      </c>
      <c r="Q174" s="70" t="n">
        <f aca="false">Q173-P173</f>
        <v>1895.08557037037</v>
      </c>
      <c r="R174" s="70" t="n">
        <f aca="false">R173-Q173</f>
        <v>707.121481481478</v>
      </c>
      <c r="S174" s="70" t="n">
        <f aca="false">S173-R173</f>
        <v>-10143.029</v>
      </c>
      <c r="T174" s="70" t="n">
        <f aca="false">T173-S173</f>
        <v>0</v>
      </c>
      <c r="U174" s="70" t="n">
        <f aca="false">U173-T173</f>
        <v>0</v>
      </c>
      <c r="V174" s="70" t="n">
        <f aca="false">V173-U173</f>
        <v>0</v>
      </c>
      <c r="W174" s="70" t="n">
        <f aca="false">W173-V173</f>
        <v>0</v>
      </c>
      <c r="X174" s="70" t="n">
        <f aca="false">X173-W173</f>
        <v>0</v>
      </c>
      <c r="Y174" s="70" t="n">
        <f aca="false">Y173-X173</f>
        <v>0</v>
      </c>
      <c r="Z174" s="70" t="n">
        <f aca="false">Z173-Y173</f>
        <v>0</v>
      </c>
      <c r="AA174" s="70" t="n">
        <f aca="false">AA173-Z173</f>
        <v>0</v>
      </c>
      <c r="AB174" s="70" t="n">
        <f aca="false">AB173-AA173</f>
        <v>0</v>
      </c>
    </row>
    <row r="175" customFormat="false" ht="15" hidden="false" customHeight="false" outlineLevel="0" collapsed="false">
      <c r="A175" s="27" t="s">
        <v>772</v>
      </c>
      <c r="B175" s="56" t="s">
        <v>773</v>
      </c>
      <c r="C175" s="57" t="n">
        <f aca="false">P175</f>
        <v>94000</v>
      </c>
      <c r="D175" s="57" t="n">
        <f aca="false">AB175</f>
        <v>0</v>
      </c>
      <c r="E175" s="58" t="n">
        <f aca="false">Project_Register!$V$10*Project_Register!$AO$10*(Assumptions!E$96&gt;=Project_Register!$AL$10)*(Assumptions!E$96&lt;=Project_Register!$AK$10)</f>
        <v>0</v>
      </c>
      <c r="F175" s="58" t="n">
        <f aca="false">Project_Register!$V$10*Project_Register!$AO$10*(Assumptions!F$96&gt;=Project_Register!$AL$10)*(Assumptions!F$96&lt;=Project_Register!$AK$10)</f>
        <v>0</v>
      </c>
      <c r="G175" s="58" t="n">
        <f aca="false">Project_Register!$V$10*Project_Register!$AO$10*(Assumptions!G$96&gt;=Project_Register!$AL$10)*(Assumptions!G$96&lt;=Project_Register!$AK$10)</f>
        <v>0</v>
      </c>
      <c r="H175" s="58" t="n">
        <f aca="false">Project_Register!$V$10*Project_Register!$AO$10*(Assumptions!H$96&gt;=Project_Register!$AL$10)*(Assumptions!H$96&lt;=Project_Register!$AK$10)</f>
        <v>0</v>
      </c>
      <c r="I175" s="58" t="n">
        <f aca="false">Project_Register!$V$10*Project_Register!$AO$10*(Assumptions!I$96&gt;=Project_Register!$AL$10)*(Assumptions!I$96&lt;=Project_Register!$AK$10)</f>
        <v>94000</v>
      </c>
      <c r="J175" s="58" t="n">
        <f aca="false">Project_Register!$V$10*Project_Register!$AO$10*(Assumptions!J$96&gt;=Project_Register!$AL$10)*(Assumptions!J$96&lt;=Project_Register!$AK$10)</f>
        <v>94000</v>
      </c>
      <c r="K175" s="58" t="n">
        <f aca="false">Project_Register!$V$10*Project_Register!$AO$10*(Assumptions!K$96&gt;=Project_Register!$AL$10)*(Assumptions!K$96&lt;=Project_Register!$AK$10)</f>
        <v>94000</v>
      </c>
      <c r="L175" s="58" t="n">
        <f aca="false">Project_Register!$V$10*Project_Register!$AO$10*(Assumptions!L$96&gt;=Project_Register!$AL$10)*(Assumptions!L$96&lt;=Project_Register!$AK$10)</f>
        <v>94000</v>
      </c>
      <c r="M175" s="58" t="n">
        <f aca="false">Project_Register!$V$10*Project_Register!$AO$10*(Assumptions!M$96&gt;=Project_Register!$AL$10)*(Assumptions!M$96&lt;=Project_Register!$AK$10)</f>
        <v>94000</v>
      </c>
      <c r="N175" s="58" t="n">
        <f aca="false">Project_Register!$V$10*Project_Register!$AO$10*(Assumptions!N$96&gt;=Project_Register!$AL$10)*(Assumptions!N$96&lt;=Project_Register!$AK$10)</f>
        <v>94000</v>
      </c>
      <c r="O175" s="58" t="n">
        <f aca="false">Project_Register!$V$10*Project_Register!$AO$10*(Assumptions!O$96&gt;=Project_Register!$AL$10)*(Assumptions!O$96&lt;=Project_Register!$AK$10)</f>
        <v>94000</v>
      </c>
      <c r="P175" s="58" t="n">
        <f aca="false">Project_Register!$V$10*Project_Register!$AO$10*(Assumptions!P$96&gt;=Project_Register!$AL$10)*(Assumptions!P$96&lt;=Project_Register!$AK$10)</f>
        <v>94000</v>
      </c>
      <c r="Q175" s="58" t="n">
        <f aca="false">Project_Register!$V$10*Project_Register!$AO$10*(Assumptions!Q$96&gt;=Project_Register!$AL$10)*(Assumptions!Q$96&lt;=Project_Register!$AK$10)</f>
        <v>94000</v>
      </c>
      <c r="R175" s="58" t="n">
        <f aca="false">Project_Register!$V$10*Project_Register!$AO$10*(Assumptions!R$96&gt;=Project_Register!$AL$10)*(Assumptions!R$96&lt;=Project_Register!$AK$10)</f>
        <v>94000</v>
      </c>
      <c r="S175" s="58" t="n">
        <f aca="false">Project_Register!$V$10*Project_Register!$AO$10*(Assumptions!S$96&gt;=Project_Register!$AL$10)*(Assumptions!S$96&lt;=Project_Register!$AK$10)</f>
        <v>0</v>
      </c>
      <c r="T175" s="58" t="n">
        <f aca="false">Project_Register!$V$10*Project_Register!$AO$10*(Assumptions!T$96&gt;=Project_Register!$AL$10)*(Assumptions!T$96&lt;=Project_Register!$AK$10)</f>
        <v>0</v>
      </c>
      <c r="U175" s="58" t="n">
        <f aca="false">Project_Register!$V$10*Project_Register!$AO$10*(Assumptions!U$96&gt;=Project_Register!$AL$10)*(Assumptions!U$96&lt;=Project_Register!$AK$10)</f>
        <v>0</v>
      </c>
      <c r="V175" s="58" t="n">
        <f aca="false">Project_Register!$V$10*Project_Register!$AO$10*(Assumptions!V$96&gt;=Project_Register!$AL$10)*(Assumptions!V$96&lt;=Project_Register!$AK$10)</f>
        <v>0</v>
      </c>
      <c r="W175" s="58" t="n">
        <f aca="false">Project_Register!$V$10*Project_Register!$AO$10*(Assumptions!W$96&gt;=Project_Register!$AL$10)*(Assumptions!W$96&lt;=Project_Register!$AK$10)</f>
        <v>0</v>
      </c>
      <c r="X175" s="58" t="n">
        <f aca="false">Project_Register!$V$10*Project_Register!$AO$10*(Assumptions!X$96&gt;=Project_Register!$AL$10)*(Assumptions!X$96&lt;=Project_Register!$AK$10)</f>
        <v>0</v>
      </c>
      <c r="Y175" s="58" t="n">
        <f aca="false">Project_Register!$V$10*Project_Register!$AO$10*(Assumptions!Y$96&gt;=Project_Register!$AL$10)*(Assumptions!Y$96&lt;=Project_Register!$AK$10)</f>
        <v>0</v>
      </c>
      <c r="Z175" s="58" t="n">
        <f aca="false">Project_Register!$V$10*Project_Register!$AO$10*(Assumptions!Z$96&gt;=Project_Register!$AL$10)*(Assumptions!Z$96&lt;=Project_Register!$AK$10)</f>
        <v>0</v>
      </c>
      <c r="AA175" s="58" t="n">
        <f aca="false">Project_Register!$V$10*Project_Register!$AO$10*(Assumptions!AA$96&gt;=Project_Register!$AL$10)*(Assumptions!AA$96&lt;=Project_Register!$AK$10)</f>
        <v>0</v>
      </c>
      <c r="AB175" s="58" t="n">
        <f aca="false">Project_Register!$V$10*Project_Register!$AO$10*(Assumptions!AB$96&gt;=Project_Register!$AL$10)*(Assumptions!AB$96&lt;=Project_Register!$AK$10)</f>
        <v>0</v>
      </c>
    </row>
    <row r="176" customFormat="false" ht="15" hidden="false" customHeight="false" outlineLevel="0" collapsed="false">
      <c r="A176" s="27" t="s">
        <v>774</v>
      </c>
      <c r="B176" s="56"/>
      <c r="C176" s="57" t="n">
        <f aca="false">P176</f>
        <v>124711.886373776</v>
      </c>
      <c r="D176" s="57" t="n">
        <f aca="false">AB176</f>
        <v>0</v>
      </c>
      <c r="E176" s="58" t="n">
        <f aca="false">IF(OR(Project_Register!$E$10="Pipeline",Assumptions!E$96&gt;=Project_Register!$AL$10),MAX(0,E153-E154),0)</f>
        <v>0</v>
      </c>
      <c r="F176" s="58" t="n">
        <f aca="false">IF(OR(Project_Register!$E$10="Pipeline",Assumptions!F$96&gt;=Project_Register!$AL$10),MAX(0,F153-F154),0)</f>
        <v>0</v>
      </c>
      <c r="G176" s="58" t="n">
        <f aca="false">IF(OR(Project_Register!$E$10="Pipeline",Assumptions!G$96&gt;=Project_Register!$AL$10),MAX(0,G153-G154),0)</f>
        <v>0</v>
      </c>
      <c r="H176" s="58" t="n">
        <f aca="false">IF(OR(Project_Register!$E$10="Pipeline",Assumptions!H$96&gt;=Project_Register!$AL$10),MAX(0,H153-H154),0)</f>
        <v>0</v>
      </c>
      <c r="I176" s="58" t="n">
        <f aca="false">IF(OR(Project_Register!$E$10="Pipeline",Assumptions!I$96&gt;=Project_Register!$AL$10),MAX(0,I153-I154),0)</f>
        <v>940000</v>
      </c>
      <c r="J176" s="58" t="n">
        <f aca="false">IF(OR(Project_Register!$E$10="Pipeline",Assumptions!J$96&gt;=Project_Register!$AL$10),MAX(0,J153-J154),0)</f>
        <v>923772.03</v>
      </c>
      <c r="K176" s="58" t="n">
        <f aca="false">IF(OR(Project_Register!$E$10="Pipeline",Assumptions!K$96&gt;=Project_Register!$AL$10),MAX(0,K153-K154),0)</f>
        <v>835186.19</v>
      </c>
      <c r="L176" s="58" t="n">
        <f aca="false">IF(OR(Project_Register!$E$10="Pipeline",Assumptions!L$96&gt;=Project_Register!$AL$10),MAX(0,L153-L154),0)</f>
        <v>729819.91</v>
      </c>
      <c r="M176" s="58" t="n">
        <f aca="false">IF(OR(Project_Register!$E$10="Pipeline",Assumptions!M$96&gt;=Project_Register!$AL$10),MAX(0,M153-M154),0)</f>
        <v>574395.298078421</v>
      </c>
      <c r="N176" s="58" t="n">
        <f aca="false">IF(OR(Project_Register!$E$10="Pipeline",Assumptions!N$96&gt;=Project_Register!$AL$10),MAX(0,N153-N154),0)</f>
        <v>412091.450626388</v>
      </c>
      <c r="O176" s="58" t="n">
        <f aca="false">IF(OR(Project_Register!$E$10="Pipeline",Assumptions!O$96&gt;=Project_Register!$AL$10),MAX(0,O153-O154),0)</f>
        <v>256201.592659169</v>
      </c>
      <c r="P176" s="58" t="n">
        <f aca="false">IF(OR(Project_Register!$E$10="Pipeline",Assumptions!P$96&gt;=Project_Register!$AL$10),MAX(0,P153-P154),0)</f>
        <v>124711.886373776</v>
      </c>
      <c r="Q176" s="58" t="n">
        <f aca="false">IF(OR(Project_Register!$E$10="Pipeline",Assumptions!Q$96&gt;=Project_Register!$AL$10),MAX(0,Q153-Q154),0)</f>
        <v>33889.0995580911</v>
      </c>
      <c r="R176" s="58" t="n">
        <f aca="false">IF(OR(Project_Register!$E$10="Pipeline",Assumptions!R$96&gt;=Project_Register!$AL$10),MAX(0,R153-R154),0)</f>
        <v>0</v>
      </c>
      <c r="S176" s="58" t="n">
        <f aca="false">IF(OR(Project_Register!$E$10="Pipeline",Assumptions!S$96&gt;=Project_Register!$AL$10),MAX(0,S153-S154),0)</f>
        <v>0</v>
      </c>
      <c r="T176" s="58" t="n">
        <f aca="false">IF(OR(Project_Register!$E$10="Pipeline",Assumptions!T$96&gt;=Project_Register!$AL$10),MAX(0,T153-T154),0)</f>
        <v>0</v>
      </c>
      <c r="U176" s="58" t="n">
        <f aca="false">IF(OR(Project_Register!$E$10="Pipeline",Assumptions!U$96&gt;=Project_Register!$AL$10),MAX(0,U153-U154),0)</f>
        <v>0</v>
      </c>
      <c r="V176" s="58" t="n">
        <f aca="false">IF(OR(Project_Register!$E$10="Pipeline",Assumptions!V$96&gt;=Project_Register!$AL$10),MAX(0,V153-V154),0)</f>
        <v>0</v>
      </c>
      <c r="W176" s="58" t="n">
        <f aca="false">IF(OR(Project_Register!$E$10="Pipeline",Assumptions!W$96&gt;=Project_Register!$AL$10),MAX(0,W153-W154),0)</f>
        <v>0</v>
      </c>
      <c r="X176" s="58" t="n">
        <f aca="false">IF(OR(Project_Register!$E$10="Pipeline",Assumptions!X$96&gt;=Project_Register!$AL$10),MAX(0,X153-X154),0)</f>
        <v>0</v>
      </c>
      <c r="Y176" s="58" t="n">
        <f aca="false">IF(OR(Project_Register!$E$10="Pipeline",Assumptions!Y$96&gt;=Project_Register!$AL$10),MAX(0,Y153-Y154),0)</f>
        <v>0</v>
      </c>
      <c r="Z176" s="58" t="n">
        <f aca="false">IF(OR(Project_Register!$E$10="Pipeline",Assumptions!Z$96&gt;=Project_Register!$AL$10),MAX(0,Z153-Z154),0)</f>
        <v>0</v>
      </c>
      <c r="AA176" s="58" t="n">
        <f aca="false">IF(OR(Project_Register!$E$10="Pipeline",Assumptions!AA$96&gt;=Project_Register!$AL$10),MAX(0,AA153-AA154),0)</f>
        <v>0</v>
      </c>
      <c r="AB176" s="58" t="n">
        <f aca="false">IF(OR(Project_Register!$E$10="Pipeline",Assumptions!AB$96&gt;=Project_Register!$AL$10),MAX(0,AB153-AB154),0)</f>
        <v>0</v>
      </c>
    </row>
    <row r="177" customFormat="false" ht="15" hidden="false" customHeight="false" outlineLevel="0" collapsed="false">
      <c r="A177" s="27" t="s">
        <v>775</v>
      </c>
      <c r="B177" s="56"/>
      <c r="C177" s="57" t="n">
        <f aca="false">SUM(E177:P177)</f>
        <v>940000</v>
      </c>
      <c r="D177" s="57" t="n">
        <f aca="false">SUM(Q177:AB177)</f>
        <v>0</v>
      </c>
      <c r="E177" s="58" t="n">
        <f aca="false">IF(Assumptions!E$96=Project_Register!$AL$10,Project_Register!$AO$10,0)</f>
        <v>0</v>
      </c>
      <c r="F177" s="58" t="n">
        <f aca="false">IF(Assumptions!F$96=Project_Register!$AL$10,Project_Register!$AO$10,0)</f>
        <v>0</v>
      </c>
      <c r="G177" s="58" t="n">
        <f aca="false">IF(Assumptions!G$96=Project_Register!$AL$10,Project_Register!$AO$10,0)</f>
        <v>0</v>
      </c>
      <c r="H177" s="58" t="n">
        <f aca="false">IF(Assumptions!H$96=Project_Register!$AL$10,Project_Register!$AO$10,0)</f>
        <v>0</v>
      </c>
      <c r="I177" s="58" t="n">
        <f aca="false">IF(Assumptions!I$96=Project_Register!$AL$10,Project_Register!$AO$10,0)</f>
        <v>940000</v>
      </c>
      <c r="J177" s="58" t="n">
        <f aca="false">IF(Assumptions!J$96=Project_Register!$AL$10,Project_Register!$AO$10,0)</f>
        <v>0</v>
      </c>
      <c r="K177" s="58" t="n">
        <f aca="false">IF(Assumptions!K$96=Project_Register!$AL$10,Project_Register!$AO$10,0)</f>
        <v>0</v>
      </c>
      <c r="L177" s="58" t="n">
        <f aca="false">IF(Assumptions!L$96=Project_Register!$AL$10,Project_Register!$AO$10,0)</f>
        <v>0</v>
      </c>
      <c r="M177" s="58" t="n">
        <f aca="false">IF(Assumptions!M$96=Project_Register!$AL$10,Project_Register!$AO$10,0)</f>
        <v>0</v>
      </c>
      <c r="N177" s="58" t="n">
        <f aca="false">IF(Assumptions!N$96=Project_Register!$AL$10,Project_Register!$AO$10,0)</f>
        <v>0</v>
      </c>
      <c r="O177" s="58" t="n">
        <f aca="false">IF(Assumptions!O$96=Project_Register!$AL$10,Project_Register!$AO$10,0)</f>
        <v>0</v>
      </c>
      <c r="P177" s="58" t="n">
        <f aca="false">IF(Assumptions!P$96=Project_Register!$AL$10,Project_Register!$AO$10,0)</f>
        <v>0</v>
      </c>
      <c r="Q177" s="58" t="n">
        <f aca="false">IF(Assumptions!Q$96=Project_Register!$AL$10,Project_Register!$AO$10,0)</f>
        <v>0</v>
      </c>
      <c r="R177" s="58" t="n">
        <f aca="false">IF(Assumptions!R$96=Project_Register!$AL$10,Project_Register!$AO$10,0)</f>
        <v>0</v>
      </c>
      <c r="S177" s="58" t="n">
        <f aca="false">IF(Assumptions!S$96=Project_Register!$AL$10,Project_Register!$AO$10,0)</f>
        <v>0</v>
      </c>
      <c r="T177" s="58" t="n">
        <f aca="false">IF(Assumptions!T$96=Project_Register!$AL$10,Project_Register!$AO$10,0)</f>
        <v>0</v>
      </c>
      <c r="U177" s="58" t="n">
        <f aca="false">IF(Assumptions!U$96=Project_Register!$AL$10,Project_Register!$AO$10,0)</f>
        <v>0</v>
      </c>
      <c r="V177" s="58" t="n">
        <f aca="false">IF(Assumptions!V$96=Project_Register!$AL$10,Project_Register!$AO$10,0)</f>
        <v>0</v>
      </c>
      <c r="W177" s="58" t="n">
        <f aca="false">IF(Assumptions!W$96=Project_Register!$AL$10,Project_Register!$AO$10,0)</f>
        <v>0</v>
      </c>
      <c r="X177" s="58" t="n">
        <f aca="false">IF(Assumptions!X$96=Project_Register!$AL$10,Project_Register!$AO$10,0)</f>
        <v>0</v>
      </c>
      <c r="Y177" s="58" t="n">
        <f aca="false">IF(Assumptions!Y$96=Project_Register!$AL$10,Project_Register!$AO$10,0)</f>
        <v>0</v>
      </c>
      <c r="Z177" s="58" t="n">
        <f aca="false">IF(Assumptions!Z$96=Project_Register!$AL$10,Project_Register!$AO$10,0)</f>
        <v>0</v>
      </c>
      <c r="AA177" s="58" t="n">
        <f aca="false">IF(Assumptions!AA$96=Project_Register!$AL$10,Project_Register!$AO$10,0)</f>
        <v>0</v>
      </c>
      <c r="AB177" s="58" t="n">
        <f aca="false">IF(Assumptions!AB$96=Project_Register!$AL$10,Project_Register!$AO$10,0)</f>
        <v>0</v>
      </c>
    </row>
    <row r="178" customFormat="false" ht="15" hidden="false" customHeight="false" outlineLevel="0" collapsed="false">
      <c r="A178" s="27" t="s">
        <v>776</v>
      </c>
      <c r="B178" s="56" t="s">
        <v>777</v>
      </c>
      <c r="E178" s="70" t="n">
        <f aca="false">IF(E$5="A",ROUND(E154-E149*E153,0),0)</f>
        <v>0</v>
      </c>
      <c r="F178" s="70" t="n">
        <f aca="false">IF(F$5="A",ROUND(F154-F149*F153,0),0)</f>
        <v>0</v>
      </c>
      <c r="G178" s="70" t="n">
        <f aca="false">IF(G$5="A",ROUND(G154-G149*G153,0),0)</f>
        <v>0</v>
      </c>
      <c r="H178" s="70" t="n">
        <f aca="false">IF(H$5="A",ROUND(H154-H149*H153,0),0)</f>
        <v>0</v>
      </c>
      <c r="I178" s="70" t="n">
        <f aca="false">IF(I$5="A",ROUND(I154-I149*I153,0),0)</f>
        <v>0</v>
      </c>
      <c r="J178" s="70" t="n">
        <f aca="false">IF(J$5="A",ROUND(J154-J149*J153,0),0)</f>
        <v>0</v>
      </c>
      <c r="K178" s="70" t="n">
        <f aca="false">IF(K$5="A",ROUND(K154-K149*K153,0),0)</f>
        <v>-0</v>
      </c>
      <c r="L178" s="70" t="n">
        <f aca="false">IF(L$5="A",ROUND(L154-L149*L153,0),0)</f>
        <v>-0</v>
      </c>
      <c r="M178" s="70" t="n">
        <f aca="false">IF(M$5="A",ROUND(M154-M149*M153,0),0)</f>
        <v>0</v>
      </c>
      <c r="N178" s="70" t="n">
        <f aca="false">IF(N$5="A",ROUND(N154-N149*N153,0),0)</f>
        <v>0</v>
      </c>
      <c r="O178" s="70" t="n">
        <f aca="false">IF(O$5="A",ROUND(O154-O149*O153,0),0)</f>
        <v>0</v>
      </c>
      <c r="P178" s="70" t="n">
        <f aca="false">IF(P$5="A",ROUND(P154-P149*P153,0),0)</f>
        <v>0</v>
      </c>
      <c r="Q178" s="70" t="n">
        <f aca="false">IF(Q$5="A",ROUND(Q154-Q149*Q153,0),0)</f>
        <v>0</v>
      </c>
      <c r="R178" s="70" t="n">
        <f aca="false">IF(R$5="A",ROUND(R154-R149*R153,0),0)</f>
        <v>0</v>
      </c>
      <c r="S178" s="70" t="n">
        <f aca="false">IF(S$5="A",ROUND(S154-S149*S153,0),0)</f>
        <v>0</v>
      </c>
      <c r="T178" s="70" t="n">
        <f aca="false">IF(T$5="A",ROUND(T154-T149*T153,0),0)</f>
        <v>0</v>
      </c>
      <c r="U178" s="70" t="n">
        <f aca="false">IF(U$5="A",ROUND(U154-U149*U153,0),0)</f>
        <v>0</v>
      </c>
      <c r="V178" s="70" t="n">
        <f aca="false">IF(V$5="A",ROUND(V154-V149*V153,0),0)</f>
        <v>0</v>
      </c>
      <c r="W178" s="70" t="n">
        <f aca="false">IF(W$5="A",ROUND(W154-W149*W153,0),0)</f>
        <v>0</v>
      </c>
      <c r="X178" s="70" t="n">
        <f aca="false">IF(X$5="A",ROUND(X154-X149*X153,0),0)</f>
        <v>0</v>
      </c>
      <c r="Y178" s="70" t="n">
        <f aca="false">IF(Y$5="A",ROUND(Y154-Y149*Y153,0),0)</f>
        <v>0</v>
      </c>
      <c r="Z178" s="70" t="n">
        <f aca="false">IF(Z$5="A",ROUND(Z154-Z149*Z153,0),0)</f>
        <v>0</v>
      </c>
      <c r="AA178" s="70" t="n">
        <f aca="false">IF(AA$5="A",ROUND(AA154-AA149*AA153,0),0)</f>
        <v>0</v>
      </c>
      <c r="AB178" s="70" t="n">
        <f aca="false">IF(AB$5="A",ROUND(AB154-AB149*AB153,0),0)</f>
        <v>0</v>
      </c>
    </row>
    <row r="180" customFormat="false" ht="15" hidden="false" customHeight="false" outlineLevel="0" collapsed="false">
      <c r="A180" s="21" t="s">
        <v>781</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row>
    <row r="181" customFormat="false" ht="15" hidden="false" customHeight="false" outlineLevel="0" collapsed="false">
      <c r="A181" s="27" t="s">
        <v>716</v>
      </c>
      <c r="B181" s="56" t="s">
        <v>717</v>
      </c>
      <c r="E181" s="104" t="n">
        <f aca="false">MIN(1,MAX(0,(Assumptions!E$96-Project_Register!$AJ$11+1)/(Project_Register!$AK$11-Project_Register!$AJ$11+1)))</f>
        <v>0</v>
      </c>
      <c r="F181" s="104" t="n">
        <f aca="false">MIN(1,MAX(0,(Assumptions!F$96-Project_Register!$AJ$11+1)/(Project_Register!$AK$11-Project_Register!$AJ$11+1)))</f>
        <v>0</v>
      </c>
      <c r="G181" s="104" t="n">
        <f aca="false">MIN(1,MAX(0,(Assumptions!G$96-Project_Register!$AJ$11+1)/(Project_Register!$AK$11-Project_Register!$AJ$11+1)))</f>
        <v>0</v>
      </c>
      <c r="H181" s="104" t="n">
        <f aca="false">MIN(1,MAX(0,(Assumptions!H$96-Project_Register!$AJ$11+1)/(Project_Register!$AK$11-Project_Register!$AJ$11+1)))</f>
        <v>0</v>
      </c>
      <c r="I181" s="104" t="n">
        <f aca="false">MIN(1,MAX(0,(Assumptions!I$96-Project_Register!$AJ$11+1)/(Project_Register!$AK$11-Project_Register!$AJ$11+1)))</f>
        <v>0</v>
      </c>
      <c r="J181" s="104" t="n">
        <f aca="false">MIN(1,MAX(0,(Assumptions!J$96-Project_Register!$AJ$11+1)/(Project_Register!$AK$11-Project_Register!$AJ$11+1)))</f>
        <v>0</v>
      </c>
      <c r="K181" s="104" t="n">
        <f aca="false">MIN(1,MAX(0,(Assumptions!K$96-Project_Register!$AJ$11+1)/(Project_Register!$AK$11-Project_Register!$AJ$11+1)))</f>
        <v>0</v>
      </c>
      <c r="L181" s="104" t="n">
        <f aca="false">MIN(1,MAX(0,(Assumptions!L$96-Project_Register!$AJ$11+1)/(Project_Register!$AK$11-Project_Register!$AJ$11+1)))</f>
        <v>0.2</v>
      </c>
      <c r="M181" s="104" t="n">
        <f aca="false">MIN(1,MAX(0,(Assumptions!M$96-Project_Register!$AJ$11+1)/(Project_Register!$AK$11-Project_Register!$AJ$11+1)))</f>
        <v>0.4</v>
      </c>
      <c r="N181" s="104" t="n">
        <f aca="false">MIN(1,MAX(0,(Assumptions!N$96-Project_Register!$AJ$11+1)/(Project_Register!$AK$11-Project_Register!$AJ$11+1)))</f>
        <v>0.6</v>
      </c>
      <c r="O181" s="104" t="n">
        <f aca="false">MIN(1,MAX(0,(Assumptions!O$96-Project_Register!$AJ$11+1)/(Project_Register!$AK$11-Project_Register!$AJ$11+1)))</f>
        <v>0.8</v>
      </c>
      <c r="P181" s="104" t="n">
        <f aca="false">MIN(1,MAX(0,(Assumptions!P$96-Project_Register!$AJ$11+1)/(Project_Register!$AK$11-Project_Register!$AJ$11+1)))</f>
        <v>1</v>
      </c>
      <c r="Q181" s="104" t="n">
        <f aca="false">MIN(1,MAX(0,(Assumptions!Q$96-Project_Register!$AJ$11+1)/(Project_Register!$AK$11-Project_Register!$AJ$11+1)))</f>
        <v>1</v>
      </c>
      <c r="R181" s="104" t="n">
        <f aca="false">MIN(1,MAX(0,(Assumptions!R$96-Project_Register!$AJ$11+1)/(Project_Register!$AK$11-Project_Register!$AJ$11+1)))</f>
        <v>1</v>
      </c>
      <c r="S181" s="104" t="n">
        <f aca="false">MIN(1,MAX(0,(Assumptions!S$96-Project_Register!$AJ$11+1)/(Project_Register!$AK$11-Project_Register!$AJ$11+1)))</f>
        <v>1</v>
      </c>
      <c r="T181" s="104" t="n">
        <f aca="false">MIN(1,MAX(0,(Assumptions!T$96-Project_Register!$AJ$11+1)/(Project_Register!$AK$11-Project_Register!$AJ$11+1)))</f>
        <v>1</v>
      </c>
      <c r="U181" s="104" t="n">
        <f aca="false">MIN(1,MAX(0,(Assumptions!U$96-Project_Register!$AJ$11+1)/(Project_Register!$AK$11-Project_Register!$AJ$11+1)))</f>
        <v>1</v>
      </c>
      <c r="V181" s="104" t="n">
        <f aca="false">MIN(1,MAX(0,(Assumptions!V$96-Project_Register!$AJ$11+1)/(Project_Register!$AK$11-Project_Register!$AJ$11+1)))</f>
        <v>1</v>
      </c>
      <c r="W181" s="104" t="n">
        <f aca="false">MIN(1,MAX(0,(Assumptions!W$96-Project_Register!$AJ$11+1)/(Project_Register!$AK$11-Project_Register!$AJ$11+1)))</f>
        <v>1</v>
      </c>
      <c r="X181" s="104" t="n">
        <f aca="false">MIN(1,MAX(0,(Assumptions!X$96-Project_Register!$AJ$11+1)/(Project_Register!$AK$11-Project_Register!$AJ$11+1)))</f>
        <v>1</v>
      </c>
      <c r="Y181" s="104" t="n">
        <f aca="false">MIN(1,MAX(0,(Assumptions!Y$96-Project_Register!$AJ$11+1)/(Project_Register!$AK$11-Project_Register!$AJ$11+1)))</f>
        <v>1</v>
      </c>
      <c r="Z181" s="104" t="n">
        <f aca="false">MIN(1,MAX(0,(Assumptions!Z$96-Project_Register!$AJ$11+1)/(Project_Register!$AK$11-Project_Register!$AJ$11+1)))</f>
        <v>1</v>
      </c>
      <c r="AA181" s="104" t="n">
        <f aca="false">MIN(1,MAX(0,(Assumptions!AA$96-Project_Register!$AJ$11+1)/(Project_Register!$AK$11-Project_Register!$AJ$11+1)))</f>
        <v>1</v>
      </c>
      <c r="AB181" s="104" t="n">
        <f aca="false">MIN(1,MAX(0,(Assumptions!AB$96-Project_Register!$AJ$11+1)/(Project_Register!$AK$11-Project_Register!$AJ$11+1)))</f>
        <v>1</v>
      </c>
    </row>
    <row r="182" customFormat="false" ht="15" hidden="false" customHeight="false" outlineLevel="0" collapsed="false">
      <c r="A182" s="27" t="s">
        <v>718</v>
      </c>
      <c r="B182" s="56" t="s">
        <v>719</v>
      </c>
      <c r="E182" s="105" t="n">
        <f aca="false">3*E181^2-2*E181^3</f>
        <v>0</v>
      </c>
      <c r="F182" s="105" t="n">
        <f aca="false">3*F181^2-2*F181^3</f>
        <v>0</v>
      </c>
      <c r="G182" s="105" t="n">
        <f aca="false">3*G181^2-2*G181^3</f>
        <v>0</v>
      </c>
      <c r="H182" s="105" t="n">
        <f aca="false">3*H181^2-2*H181^3</f>
        <v>0</v>
      </c>
      <c r="I182" s="105" t="n">
        <f aca="false">3*I181^2-2*I181^3</f>
        <v>0</v>
      </c>
      <c r="J182" s="105" t="n">
        <f aca="false">3*J181^2-2*J181^3</f>
        <v>0</v>
      </c>
      <c r="K182" s="105" t="n">
        <f aca="false">3*K181^2-2*K181^3</f>
        <v>0</v>
      </c>
      <c r="L182" s="105" t="n">
        <f aca="false">3*L181^2-2*L181^3</f>
        <v>0.104</v>
      </c>
      <c r="M182" s="105" t="n">
        <f aca="false">3*M181^2-2*M181^3</f>
        <v>0.352</v>
      </c>
      <c r="N182" s="105" t="n">
        <f aca="false">3*N181^2-2*N181^3</f>
        <v>0.648</v>
      </c>
      <c r="O182" s="105" t="n">
        <f aca="false">3*O181^2-2*O181^3</f>
        <v>0.896</v>
      </c>
      <c r="P182" s="105" t="n">
        <f aca="false">3*P181^2-2*P181^3</f>
        <v>1</v>
      </c>
      <c r="Q182" s="105" t="n">
        <f aca="false">3*Q181^2-2*Q181^3</f>
        <v>1</v>
      </c>
      <c r="R182" s="105" t="n">
        <f aca="false">3*R181^2-2*R181^3</f>
        <v>1</v>
      </c>
      <c r="S182" s="105" t="n">
        <f aca="false">3*S181^2-2*S181^3</f>
        <v>1</v>
      </c>
      <c r="T182" s="105" t="n">
        <f aca="false">3*T181^2-2*T181^3</f>
        <v>1</v>
      </c>
      <c r="U182" s="105" t="n">
        <f aca="false">3*U181^2-2*U181^3</f>
        <v>1</v>
      </c>
      <c r="V182" s="105" t="n">
        <f aca="false">3*V181^2-2*V181^3</f>
        <v>1</v>
      </c>
      <c r="W182" s="105" t="n">
        <f aca="false">3*W181^2-2*W181^3</f>
        <v>1</v>
      </c>
      <c r="X182" s="105" t="n">
        <f aca="false">3*X181^2-2*X181^3</f>
        <v>1</v>
      </c>
      <c r="Y182" s="105" t="n">
        <f aca="false">3*Y181^2-2*Y181^3</f>
        <v>1</v>
      </c>
      <c r="Z182" s="105" t="n">
        <f aca="false">3*Z181^2-2*Z181^3</f>
        <v>1</v>
      </c>
      <c r="AA182" s="105" t="n">
        <f aca="false">3*AA181^2-2*AA181^3</f>
        <v>1</v>
      </c>
      <c r="AB182" s="105" t="n">
        <f aca="false">3*AB181^2-2*AB181^3</f>
        <v>1</v>
      </c>
    </row>
    <row r="183" customFormat="false" ht="15" hidden="false" customHeight="false" outlineLevel="0" collapsed="false">
      <c r="A183" s="27" t="s">
        <v>720</v>
      </c>
      <c r="B183" s="56"/>
      <c r="E183" s="104" t="n">
        <f aca="false">3*MIN(1,MAX(0,(Assumptions!E$96-Project_Register!$AJ$11)/(Project_Register!$AK$11-Project_Register!$AJ$11+1)))^2-2*MIN(1,MAX(0,(Assumptions!E$96-Project_Register!$AJ$11)/(Project_Register!$AK$11-Project_Register!$AJ$11+1)))^3</f>
        <v>0</v>
      </c>
      <c r="F183" s="104" t="n">
        <f aca="false">3*MIN(1,MAX(0,(Assumptions!F$96-Project_Register!$AJ$11)/(Project_Register!$AK$11-Project_Register!$AJ$11+1)))^2-2*MIN(1,MAX(0,(Assumptions!F$96-Project_Register!$AJ$11)/(Project_Register!$AK$11-Project_Register!$AJ$11+1)))^3</f>
        <v>0</v>
      </c>
      <c r="G183" s="104" t="n">
        <f aca="false">3*MIN(1,MAX(0,(Assumptions!G$96-Project_Register!$AJ$11)/(Project_Register!$AK$11-Project_Register!$AJ$11+1)))^2-2*MIN(1,MAX(0,(Assumptions!G$96-Project_Register!$AJ$11)/(Project_Register!$AK$11-Project_Register!$AJ$11+1)))^3</f>
        <v>0</v>
      </c>
      <c r="H183" s="104" t="n">
        <f aca="false">3*MIN(1,MAX(0,(Assumptions!H$96-Project_Register!$AJ$11)/(Project_Register!$AK$11-Project_Register!$AJ$11+1)))^2-2*MIN(1,MAX(0,(Assumptions!H$96-Project_Register!$AJ$11)/(Project_Register!$AK$11-Project_Register!$AJ$11+1)))^3</f>
        <v>0</v>
      </c>
      <c r="I183" s="104" t="n">
        <f aca="false">3*MIN(1,MAX(0,(Assumptions!I$96-Project_Register!$AJ$11)/(Project_Register!$AK$11-Project_Register!$AJ$11+1)))^2-2*MIN(1,MAX(0,(Assumptions!I$96-Project_Register!$AJ$11)/(Project_Register!$AK$11-Project_Register!$AJ$11+1)))^3</f>
        <v>0</v>
      </c>
      <c r="J183" s="104" t="n">
        <f aca="false">3*MIN(1,MAX(0,(Assumptions!J$96-Project_Register!$AJ$11)/(Project_Register!$AK$11-Project_Register!$AJ$11+1)))^2-2*MIN(1,MAX(0,(Assumptions!J$96-Project_Register!$AJ$11)/(Project_Register!$AK$11-Project_Register!$AJ$11+1)))^3</f>
        <v>0</v>
      </c>
      <c r="K183" s="104" t="n">
        <f aca="false">3*MIN(1,MAX(0,(Assumptions!K$96-Project_Register!$AJ$11)/(Project_Register!$AK$11-Project_Register!$AJ$11+1)))^2-2*MIN(1,MAX(0,(Assumptions!K$96-Project_Register!$AJ$11)/(Project_Register!$AK$11-Project_Register!$AJ$11+1)))^3</f>
        <v>0</v>
      </c>
      <c r="L183" s="104" t="n">
        <f aca="false">3*MIN(1,MAX(0,(Assumptions!L$96-Project_Register!$AJ$11)/(Project_Register!$AK$11-Project_Register!$AJ$11+1)))^2-2*MIN(1,MAX(0,(Assumptions!L$96-Project_Register!$AJ$11)/(Project_Register!$AK$11-Project_Register!$AJ$11+1)))^3</f>
        <v>0</v>
      </c>
      <c r="M183" s="104" t="n">
        <f aca="false">3*MIN(1,MAX(0,(Assumptions!M$96-Project_Register!$AJ$11)/(Project_Register!$AK$11-Project_Register!$AJ$11+1)))^2-2*MIN(1,MAX(0,(Assumptions!M$96-Project_Register!$AJ$11)/(Project_Register!$AK$11-Project_Register!$AJ$11+1)))^3</f>
        <v>0.104</v>
      </c>
      <c r="N183" s="104" t="n">
        <f aca="false">3*MIN(1,MAX(0,(Assumptions!N$96-Project_Register!$AJ$11)/(Project_Register!$AK$11-Project_Register!$AJ$11+1)))^2-2*MIN(1,MAX(0,(Assumptions!N$96-Project_Register!$AJ$11)/(Project_Register!$AK$11-Project_Register!$AJ$11+1)))^3</f>
        <v>0.352</v>
      </c>
      <c r="O183" s="104" t="n">
        <f aca="false">3*MIN(1,MAX(0,(Assumptions!O$96-Project_Register!$AJ$11)/(Project_Register!$AK$11-Project_Register!$AJ$11+1)))^2-2*MIN(1,MAX(0,(Assumptions!O$96-Project_Register!$AJ$11)/(Project_Register!$AK$11-Project_Register!$AJ$11+1)))^3</f>
        <v>0.648</v>
      </c>
      <c r="P183" s="104" t="n">
        <f aca="false">3*MIN(1,MAX(0,(Assumptions!P$96-Project_Register!$AJ$11)/(Project_Register!$AK$11-Project_Register!$AJ$11+1)))^2-2*MIN(1,MAX(0,(Assumptions!P$96-Project_Register!$AJ$11)/(Project_Register!$AK$11-Project_Register!$AJ$11+1)))^3</f>
        <v>0.896</v>
      </c>
      <c r="Q183" s="104" t="n">
        <f aca="false">3*MIN(1,MAX(0,(Assumptions!Q$96-Project_Register!$AJ$11)/(Project_Register!$AK$11-Project_Register!$AJ$11+1)))^2-2*MIN(1,MAX(0,(Assumptions!Q$96-Project_Register!$AJ$11)/(Project_Register!$AK$11-Project_Register!$AJ$11+1)))^3</f>
        <v>1</v>
      </c>
      <c r="R183" s="104" t="n">
        <f aca="false">3*MIN(1,MAX(0,(Assumptions!R$96-Project_Register!$AJ$11)/(Project_Register!$AK$11-Project_Register!$AJ$11+1)))^2-2*MIN(1,MAX(0,(Assumptions!R$96-Project_Register!$AJ$11)/(Project_Register!$AK$11-Project_Register!$AJ$11+1)))^3</f>
        <v>1</v>
      </c>
      <c r="S183" s="104" t="n">
        <f aca="false">3*MIN(1,MAX(0,(Assumptions!S$96-Project_Register!$AJ$11)/(Project_Register!$AK$11-Project_Register!$AJ$11+1)))^2-2*MIN(1,MAX(0,(Assumptions!S$96-Project_Register!$AJ$11)/(Project_Register!$AK$11-Project_Register!$AJ$11+1)))^3</f>
        <v>1</v>
      </c>
      <c r="T183" s="104" t="n">
        <f aca="false">3*MIN(1,MAX(0,(Assumptions!T$96-Project_Register!$AJ$11)/(Project_Register!$AK$11-Project_Register!$AJ$11+1)))^2-2*MIN(1,MAX(0,(Assumptions!T$96-Project_Register!$AJ$11)/(Project_Register!$AK$11-Project_Register!$AJ$11+1)))^3</f>
        <v>1</v>
      </c>
      <c r="U183" s="104" t="n">
        <f aca="false">3*MIN(1,MAX(0,(Assumptions!U$96-Project_Register!$AJ$11)/(Project_Register!$AK$11-Project_Register!$AJ$11+1)))^2-2*MIN(1,MAX(0,(Assumptions!U$96-Project_Register!$AJ$11)/(Project_Register!$AK$11-Project_Register!$AJ$11+1)))^3</f>
        <v>1</v>
      </c>
      <c r="V183" s="104" t="n">
        <f aca="false">3*MIN(1,MAX(0,(Assumptions!V$96-Project_Register!$AJ$11)/(Project_Register!$AK$11-Project_Register!$AJ$11+1)))^2-2*MIN(1,MAX(0,(Assumptions!V$96-Project_Register!$AJ$11)/(Project_Register!$AK$11-Project_Register!$AJ$11+1)))^3</f>
        <v>1</v>
      </c>
      <c r="W183" s="104" t="n">
        <f aca="false">3*MIN(1,MAX(0,(Assumptions!W$96-Project_Register!$AJ$11)/(Project_Register!$AK$11-Project_Register!$AJ$11+1)))^2-2*MIN(1,MAX(0,(Assumptions!W$96-Project_Register!$AJ$11)/(Project_Register!$AK$11-Project_Register!$AJ$11+1)))^3</f>
        <v>1</v>
      </c>
      <c r="X183" s="104" t="n">
        <f aca="false">3*MIN(1,MAX(0,(Assumptions!X$96-Project_Register!$AJ$11)/(Project_Register!$AK$11-Project_Register!$AJ$11+1)))^2-2*MIN(1,MAX(0,(Assumptions!X$96-Project_Register!$AJ$11)/(Project_Register!$AK$11-Project_Register!$AJ$11+1)))^3</f>
        <v>1</v>
      </c>
      <c r="Y183" s="104" t="n">
        <f aca="false">3*MIN(1,MAX(0,(Assumptions!Y$96-Project_Register!$AJ$11)/(Project_Register!$AK$11-Project_Register!$AJ$11+1)))^2-2*MIN(1,MAX(0,(Assumptions!Y$96-Project_Register!$AJ$11)/(Project_Register!$AK$11-Project_Register!$AJ$11+1)))^3</f>
        <v>1</v>
      </c>
      <c r="Z183" s="104" t="n">
        <f aca="false">3*MIN(1,MAX(0,(Assumptions!Z$96-Project_Register!$AJ$11)/(Project_Register!$AK$11-Project_Register!$AJ$11+1)))^2-2*MIN(1,MAX(0,(Assumptions!Z$96-Project_Register!$AJ$11)/(Project_Register!$AK$11-Project_Register!$AJ$11+1)))^3</f>
        <v>1</v>
      </c>
      <c r="AA183" s="104" t="n">
        <f aca="false">3*MIN(1,MAX(0,(Assumptions!AA$96-Project_Register!$AJ$11)/(Project_Register!$AK$11-Project_Register!$AJ$11+1)))^2-2*MIN(1,MAX(0,(Assumptions!AA$96-Project_Register!$AJ$11)/(Project_Register!$AK$11-Project_Register!$AJ$11+1)))^3</f>
        <v>1</v>
      </c>
      <c r="AB183" s="104" t="n">
        <f aca="false">3*MIN(1,MAX(0,(Assumptions!AB$96-Project_Register!$AJ$11)/(Project_Register!$AK$11-Project_Register!$AJ$11+1)))^2-2*MIN(1,MAX(0,(Assumptions!AB$96-Project_Register!$AJ$11)/(Project_Register!$AK$11-Project_Register!$AJ$11+1)))^3</f>
        <v>1</v>
      </c>
    </row>
    <row r="184" customFormat="false" ht="15" hidden="false" customHeight="false" outlineLevel="0" collapsed="false">
      <c r="A184" s="27" t="s">
        <v>721</v>
      </c>
      <c r="B184" s="56" t="s">
        <v>722</v>
      </c>
      <c r="C184" s="57" t="n">
        <f aca="false">SUM(E184:P184)</f>
        <v>53553.1692</v>
      </c>
      <c r="D184" s="57" t="n">
        <f aca="false">SUM(Q184:AB184)</f>
        <v>0</v>
      </c>
      <c r="E184" s="58" t="n">
        <f aca="false">IF(E$5="A",Inputs_Actuals!E45,IF((Project_Register!$AT$11-Project_Register!$AQ$11)&lt;=0,0,IF(1-Project_Register!$AV$11&lt;=0.000001,IF(Assumptions!E$96=Assumptions!$C$10+1,(Project_Register!$AT$11-Project_Register!$AQ$11),0),(Project_Register!$AT$11-Project_Register!$AQ$11)*(E182-E183)/(1-Project_Register!$AV$11)))*Project_Register!$X$11)</f>
        <v>0</v>
      </c>
      <c r="F184" s="58" t="n">
        <f aca="false">IF(F$5="A",Inputs_Actuals!F45,IF((Project_Register!$AT$11-Project_Register!$AQ$11)&lt;=0,0,IF(1-Project_Register!$AV$11&lt;=0.000001,IF(Assumptions!F$96=Assumptions!$C$10+1,(Project_Register!$AT$11-Project_Register!$AQ$11),0),(Project_Register!$AT$11-Project_Register!$AQ$11)*(F182-F183)/(1-Project_Register!$AV$11)))*Project_Register!$X$11)</f>
        <v>0</v>
      </c>
      <c r="G184" s="58" t="n">
        <f aca="false">IF(G$5="A",Inputs_Actuals!G45,IF((Project_Register!$AT$11-Project_Register!$AQ$11)&lt;=0,0,IF(1-Project_Register!$AV$11&lt;=0.000001,IF(Assumptions!G$96=Assumptions!$C$10+1,(Project_Register!$AT$11-Project_Register!$AQ$11),0),(Project_Register!$AT$11-Project_Register!$AQ$11)*(G182-G183)/(1-Project_Register!$AV$11)))*Project_Register!$X$11)</f>
        <v>0</v>
      </c>
      <c r="H184" s="58" t="n">
        <f aca="false">IF(H$5="A",Inputs_Actuals!H45,IF((Project_Register!$AT$11-Project_Register!$AQ$11)&lt;=0,0,IF(1-Project_Register!$AV$11&lt;=0.000001,IF(Assumptions!H$96=Assumptions!$C$10+1,(Project_Register!$AT$11-Project_Register!$AQ$11),0),(Project_Register!$AT$11-Project_Register!$AQ$11)*(H182-H183)/(1-Project_Register!$AV$11)))*Project_Register!$X$11)</f>
        <v>0</v>
      </c>
      <c r="I184" s="58" t="n">
        <f aca="false">IF(I$5="A",Inputs_Actuals!I45,IF((Project_Register!$AT$11-Project_Register!$AQ$11)&lt;=0,0,IF(1-Project_Register!$AV$11&lt;=0.000001,IF(Assumptions!I$96=Assumptions!$C$10+1,(Project_Register!$AT$11-Project_Register!$AQ$11),0),(Project_Register!$AT$11-Project_Register!$AQ$11)*(I182-I183)/(1-Project_Register!$AV$11)))*Project_Register!$X$11)</f>
        <v>0</v>
      </c>
      <c r="J184" s="58" t="n">
        <f aca="false">IF(J$5="A",Inputs_Actuals!J45,IF((Project_Register!$AT$11-Project_Register!$AQ$11)&lt;=0,0,IF(1-Project_Register!$AV$11&lt;=0.000001,IF(Assumptions!J$96=Assumptions!$C$10+1,(Project_Register!$AT$11-Project_Register!$AQ$11),0),(Project_Register!$AT$11-Project_Register!$AQ$11)*(J182-J183)/(1-Project_Register!$AV$11)))*Project_Register!$X$11)</f>
        <v>0</v>
      </c>
      <c r="K184" s="58" t="n">
        <f aca="false">IF(K$5="A",Inputs_Actuals!K45,IF((Project_Register!$AT$11-Project_Register!$AQ$11)&lt;=0,0,IF(1-Project_Register!$AV$11&lt;=0.000001,IF(Assumptions!K$96=Assumptions!$C$10+1,(Project_Register!$AT$11-Project_Register!$AQ$11),0),(Project_Register!$AT$11-Project_Register!$AQ$11)*(K182-K183)/(1-Project_Register!$AV$11)))*Project_Register!$X$11)</f>
        <v>0</v>
      </c>
      <c r="L184" s="58" t="n">
        <f aca="false">IF(L$5="A",Inputs_Actuals!L45,IF((Project_Register!$AT$11-Project_Register!$AQ$11)&lt;=0,0,IF(1-Project_Register!$AV$11&lt;=0.000001,IF(Assumptions!L$96=Assumptions!$C$10+1,(Project_Register!$AT$11-Project_Register!$AQ$11),0),(Project_Register!$AT$11-Project_Register!$AQ$11)*(L182-L183)/(1-Project_Register!$AV$11)))*Project_Register!$X$11)</f>
        <v>5535.27</v>
      </c>
      <c r="M184" s="58" t="n">
        <f aca="false">IF(M$5="A",Inputs_Actuals!M45,IF((Project_Register!$AT$11-Project_Register!$AQ$11)&lt;=0,0,IF(1-Project_Register!$AV$11&lt;=0.000001,IF(Assumptions!M$96=Assumptions!$C$10+1,(Project_Register!$AT$11-Project_Register!$AQ$11),0),(Project_Register!$AT$11-Project_Register!$AQ$11)*(M182-M183)/(1-Project_Register!$AV$11)))*Project_Register!$X$11)</f>
        <v>13290.6685285714</v>
      </c>
      <c r="N184" s="58" t="n">
        <f aca="false">IF(N$5="A",Inputs_Actuals!N45,IF((Project_Register!$AT$11-Project_Register!$AQ$11)&lt;=0,0,IF(1-Project_Register!$AV$11&lt;=0.000001,IF(Assumptions!N$96=Assumptions!$C$10+1,(Project_Register!$AT$11-Project_Register!$AQ$11),0),(Project_Register!$AT$11-Project_Register!$AQ$11)*(N182-N183)/(1-Project_Register!$AV$11)))*Project_Register!$X$11)</f>
        <v>15863.0559857143</v>
      </c>
      <c r="O184" s="58" t="n">
        <f aca="false">IF(O$5="A",Inputs_Actuals!O45,IF((Project_Register!$AT$11-Project_Register!$AQ$11)&lt;=0,0,IF(1-Project_Register!$AV$11&lt;=0.000001,IF(Assumptions!O$96=Assumptions!$C$10+1,(Project_Register!$AT$11-Project_Register!$AQ$11),0),(Project_Register!$AT$11-Project_Register!$AQ$11)*(O182-O183)/(1-Project_Register!$AV$11)))*Project_Register!$X$11)</f>
        <v>13290.6685285714</v>
      </c>
      <c r="P184" s="58" t="n">
        <f aca="false">IF(P$5="A",Inputs_Actuals!P45,IF((Project_Register!$AT$11-Project_Register!$AQ$11)&lt;=0,0,IF(1-Project_Register!$AV$11&lt;=0.000001,IF(Assumptions!P$96=Assumptions!$C$10+1,(Project_Register!$AT$11-Project_Register!$AQ$11),0),(Project_Register!$AT$11-Project_Register!$AQ$11)*(P182-P183)/(1-Project_Register!$AV$11)))*Project_Register!$X$11)</f>
        <v>5573.50615714285</v>
      </c>
      <c r="Q184" s="58" t="n">
        <f aca="false">IF(Q$5="A",Inputs_Actuals!Q45,IF((Project_Register!$AT$11-Project_Register!$AQ$11)&lt;=0,0,IF(1-Project_Register!$AV$11&lt;=0.000001,IF(Assumptions!Q$96=Assumptions!$C$10+1,(Project_Register!$AT$11-Project_Register!$AQ$11),0),(Project_Register!$AT$11-Project_Register!$AQ$11)*(Q182-Q183)/(1-Project_Register!$AV$11)))*Project_Register!$X$11)</f>
        <v>0</v>
      </c>
      <c r="R184" s="58" t="n">
        <f aca="false">IF(R$5="A",Inputs_Actuals!R45,IF((Project_Register!$AT$11-Project_Register!$AQ$11)&lt;=0,0,IF(1-Project_Register!$AV$11&lt;=0.000001,IF(Assumptions!R$96=Assumptions!$C$10+1,(Project_Register!$AT$11-Project_Register!$AQ$11),0),(Project_Register!$AT$11-Project_Register!$AQ$11)*(R182-R183)/(1-Project_Register!$AV$11)))*Project_Register!$X$11)</f>
        <v>0</v>
      </c>
      <c r="S184" s="58" t="n">
        <f aca="false">IF(S$5="A",Inputs_Actuals!S45,IF((Project_Register!$AT$11-Project_Register!$AQ$11)&lt;=0,0,IF(1-Project_Register!$AV$11&lt;=0.000001,IF(Assumptions!S$96=Assumptions!$C$10+1,(Project_Register!$AT$11-Project_Register!$AQ$11),0),(Project_Register!$AT$11-Project_Register!$AQ$11)*(S182-S183)/(1-Project_Register!$AV$11)))*Project_Register!$X$11)</f>
        <v>0</v>
      </c>
      <c r="T184" s="58" t="n">
        <f aca="false">IF(T$5="A",Inputs_Actuals!T45,IF((Project_Register!$AT$11-Project_Register!$AQ$11)&lt;=0,0,IF(1-Project_Register!$AV$11&lt;=0.000001,IF(Assumptions!T$96=Assumptions!$C$10+1,(Project_Register!$AT$11-Project_Register!$AQ$11),0),(Project_Register!$AT$11-Project_Register!$AQ$11)*(T182-T183)/(1-Project_Register!$AV$11)))*Project_Register!$X$11)</f>
        <v>0</v>
      </c>
      <c r="U184" s="58" t="n">
        <f aca="false">IF(U$5="A",Inputs_Actuals!U45,IF((Project_Register!$AT$11-Project_Register!$AQ$11)&lt;=0,0,IF(1-Project_Register!$AV$11&lt;=0.000001,IF(Assumptions!U$96=Assumptions!$C$10+1,(Project_Register!$AT$11-Project_Register!$AQ$11),0),(Project_Register!$AT$11-Project_Register!$AQ$11)*(U182-U183)/(1-Project_Register!$AV$11)))*Project_Register!$X$11)</f>
        <v>0</v>
      </c>
      <c r="V184" s="58" t="n">
        <f aca="false">IF(V$5="A",Inputs_Actuals!V45,IF((Project_Register!$AT$11-Project_Register!$AQ$11)&lt;=0,0,IF(1-Project_Register!$AV$11&lt;=0.000001,IF(Assumptions!V$96=Assumptions!$C$10+1,(Project_Register!$AT$11-Project_Register!$AQ$11),0),(Project_Register!$AT$11-Project_Register!$AQ$11)*(V182-V183)/(1-Project_Register!$AV$11)))*Project_Register!$X$11)</f>
        <v>0</v>
      </c>
      <c r="W184" s="58" t="n">
        <f aca="false">IF(W$5="A",Inputs_Actuals!W45,IF((Project_Register!$AT$11-Project_Register!$AQ$11)&lt;=0,0,IF(1-Project_Register!$AV$11&lt;=0.000001,IF(Assumptions!W$96=Assumptions!$C$10+1,(Project_Register!$AT$11-Project_Register!$AQ$11),0),(Project_Register!$AT$11-Project_Register!$AQ$11)*(W182-W183)/(1-Project_Register!$AV$11)))*Project_Register!$X$11)</f>
        <v>0</v>
      </c>
      <c r="X184" s="58" t="n">
        <f aca="false">IF(X$5="A",Inputs_Actuals!X45,IF((Project_Register!$AT$11-Project_Register!$AQ$11)&lt;=0,0,IF(1-Project_Register!$AV$11&lt;=0.000001,IF(Assumptions!X$96=Assumptions!$C$10+1,(Project_Register!$AT$11-Project_Register!$AQ$11),0),(Project_Register!$AT$11-Project_Register!$AQ$11)*(X182-X183)/(1-Project_Register!$AV$11)))*Project_Register!$X$11)</f>
        <v>0</v>
      </c>
      <c r="Y184" s="58" t="n">
        <f aca="false">IF(Y$5="A",Inputs_Actuals!Y45,IF((Project_Register!$AT$11-Project_Register!$AQ$11)&lt;=0,0,IF(1-Project_Register!$AV$11&lt;=0.000001,IF(Assumptions!Y$96=Assumptions!$C$10+1,(Project_Register!$AT$11-Project_Register!$AQ$11),0),(Project_Register!$AT$11-Project_Register!$AQ$11)*(Y182-Y183)/(1-Project_Register!$AV$11)))*Project_Register!$X$11)</f>
        <v>0</v>
      </c>
      <c r="Z184" s="58" t="n">
        <f aca="false">IF(Z$5="A",Inputs_Actuals!Z45,IF((Project_Register!$AT$11-Project_Register!$AQ$11)&lt;=0,0,IF(1-Project_Register!$AV$11&lt;=0.000001,IF(Assumptions!Z$96=Assumptions!$C$10+1,(Project_Register!$AT$11-Project_Register!$AQ$11),0),(Project_Register!$AT$11-Project_Register!$AQ$11)*(Z182-Z183)/(1-Project_Register!$AV$11)))*Project_Register!$X$11)</f>
        <v>0</v>
      </c>
      <c r="AA184" s="58" t="n">
        <f aca="false">IF(AA$5="A",Inputs_Actuals!AA45,IF((Project_Register!$AT$11-Project_Register!$AQ$11)&lt;=0,0,IF(1-Project_Register!$AV$11&lt;=0.000001,IF(Assumptions!AA$96=Assumptions!$C$10+1,(Project_Register!$AT$11-Project_Register!$AQ$11),0),(Project_Register!$AT$11-Project_Register!$AQ$11)*(AA182-AA183)/(1-Project_Register!$AV$11)))*Project_Register!$X$11)</f>
        <v>0</v>
      </c>
      <c r="AB184" s="58" t="n">
        <f aca="false">IF(AB$5="A",Inputs_Actuals!AB45,IF((Project_Register!$AT$11-Project_Register!$AQ$11)&lt;=0,0,IF(1-Project_Register!$AV$11&lt;=0.000001,IF(Assumptions!AB$96=Assumptions!$C$10+1,(Project_Register!$AT$11-Project_Register!$AQ$11),0),(Project_Register!$AT$11-Project_Register!$AQ$11)*(AB182-AB183)/(1-Project_Register!$AV$11)))*Project_Register!$X$11)</f>
        <v>0</v>
      </c>
    </row>
    <row r="185" customFormat="false" ht="15" hidden="false" customHeight="false" outlineLevel="0" collapsed="false">
      <c r="A185" s="27" t="s">
        <v>723</v>
      </c>
      <c r="B185" s="56" t="s">
        <v>722</v>
      </c>
      <c r="C185" s="57" t="n">
        <f aca="false">SUM(E185:P185)</f>
        <v>166191.005</v>
      </c>
      <c r="D185" s="57" t="n">
        <f aca="false">SUM(Q185:AB185)</f>
        <v>0</v>
      </c>
      <c r="E185" s="58" t="n">
        <f aca="false">IF(E$5="A",Inputs_Actuals!E46,IF((Project_Register!$AT$11-Project_Register!$AQ$11)&lt;=0,0,IF(1-Project_Register!$AV$11&lt;=0.000001,IF(Assumptions!E$96=Assumptions!$C$10+1,(Project_Register!$AT$11-Project_Register!$AQ$11),0),(Project_Register!$AT$11-Project_Register!$AQ$11)*(E182-E183)/(1-Project_Register!$AV$11)))*Project_Register!$Y$11)</f>
        <v>0</v>
      </c>
      <c r="F185" s="58" t="n">
        <f aca="false">IF(F$5="A",Inputs_Actuals!F46,IF((Project_Register!$AT$11-Project_Register!$AQ$11)&lt;=0,0,IF(1-Project_Register!$AV$11&lt;=0.000001,IF(Assumptions!F$96=Assumptions!$C$10+1,(Project_Register!$AT$11-Project_Register!$AQ$11),0),(Project_Register!$AT$11-Project_Register!$AQ$11)*(F182-F183)/(1-Project_Register!$AV$11)))*Project_Register!$Y$11)</f>
        <v>0</v>
      </c>
      <c r="G185" s="58" t="n">
        <f aca="false">IF(G$5="A",Inputs_Actuals!G46,IF((Project_Register!$AT$11-Project_Register!$AQ$11)&lt;=0,0,IF(1-Project_Register!$AV$11&lt;=0.000001,IF(Assumptions!G$96=Assumptions!$C$10+1,(Project_Register!$AT$11-Project_Register!$AQ$11),0),(Project_Register!$AT$11-Project_Register!$AQ$11)*(G182-G183)/(1-Project_Register!$AV$11)))*Project_Register!$Y$11)</f>
        <v>0</v>
      </c>
      <c r="H185" s="58" t="n">
        <f aca="false">IF(H$5="A",Inputs_Actuals!H46,IF((Project_Register!$AT$11-Project_Register!$AQ$11)&lt;=0,0,IF(1-Project_Register!$AV$11&lt;=0.000001,IF(Assumptions!H$96=Assumptions!$C$10+1,(Project_Register!$AT$11-Project_Register!$AQ$11),0),(Project_Register!$AT$11-Project_Register!$AQ$11)*(H182-H183)/(1-Project_Register!$AV$11)))*Project_Register!$Y$11)</f>
        <v>0</v>
      </c>
      <c r="I185" s="58" t="n">
        <f aca="false">IF(I$5="A",Inputs_Actuals!I46,IF((Project_Register!$AT$11-Project_Register!$AQ$11)&lt;=0,0,IF(1-Project_Register!$AV$11&lt;=0.000001,IF(Assumptions!I$96=Assumptions!$C$10+1,(Project_Register!$AT$11-Project_Register!$AQ$11),0),(Project_Register!$AT$11-Project_Register!$AQ$11)*(I182-I183)/(1-Project_Register!$AV$11)))*Project_Register!$Y$11)</f>
        <v>0</v>
      </c>
      <c r="J185" s="58" t="n">
        <f aca="false">IF(J$5="A",Inputs_Actuals!J46,IF((Project_Register!$AT$11-Project_Register!$AQ$11)&lt;=0,0,IF(1-Project_Register!$AV$11&lt;=0.000001,IF(Assumptions!J$96=Assumptions!$C$10+1,(Project_Register!$AT$11-Project_Register!$AQ$11),0),(Project_Register!$AT$11-Project_Register!$AQ$11)*(J182-J183)/(1-Project_Register!$AV$11)))*Project_Register!$Y$11)</f>
        <v>0</v>
      </c>
      <c r="K185" s="58" t="n">
        <f aca="false">IF(K$5="A",Inputs_Actuals!K46,IF((Project_Register!$AT$11-Project_Register!$AQ$11)&lt;=0,0,IF(1-Project_Register!$AV$11&lt;=0.000001,IF(Assumptions!K$96=Assumptions!$C$10+1,(Project_Register!$AT$11-Project_Register!$AQ$11),0),(Project_Register!$AT$11-Project_Register!$AQ$11)*(K182-K183)/(1-Project_Register!$AV$11)))*Project_Register!$Y$11)</f>
        <v>0</v>
      </c>
      <c r="L185" s="58" t="n">
        <f aca="false">IF(L$5="A",Inputs_Actuals!L46,IF((Project_Register!$AT$11-Project_Register!$AQ$11)&lt;=0,0,IF(1-Project_Register!$AV$11&lt;=0.000001,IF(Assumptions!L$96=Assumptions!$C$10+1,(Project_Register!$AT$11-Project_Register!$AQ$11),0),(Project_Register!$AT$11-Project_Register!$AQ$11)*(L182-L183)/(1-Project_Register!$AV$11)))*Project_Register!$Y$11)</f>
        <v>16135.07</v>
      </c>
      <c r="M185" s="58" t="n">
        <f aca="false">IF(M$5="A",Inputs_Actuals!M46,IF((Project_Register!$AT$11-Project_Register!$AQ$11)&lt;=0,0,IF(1-Project_Register!$AV$11&lt;=0.000001,IF(Assumptions!M$96=Assumptions!$C$10+1,(Project_Register!$AT$11-Project_Register!$AQ$11),0),(Project_Register!$AT$11-Project_Register!$AQ$11)*(M182-M183)/(1-Project_Register!$AV$11)))*Project_Register!$Y$11)</f>
        <v>41533.3391517857</v>
      </c>
      <c r="N185" s="58" t="n">
        <f aca="false">IF(N$5="A",Inputs_Actuals!N46,IF((Project_Register!$AT$11-Project_Register!$AQ$11)&lt;=0,0,IF(1-Project_Register!$AV$11&lt;=0.000001,IF(Assumptions!N$96=Assumptions!$C$10+1,(Project_Register!$AT$11-Project_Register!$AQ$11),0),(Project_Register!$AT$11-Project_Register!$AQ$11)*(N182-N183)/(1-Project_Register!$AV$11)))*Project_Register!$Y$11)</f>
        <v>49572.0499553572</v>
      </c>
      <c r="O185" s="58" t="n">
        <f aca="false">IF(O$5="A",Inputs_Actuals!O46,IF((Project_Register!$AT$11-Project_Register!$AQ$11)&lt;=0,0,IF(1-Project_Register!$AV$11&lt;=0.000001,IF(Assumptions!O$96=Assumptions!$C$10+1,(Project_Register!$AT$11-Project_Register!$AQ$11),0),(Project_Register!$AT$11-Project_Register!$AQ$11)*(O182-O183)/(1-Project_Register!$AV$11)))*Project_Register!$Y$11)</f>
        <v>41533.3391517857</v>
      </c>
      <c r="P185" s="58" t="n">
        <f aca="false">IF(P$5="A",Inputs_Actuals!P46,IF((Project_Register!$AT$11-Project_Register!$AQ$11)&lt;=0,0,IF(1-Project_Register!$AV$11&lt;=0.000001,IF(Assumptions!P$96=Assumptions!$C$10+1,(Project_Register!$AT$11-Project_Register!$AQ$11),0),(Project_Register!$AT$11-Project_Register!$AQ$11)*(P182-P183)/(1-Project_Register!$AV$11)))*Project_Register!$Y$11)</f>
        <v>17417.2067410714</v>
      </c>
      <c r="Q185" s="58" t="n">
        <f aca="false">IF(Q$5="A",Inputs_Actuals!Q46,IF((Project_Register!$AT$11-Project_Register!$AQ$11)&lt;=0,0,IF(1-Project_Register!$AV$11&lt;=0.000001,IF(Assumptions!Q$96=Assumptions!$C$10+1,(Project_Register!$AT$11-Project_Register!$AQ$11),0),(Project_Register!$AT$11-Project_Register!$AQ$11)*(Q182-Q183)/(1-Project_Register!$AV$11)))*Project_Register!$Y$11)</f>
        <v>0</v>
      </c>
      <c r="R185" s="58" t="n">
        <f aca="false">IF(R$5="A",Inputs_Actuals!R46,IF((Project_Register!$AT$11-Project_Register!$AQ$11)&lt;=0,0,IF(1-Project_Register!$AV$11&lt;=0.000001,IF(Assumptions!R$96=Assumptions!$C$10+1,(Project_Register!$AT$11-Project_Register!$AQ$11),0),(Project_Register!$AT$11-Project_Register!$AQ$11)*(R182-R183)/(1-Project_Register!$AV$11)))*Project_Register!$Y$11)</f>
        <v>0</v>
      </c>
      <c r="S185" s="58" t="n">
        <f aca="false">IF(S$5="A",Inputs_Actuals!S46,IF((Project_Register!$AT$11-Project_Register!$AQ$11)&lt;=0,0,IF(1-Project_Register!$AV$11&lt;=0.000001,IF(Assumptions!S$96=Assumptions!$C$10+1,(Project_Register!$AT$11-Project_Register!$AQ$11),0),(Project_Register!$AT$11-Project_Register!$AQ$11)*(S182-S183)/(1-Project_Register!$AV$11)))*Project_Register!$Y$11)</f>
        <v>0</v>
      </c>
      <c r="T185" s="58" t="n">
        <f aca="false">IF(T$5="A",Inputs_Actuals!T46,IF((Project_Register!$AT$11-Project_Register!$AQ$11)&lt;=0,0,IF(1-Project_Register!$AV$11&lt;=0.000001,IF(Assumptions!T$96=Assumptions!$C$10+1,(Project_Register!$AT$11-Project_Register!$AQ$11),0),(Project_Register!$AT$11-Project_Register!$AQ$11)*(T182-T183)/(1-Project_Register!$AV$11)))*Project_Register!$Y$11)</f>
        <v>0</v>
      </c>
      <c r="U185" s="58" t="n">
        <f aca="false">IF(U$5="A",Inputs_Actuals!U46,IF((Project_Register!$AT$11-Project_Register!$AQ$11)&lt;=0,0,IF(1-Project_Register!$AV$11&lt;=0.000001,IF(Assumptions!U$96=Assumptions!$C$10+1,(Project_Register!$AT$11-Project_Register!$AQ$11),0),(Project_Register!$AT$11-Project_Register!$AQ$11)*(U182-U183)/(1-Project_Register!$AV$11)))*Project_Register!$Y$11)</f>
        <v>0</v>
      </c>
      <c r="V185" s="58" t="n">
        <f aca="false">IF(V$5="A",Inputs_Actuals!V46,IF((Project_Register!$AT$11-Project_Register!$AQ$11)&lt;=0,0,IF(1-Project_Register!$AV$11&lt;=0.000001,IF(Assumptions!V$96=Assumptions!$C$10+1,(Project_Register!$AT$11-Project_Register!$AQ$11),0),(Project_Register!$AT$11-Project_Register!$AQ$11)*(V182-V183)/(1-Project_Register!$AV$11)))*Project_Register!$Y$11)</f>
        <v>0</v>
      </c>
      <c r="W185" s="58" t="n">
        <f aca="false">IF(W$5="A",Inputs_Actuals!W46,IF((Project_Register!$AT$11-Project_Register!$AQ$11)&lt;=0,0,IF(1-Project_Register!$AV$11&lt;=0.000001,IF(Assumptions!W$96=Assumptions!$C$10+1,(Project_Register!$AT$11-Project_Register!$AQ$11),0),(Project_Register!$AT$11-Project_Register!$AQ$11)*(W182-W183)/(1-Project_Register!$AV$11)))*Project_Register!$Y$11)</f>
        <v>0</v>
      </c>
      <c r="X185" s="58" t="n">
        <f aca="false">IF(X$5="A",Inputs_Actuals!X46,IF((Project_Register!$AT$11-Project_Register!$AQ$11)&lt;=0,0,IF(1-Project_Register!$AV$11&lt;=0.000001,IF(Assumptions!X$96=Assumptions!$C$10+1,(Project_Register!$AT$11-Project_Register!$AQ$11),0),(Project_Register!$AT$11-Project_Register!$AQ$11)*(X182-X183)/(1-Project_Register!$AV$11)))*Project_Register!$Y$11)</f>
        <v>0</v>
      </c>
      <c r="Y185" s="58" t="n">
        <f aca="false">IF(Y$5="A",Inputs_Actuals!Y46,IF((Project_Register!$AT$11-Project_Register!$AQ$11)&lt;=0,0,IF(1-Project_Register!$AV$11&lt;=0.000001,IF(Assumptions!Y$96=Assumptions!$C$10+1,(Project_Register!$AT$11-Project_Register!$AQ$11),0),(Project_Register!$AT$11-Project_Register!$AQ$11)*(Y182-Y183)/(1-Project_Register!$AV$11)))*Project_Register!$Y$11)</f>
        <v>0</v>
      </c>
      <c r="Z185" s="58" t="n">
        <f aca="false">IF(Z$5="A",Inputs_Actuals!Z46,IF((Project_Register!$AT$11-Project_Register!$AQ$11)&lt;=0,0,IF(1-Project_Register!$AV$11&lt;=0.000001,IF(Assumptions!Z$96=Assumptions!$C$10+1,(Project_Register!$AT$11-Project_Register!$AQ$11),0),(Project_Register!$AT$11-Project_Register!$AQ$11)*(Z182-Z183)/(1-Project_Register!$AV$11)))*Project_Register!$Y$11)</f>
        <v>0</v>
      </c>
      <c r="AA185" s="58" t="n">
        <f aca="false">IF(AA$5="A",Inputs_Actuals!AA46,IF((Project_Register!$AT$11-Project_Register!$AQ$11)&lt;=0,0,IF(1-Project_Register!$AV$11&lt;=0.000001,IF(Assumptions!AA$96=Assumptions!$C$10+1,(Project_Register!$AT$11-Project_Register!$AQ$11),0),(Project_Register!$AT$11-Project_Register!$AQ$11)*(AA182-AA183)/(1-Project_Register!$AV$11)))*Project_Register!$Y$11)</f>
        <v>0</v>
      </c>
      <c r="AB185" s="58" t="n">
        <f aca="false">IF(AB$5="A",Inputs_Actuals!AB46,IF((Project_Register!$AT$11-Project_Register!$AQ$11)&lt;=0,0,IF(1-Project_Register!$AV$11&lt;=0.000001,IF(Assumptions!AB$96=Assumptions!$C$10+1,(Project_Register!$AT$11-Project_Register!$AQ$11),0),(Project_Register!$AT$11-Project_Register!$AQ$11)*(AB182-AB183)/(1-Project_Register!$AV$11)))*Project_Register!$Y$11)</f>
        <v>0</v>
      </c>
    </row>
    <row r="186" customFormat="false" ht="15" hidden="false" customHeight="false" outlineLevel="0" collapsed="false">
      <c r="A186" s="27" t="s">
        <v>724</v>
      </c>
      <c r="B186" s="56" t="s">
        <v>722</v>
      </c>
      <c r="C186" s="57" t="n">
        <f aca="false">SUM(E186:P186)</f>
        <v>79789.8988</v>
      </c>
      <c r="D186" s="57" t="n">
        <f aca="false">SUM(Q186:AB186)</f>
        <v>0</v>
      </c>
      <c r="E186" s="58" t="n">
        <f aca="false">IF(E$5="A",Inputs_Actuals!E47,IF((Project_Register!$AT$11-Project_Register!$AQ$11)&lt;=0,0,IF(1-Project_Register!$AV$11&lt;=0.000001,IF(Assumptions!E$96=Assumptions!$C$10+1,(Project_Register!$AT$11-Project_Register!$AQ$11),0),(Project_Register!$AT$11-Project_Register!$AQ$11)*(E182-E183)/(1-Project_Register!$AV$11)))*Project_Register!$Z$11)</f>
        <v>0</v>
      </c>
      <c r="F186" s="58" t="n">
        <f aca="false">IF(F$5="A",Inputs_Actuals!F47,IF((Project_Register!$AT$11-Project_Register!$AQ$11)&lt;=0,0,IF(1-Project_Register!$AV$11&lt;=0.000001,IF(Assumptions!F$96=Assumptions!$C$10+1,(Project_Register!$AT$11-Project_Register!$AQ$11),0),(Project_Register!$AT$11-Project_Register!$AQ$11)*(F182-F183)/(1-Project_Register!$AV$11)))*Project_Register!$Z$11)</f>
        <v>0</v>
      </c>
      <c r="G186" s="58" t="n">
        <f aca="false">IF(G$5="A",Inputs_Actuals!G47,IF((Project_Register!$AT$11-Project_Register!$AQ$11)&lt;=0,0,IF(1-Project_Register!$AV$11&lt;=0.000001,IF(Assumptions!G$96=Assumptions!$C$10+1,(Project_Register!$AT$11-Project_Register!$AQ$11),0),(Project_Register!$AT$11-Project_Register!$AQ$11)*(G182-G183)/(1-Project_Register!$AV$11)))*Project_Register!$Z$11)</f>
        <v>0</v>
      </c>
      <c r="H186" s="58" t="n">
        <f aca="false">IF(H$5="A",Inputs_Actuals!H47,IF((Project_Register!$AT$11-Project_Register!$AQ$11)&lt;=0,0,IF(1-Project_Register!$AV$11&lt;=0.000001,IF(Assumptions!H$96=Assumptions!$C$10+1,(Project_Register!$AT$11-Project_Register!$AQ$11),0),(Project_Register!$AT$11-Project_Register!$AQ$11)*(H182-H183)/(1-Project_Register!$AV$11)))*Project_Register!$Z$11)</f>
        <v>0</v>
      </c>
      <c r="I186" s="58" t="n">
        <f aca="false">IF(I$5="A",Inputs_Actuals!I47,IF((Project_Register!$AT$11-Project_Register!$AQ$11)&lt;=0,0,IF(1-Project_Register!$AV$11&lt;=0.000001,IF(Assumptions!I$96=Assumptions!$C$10+1,(Project_Register!$AT$11-Project_Register!$AQ$11),0),(Project_Register!$AT$11-Project_Register!$AQ$11)*(I182-I183)/(1-Project_Register!$AV$11)))*Project_Register!$Z$11)</f>
        <v>0</v>
      </c>
      <c r="J186" s="58" t="n">
        <f aca="false">IF(J$5="A",Inputs_Actuals!J47,IF((Project_Register!$AT$11-Project_Register!$AQ$11)&lt;=0,0,IF(1-Project_Register!$AV$11&lt;=0.000001,IF(Assumptions!J$96=Assumptions!$C$10+1,(Project_Register!$AT$11-Project_Register!$AQ$11),0),(Project_Register!$AT$11-Project_Register!$AQ$11)*(J182-J183)/(1-Project_Register!$AV$11)))*Project_Register!$Z$11)</f>
        <v>0</v>
      </c>
      <c r="K186" s="58" t="n">
        <f aca="false">IF(K$5="A",Inputs_Actuals!K47,IF((Project_Register!$AT$11-Project_Register!$AQ$11)&lt;=0,0,IF(1-Project_Register!$AV$11&lt;=0.000001,IF(Assumptions!K$96=Assumptions!$C$10+1,(Project_Register!$AT$11-Project_Register!$AQ$11),0),(Project_Register!$AT$11-Project_Register!$AQ$11)*(K182-K183)/(1-Project_Register!$AV$11)))*Project_Register!$Z$11)</f>
        <v>0</v>
      </c>
      <c r="L186" s="58" t="n">
        <f aca="false">IF(L$5="A",Inputs_Actuals!L47,IF((Project_Register!$AT$11-Project_Register!$AQ$11)&lt;=0,0,IF(1-Project_Register!$AV$11&lt;=0.000001,IF(Assumptions!L$96=Assumptions!$C$10+1,(Project_Register!$AT$11-Project_Register!$AQ$11),0),(Project_Register!$AT$11-Project_Register!$AQ$11)*(L182-L183)/(1-Project_Register!$AV$11)))*Project_Register!$Z$11)</f>
        <v>7763.05</v>
      </c>
      <c r="M186" s="58" t="n">
        <f aca="false">IF(M$5="A",Inputs_Actuals!M47,IF((Project_Register!$AT$11-Project_Register!$AQ$11)&lt;=0,0,IF(1-Project_Register!$AV$11&lt;=0.000001,IF(Assumptions!M$96=Assumptions!$C$10+1,(Project_Register!$AT$11-Project_Register!$AQ$11),0),(Project_Register!$AT$11-Project_Register!$AQ$11)*(M182-M183)/(1-Project_Register!$AV$11)))*Project_Register!$Z$11)</f>
        <v>19936.0027928571</v>
      </c>
      <c r="N186" s="58" t="n">
        <f aca="false">IF(N$5="A",Inputs_Actuals!N47,IF((Project_Register!$AT$11-Project_Register!$AQ$11)&lt;=0,0,IF(1-Project_Register!$AV$11&lt;=0.000001,IF(Assumptions!N$96=Assumptions!$C$10+1,(Project_Register!$AT$11-Project_Register!$AQ$11),0),(Project_Register!$AT$11-Project_Register!$AQ$11)*(N182-N183)/(1-Project_Register!$AV$11)))*Project_Register!$Z$11)</f>
        <v>23794.5839785714</v>
      </c>
      <c r="O186" s="58" t="n">
        <f aca="false">IF(O$5="A",Inputs_Actuals!O47,IF((Project_Register!$AT$11-Project_Register!$AQ$11)&lt;=0,0,IF(1-Project_Register!$AV$11&lt;=0.000001,IF(Assumptions!O$96=Assumptions!$C$10+1,(Project_Register!$AT$11-Project_Register!$AQ$11),0),(Project_Register!$AT$11-Project_Register!$AQ$11)*(O182-O183)/(1-Project_Register!$AV$11)))*Project_Register!$Z$11)</f>
        <v>19936.0027928571</v>
      </c>
      <c r="P186" s="58" t="n">
        <f aca="false">IF(P$5="A",Inputs_Actuals!P47,IF((Project_Register!$AT$11-Project_Register!$AQ$11)&lt;=0,0,IF(1-Project_Register!$AV$11&lt;=0.000001,IF(Assumptions!P$96=Assumptions!$C$10+1,(Project_Register!$AT$11-Project_Register!$AQ$11),0),(Project_Register!$AT$11-Project_Register!$AQ$11)*(P182-P183)/(1-Project_Register!$AV$11)))*Project_Register!$Z$11)</f>
        <v>8360.25923571428</v>
      </c>
      <c r="Q186" s="58" t="n">
        <f aca="false">IF(Q$5="A",Inputs_Actuals!Q47,IF((Project_Register!$AT$11-Project_Register!$AQ$11)&lt;=0,0,IF(1-Project_Register!$AV$11&lt;=0.000001,IF(Assumptions!Q$96=Assumptions!$C$10+1,(Project_Register!$AT$11-Project_Register!$AQ$11),0),(Project_Register!$AT$11-Project_Register!$AQ$11)*(Q182-Q183)/(1-Project_Register!$AV$11)))*Project_Register!$Z$11)</f>
        <v>0</v>
      </c>
      <c r="R186" s="58" t="n">
        <f aca="false">IF(R$5="A",Inputs_Actuals!R47,IF((Project_Register!$AT$11-Project_Register!$AQ$11)&lt;=0,0,IF(1-Project_Register!$AV$11&lt;=0.000001,IF(Assumptions!R$96=Assumptions!$C$10+1,(Project_Register!$AT$11-Project_Register!$AQ$11),0),(Project_Register!$AT$11-Project_Register!$AQ$11)*(R182-R183)/(1-Project_Register!$AV$11)))*Project_Register!$Z$11)</f>
        <v>0</v>
      </c>
      <c r="S186" s="58" t="n">
        <f aca="false">IF(S$5="A",Inputs_Actuals!S47,IF((Project_Register!$AT$11-Project_Register!$AQ$11)&lt;=0,0,IF(1-Project_Register!$AV$11&lt;=0.000001,IF(Assumptions!S$96=Assumptions!$C$10+1,(Project_Register!$AT$11-Project_Register!$AQ$11),0),(Project_Register!$AT$11-Project_Register!$AQ$11)*(S182-S183)/(1-Project_Register!$AV$11)))*Project_Register!$Z$11)</f>
        <v>0</v>
      </c>
      <c r="T186" s="58" t="n">
        <f aca="false">IF(T$5="A",Inputs_Actuals!T47,IF((Project_Register!$AT$11-Project_Register!$AQ$11)&lt;=0,0,IF(1-Project_Register!$AV$11&lt;=0.000001,IF(Assumptions!T$96=Assumptions!$C$10+1,(Project_Register!$AT$11-Project_Register!$AQ$11),0),(Project_Register!$AT$11-Project_Register!$AQ$11)*(T182-T183)/(1-Project_Register!$AV$11)))*Project_Register!$Z$11)</f>
        <v>0</v>
      </c>
      <c r="U186" s="58" t="n">
        <f aca="false">IF(U$5="A",Inputs_Actuals!U47,IF((Project_Register!$AT$11-Project_Register!$AQ$11)&lt;=0,0,IF(1-Project_Register!$AV$11&lt;=0.000001,IF(Assumptions!U$96=Assumptions!$C$10+1,(Project_Register!$AT$11-Project_Register!$AQ$11),0),(Project_Register!$AT$11-Project_Register!$AQ$11)*(U182-U183)/(1-Project_Register!$AV$11)))*Project_Register!$Z$11)</f>
        <v>0</v>
      </c>
      <c r="V186" s="58" t="n">
        <f aca="false">IF(V$5="A",Inputs_Actuals!V47,IF((Project_Register!$AT$11-Project_Register!$AQ$11)&lt;=0,0,IF(1-Project_Register!$AV$11&lt;=0.000001,IF(Assumptions!V$96=Assumptions!$C$10+1,(Project_Register!$AT$11-Project_Register!$AQ$11),0),(Project_Register!$AT$11-Project_Register!$AQ$11)*(V182-V183)/(1-Project_Register!$AV$11)))*Project_Register!$Z$11)</f>
        <v>0</v>
      </c>
      <c r="W186" s="58" t="n">
        <f aca="false">IF(W$5="A",Inputs_Actuals!W47,IF((Project_Register!$AT$11-Project_Register!$AQ$11)&lt;=0,0,IF(1-Project_Register!$AV$11&lt;=0.000001,IF(Assumptions!W$96=Assumptions!$C$10+1,(Project_Register!$AT$11-Project_Register!$AQ$11),0),(Project_Register!$AT$11-Project_Register!$AQ$11)*(W182-W183)/(1-Project_Register!$AV$11)))*Project_Register!$Z$11)</f>
        <v>0</v>
      </c>
      <c r="X186" s="58" t="n">
        <f aca="false">IF(X$5="A",Inputs_Actuals!X47,IF((Project_Register!$AT$11-Project_Register!$AQ$11)&lt;=0,0,IF(1-Project_Register!$AV$11&lt;=0.000001,IF(Assumptions!X$96=Assumptions!$C$10+1,(Project_Register!$AT$11-Project_Register!$AQ$11),0),(Project_Register!$AT$11-Project_Register!$AQ$11)*(X182-X183)/(1-Project_Register!$AV$11)))*Project_Register!$Z$11)</f>
        <v>0</v>
      </c>
      <c r="Y186" s="58" t="n">
        <f aca="false">IF(Y$5="A",Inputs_Actuals!Y47,IF((Project_Register!$AT$11-Project_Register!$AQ$11)&lt;=0,0,IF(1-Project_Register!$AV$11&lt;=0.000001,IF(Assumptions!Y$96=Assumptions!$C$10+1,(Project_Register!$AT$11-Project_Register!$AQ$11),0),(Project_Register!$AT$11-Project_Register!$AQ$11)*(Y182-Y183)/(1-Project_Register!$AV$11)))*Project_Register!$Z$11)</f>
        <v>0</v>
      </c>
      <c r="Z186" s="58" t="n">
        <f aca="false">IF(Z$5="A",Inputs_Actuals!Z47,IF((Project_Register!$AT$11-Project_Register!$AQ$11)&lt;=0,0,IF(1-Project_Register!$AV$11&lt;=0.000001,IF(Assumptions!Z$96=Assumptions!$C$10+1,(Project_Register!$AT$11-Project_Register!$AQ$11),0),(Project_Register!$AT$11-Project_Register!$AQ$11)*(Z182-Z183)/(1-Project_Register!$AV$11)))*Project_Register!$Z$11)</f>
        <v>0</v>
      </c>
      <c r="AA186" s="58" t="n">
        <f aca="false">IF(AA$5="A",Inputs_Actuals!AA47,IF((Project_Register!$AT$11-Project_Register!$AQ$11)&lt;=0,0,IF(1-Project_Register!$AV$11&lt;=0.000001,IF(Assumptions!AA$96=Assumptions!$C$10+1,(Project_Register!$AT$11-Project_Register!$AQ$11),0),(Project_Register!$AT$11-Project_Register!$AQ$11)*(AA182-AA183)/(1-Project_Register!$AV$11)))*Project_Register!$Z$11)</f>
        <v>0</v>
      </c>
      <c r="AB186" s="58" t="n">
        <f aca="false">IF(AB$5="A",Inputs_Actuals!AB47,IF((Project_Register!$AT$11-Project_Register!$AQ$11)&lt;=0,0,IF(1-Project_Register!$AV$11&lt;=0.000001,IF(Assumptions!AB$96=Assumptions!$C$10+1,(Project_Register!$AT$11-Project_Register!$AQ$11),0),(Project_Register!$AT$11-Project_Register!$AQ$11)*(AB182-AB183)/(1-Project_Register!$AV$11)))*Project_Register!$Z$11)</f>
        <v>0</v>
      </c>
    </row>
    <row r="187" customFormat="false" ht="15" hidden="false" customHeight="false" outlineLevel="0" collapsed="false">
      <c r="A187" s="27" t="s">
        <v>725</v>
      </c>
      <c r="B187" s="56" t="s">
        <v>722</v>
      </c>
      <c r="C187" s="57" t="n">
        <f aca="false">SUM(E187:P187)</f>
        <v>10062.2361</v>
      </c>
      <c r="D187" s="57" t="n">
        <f aca="false">SUM(Q187:AB187)</f>
        <v>0</v>
      </c>
      <c r="E187" s="58" t="n">
        <f aca="false">IF(E$5="A",Inputs_Actuals!E48,IF((Project_Register!$AT$11-Project_Register!$AQ$11)&lt;=0,0,IF(1-Project_Register!$AV$11&lt;=0.000001,IF(Assumptions!E$96=Assumptions!$C$10+1,(Project_Register!$AT$11-Project_Register!$AQ$11),0),(Project_Register!$AT$11-Project_Register!$AQ$11)*(E182-E183)/(1-Project_Register!$AV$11)))*Project_Register!$AA$11)</f>
        <v>0</v>
      </c>
      <c r="F187" s="58" t="n">
        <f aca="false">IF(F$5="A",Inputs_Actuals!F48,IF((Project_Register!$AT$11-Project_Register!$AQ$11)&lt;=0,0,IF(1-Project_Register!$AV$11&lt;=0.000001,IF(Assumptions!F$96=Assumptions!$C$10+1,(Project_Register!$AT$11-Project_Register!$AQ$11),0),(Project_Register!$AT$11-Project_Register!$AQ$11)*(F182-F183)/(1-Project_Register!$AV$11)))*Project_Register!$AA$11)</f>
        <v>0</v>
      </c>
      <c r="G187" s="58" t="n">
        <f aca="false">IF(G$5="A",Inputs_Actuals!G48,IF((Project_Register!$AT$11-Project_Register!$AQ$11)&lt;=0,0,IF(1-Project_Register!$AV$11&lt;=0.000001,IF(Assumptions!G$96=Assumptions!$C$10+1,(Project_Register!$AT$11-Project_Register!$AQ$11),0),(Project_Register!$AT$11-Project_Register!$AQ$11)*(G182-G183)/(1-Project_Register!$AV$11)))*Project_Register!$AA$11)</f>
        <v>0</v>
      </c>
      <c r="H187" s="58" t="n">
        <f aca="false">IF(H$5="A",Inputs_Actuals!H48,IF((Project_Register!$AT$11-Project_Register!$AQ$11)&lt;=0,0,IF(1-Project_Register!$AV$11&lt;=0.000001,IF(Assumptions!H$96=Assumptions!$C$10+1,(Project_Register!$AT$11-Project_Register!$AQ$11),0),(Project_Register!$AT$11-Project_Register!$AQ$11)*(H182-H183)/(1-Project_Register!$AV$11)))*Project_Register!$AA$11)</f>
        <v>0</v>
      </c>
      <c r="I187" s="58" t="n">
        <f aca="false">IF(I$5="A",Inputs_Actuals!I48,IF((Project_Register!$AT$11-Project_Register!$AQ$11)&lt;=0,0,IF(1-Project_Register!$AV$11&lt;=0.000001,IF(Assumptions!I$96=Assumptions!$C$10+1,(Project_Register!$AT$11-Project_Register!$AQ$11),0),(Project_Register!$AT$11-Project_Register!$AQ$11)*(I182-I183)/(1-Project_Register!$AV$11)))*Project_Register!$AA$11)</f>
        <v>0</v>
      </c>
      <c r="J187" s="58" t="n">
        <f aca="false">IF(J$5="A",Inputs_Actuals!J48,IF((Project_Register!$AT$11-Project_Register!$AQ$11)&lt;=0,0,IF(1-Project_Register!$AV$11&lt;=0.000001,IF(Assumptions!J$96=Assumptions!$C$10+1,(Project_Register!$AT$11-Project_Register!$AQ$11),0),(Project_Register!$AT$11-Project_Register!$AQ$11)*(J182-J183)/(1-Project_Register!$AV$11)))*Project_Register!$AA$11)</f>
        <v>0</v>
      </c>
      <c r="K187" s="58" t="n">
        <f aca="false">IF(K$5="A",Inputs_Actuals!K48,IF((Project_Register!$AT$11-Project_Register!$AQ$11)&lt;=0,0,IF(1-Project_Register!$AV$11&lt;=0.000001,IF(Assumptions!K$96=Assumptions!$C$10+1,(Project_Register!$AT$11-Project_Register!$AQ$11),0),(Project_Register!$AT$11-Project_Register!$AQ$11)*(K182-K183)/(1-Project_Register!$AV$11)))*Project_Register!$AA$11)</f>
        <v>0</v>
      </c>
      <c r="L187" s="58" t="n">
        <f aca="false">IF(L$5="A",Inputs_Actuals!L48,IF((Project_Register!$AT$11-Project_Register!$AQ$11)&lt;=0,0,IF(1-Project_Register!$AV$11&lt;=0.000001,IF(Assumptions!L$96=Assumptions!$C$10+1,(Project_Register!$AT$11-Project_Register!$AQ$11),0),(Project_Register!$AT$11-Project_Register!$AQ$11)*(L182-L183)/(1-Project_Register!$AV$11)))*Project_Register!$AA$11)</f>
        <v>1058.88</v>
      </c>
      <c r="M187" s="58" t="n">
        <f aca="false">IF(M$5="A",Inputs_Actuals!M48,IF((Project_Register!$AT$11-Project_Register!$AQ$11)&lt;=0,0,IF(1-Project_Register!$AV$11&lt;=0.000001,IF(Assumptions!M$96=Assumptions!$C$10+1,(Project_Register!$AT$11-Project_Register!$AQ$11),0),(Project_Register!$AT$11-Project_Register!$AQ$11)*(M182-M183)/(1-Project_Register!$AV$11)))*Project_Register!$AA$11)</f>
        <v>2492.00034910714</v>
      </c>
      <c r="N187" s="58" t="n">
        <f aca="false">IF(N$5="A",Inputs_Actuals!N48,IF((Project_Register!$AT$11-Project_Register!$AQ$11)&lt;=0,0,IF(1-Project_Register!$AV$11&lt;=0.000001,IF(Assumptions!N$96=Assumptions!$C$10+1,(Project_Register!$AT$11-Project_Register!$AQ$11),0),(Project_Register!$AT$11-Project_Register!$AQ$11)*(N182-N183)/(1-Project_Register!$AV$11)))*Project_Register!$AA$11)</f>
        <v>2974.32299732143</v>
      </c>
      <c r="O187" s="58" t="n">
        <f aca="false">IF(O$5="A",Inputs_Actuals!O48,IF((Project_Register!$AT$11-Project_Register!$AQ$11)&lt;=0,0,IF(1-Project_Register!$AV$11&lt;=0.000001,IF(Assumptions!O$96=Assumptions!$C$10+1,(Project_Register!$AT$11-Project_Register!$AQ$11),0),(Project_Register!$AT$11-Project_Register!$AQ$11)*(O182-O183)/(1-Project_Register!$AV$11)))*Project_Register!$AA$11)</f>
        <v>2492.00034910714</v>
      </c>
      <c r="P187" s="58" t="n">
        <f aca="false">IF(P$5="A",Inputs_Actuals!P48,IF((Project_Register!$AT$11-Project_Register!$AQ$11)&lt;=0,0,IF(1-Project_Register!$AV$11&lt;=0.000001,IF(Assumptions!P$96=Assumptions!$C$10+1,(Project_Register!$AT$11-Project_Register!$AQ$11),0),(Project_Register!$AT$11-Project_Register!$AQ$11)*(P182-P183)/(1-Project_Register!$AV$11)))*Project_Register!$AA$11)</f>
        <v>1045.03240446428</v>
      </c>
      <c r="Q187" s="58" t="n">
        <f aca="false">IF(Q$5="A",Inputs_Actuals!Q48,IF((Project_Register!$AT$11-Project_Register!$AQ$11)&lt;=0,0,IF(1-Project_Register!$AV$11&lt;=0.000001,IF(Assumptions!Q$96=Assumptions!$C$10+1,(Project_Register!$AT$11-Project_Register!$AQ$11),0),(Project_Register!$AT$11-Project_Register!$AQ$11)*(Q182-Q183)/(1-Project_Register!$AV$11)))*Project_Register!$AA$11)</f>
        <v>0</v>
      </c>
      <c r="R187" s="58" t="n">
        <f aca="false">IF(R$5="A",Inputs_Actuals!R48,IF((Project_Register!$AT$11-Project_Register!$AQ$11)&lt;=0,0,IF(1-Project_Register!$AV$11&lt;=0.000001,IF(Assumptions!R$96=Assumptions!$C$10+1,(Project_Register!$AT$11-Project_Register!$AQ$11),0),(Project_Register!$AT$11-Project_Register!$AQ$11)*(R182-R183)/(1-Project_Register!$AV$11)))*Project_Register!$AA$11)</f>
        <v>0</v>
      </c>
      <c r="S187" s="58" t="n">
        <f aca="false">IF(S$5="A",Inputs_Actuals!S48,IF((Project_Register!$AT$11-Project_Register!$AQ$11)&lt;=0,0,IF(1-Project_Register!$AV$11&lt;=0.000001,IF(Assumptions!S$96=Assumptions!$C$10+1,(Project_Register!$AT$11-Project_Register!$AQ$11),0),(Project_Register!$AT$11-Project_Register!$AQ$11)*(S182-S183)/(1-Project_Register!$AV$11)))*Project_Register!$AA$11)</f>
        <v>0</v>
      </c>
      <c r="T187" s="58" t="n">
        <f aca="false">IF(T$5="A",Inputs_Actuals!T48,IF((Project_Register!$AT$11-Project_Register!$AQ$11)&lt;=0,0,IF(1-Project_Register!$AV$11&lt;=0.000001,IF(Assumptions!T$96=Assumptions!$C$10+1,(Project_Register!$AT$11-Project_Register!$AQ$11),0),(Project_Register!$AT$11-Project_Register!$AQ$11)*(T182-T183)/(1-Project_Register!$AV$11)))*Project_Register!$AA$11)</f>
        <v>0</v>
      </c>
      <c r="U187" s="58" t="n">
        <f aca="false">IF(U$5="A",Inputs_Actuals!U48,IF((Project_Register!$AT$11-Project_Register!$AQ$11)&lt;=0,0,IF(1-Project_Register!$AV$11&lt;=0.000001,IF(Assumptions!U$96=Assumptions!$C$10+1,(Project_Register!$AT$11-Project_Register!$AQ$11),0),(Project_Register!$AT$11-Project_Register!$AQ$11)*(U182-U183)/(1-Project_Register!$AV$11)))*Project_Register!$AA$11)</f>
        <v>0</v>
      </c>
      <c r="V187" s="58" t="n">
        <f aca="false">IF(V$5="A",Inputs_Actuals!V48,IF((Project_Register!$AT$11-Project_Register!$AQ$11)&lt;=0,0,IF(1-Project_Register!$AV$11&lt;=0.000001,IF(Assumptions!V$96=Assumptions!$C$10+1,(Project_Register!$AT$11-Project_Register!$AQ$11),0),(Project_Register!$AT$11-Project_Register!$AQ$11)*(V182-V183)/(1-Project_Register!$AV$11)))*Project_Register!$AA$11)</f>
        <v>0</v>
      </c>
      <c r="W187" s="58" t="n">
        <f aca="false">IF(W$5="A",Inputs_Actuals!W48,IF((Project_Register!$AT$11-Project_Register!$AQ$11)&lt;=0,0,IF(1-Project_Register!$AV$11&lt;=0.000001,IF(Assumptions!W$96=Assumptions!$C$10+1,(Project_Register!$AT$11-Project_Register!$AQ$11),0),(Project_Register!$AT$11-Project_Register!$AQ$11)*(W182-W183)/(1-Project_Register!$AV$11)))*Project_Register!$AA$11)</f>
        <v>0</v>
      </c>
      <c r="X187" s="58" t="n">
        <f aca="false">IF(X$5="A",Inputs_Actuals!X48,IF((Project_Register!$AT$11-Project_Register!$AQ$11)&lt;=0,0,IF(1-Project_Register!$AV$11&lt;=0.000001,IF(Assumptions!X$96=Assumptions!$C$10+1,(Project_Register!$AT$11-Project_Register!$AQ$11),0),(Project_Register!$AT$11-Project_Register!$AQ$11)*(X182-X183)/(1-Project_Register!$AV$11)))*Project_Register!$AA$11)</f>
        <v>0</v>
      </c>
      <c r="Y187" s="58" t="n">
        <f aca="false">IF(Y$5="A",Inputs_Actuals!Y48,IF((Project_Register!$AT$11-Project_Register!$AQ$11)&lt;=0,0,IF(1-Project_Register!$AV$11&lt;=0.000001,IF(Assumptions!Y$96=Assumptions!$C$10+1,(Project_Register!$AT$11-Project_Register!$AQ$11),0),(Project_Register!$AT$11-Project_Register!$AQ$11)*(Y182-Y183)/(1-Project_Register!$AV$11)))*Project_Register!$AA$11)</f>
        <v>0</v>
      </c>
      <c r="Z187" s="58" t="n">
        <f aca="false">IF(Z$5="A",Inputs_Actuals!Z48,IF((Project_Register!$AT$11-Project_Register!$AQ$11)&lt;=0,0,IF(1-Project_Register!$AV$11&lt;=0.000001,IF(Assumptions!Z$96=Assumptions!$C$10+1,(Project_Register!$AT$11-Project_Register!$AQ$11),0),(Project_Register!$AT$11-Project_Register!$AQ$11)*(Z182-Z183)/(1-Project_Register!$AV$11)))*Project_Register!$AA$11)</f>
        <v>0</v>
      </c>
      <c r="AA187" s="58" t="n">
        <f aca="false">IF(AA$5="A",Inputs_Actuals!AA48,IF((Project_Register!$AT$11-Project_Register!$AQ$11)&lt;=0,0,IF(1-Project_Register!$AV$11&lt;=0.000001,IF(Assumptions!AA$96=Assumptions!$C$10+1,(Project_Register!$AT$11-Project_Register!$AQ$11),0),(Project_Register!$AT$11-Project_Register!$AQ$11)*(AA182-AA183)/(1-Project_Register!$AV$11)))*Project_Register!$AA$11)</f>
        <v>0</v>
      </c>
      <c r="AB187" s="58" t="n">
        <f aca="false">IF(AB$5="A",Inputs_Actuals!AB48,IF((Project_Register!$AT$11-Project_Register!$AQ$11)&lt;=0,0,IF(1-Project_Register!$AV$11&lt;=0.000001,IF(Assumptions!AB$96=Assumptions!$C$10+1,(Project_Register!$AT$11-Project_Register!$AQ$11),0),(Project_Register!$AT$11-Project_Register!$AQ$11)*(AB182-AB183)/(1-Project_Register!$AV$11)))*Project_Register!$AA$11)</f>
        <v>0</v>
      </c>
    </row>
    <row r="188" customFormat="false" ht="15" hidden="false" customHeight="false" outlineLevel="0" collapsed="false">
      <c r="A188" s="27" t="s">
        <v>726</v>
      </c>
      <c r="B188" s="56" t="s">
        <v>722</v>
      </c>
      <c r="C188" s="57" t="n">
        <f aca="false">SUM(E188:P188)</f>
        <v>23403.6909</v>
      </c>
      <c r="D188" s="57" t="n">
        <f aca="false">SUM(Q188:AB188)</f>
        <v>0</v>
      </c>
      <c r="E188" s="58" t="n">
        <f aca="false">IF(E$5="A",Inputs_Actuals!E49,IF((Project_Register!$AT$11-Project_Register!$AQ$11)&lt;=0,0,IF(1-Project_Register!$AV$11&lt;=0.000001,IF(Assumptions!E$96=Assumptions!$C$10+1,(Project_Register!$AT$11-Project_Register!$AQ$11),0),(Project_Register!$AT$11-Project_Register!$AQ$11)*(E182-E183)/(1-Project_Register!$AV$11)))*Project_Register!$AB$11)</f>
        <v>0</v>
      </c>
      <c r="F188" s="58" t="n">
        <f aca="false">IF(F$5="A",Inputs_Actuals!F49,IF((Project_Register!$AT$11-Project_Register!$AQ$11)&lt;=0,0,IF(1-Project_Register!$AV$11&lt;=0.000001,IF(Assumptions!F$96=Assumptions!$C$10+1,(Project_Register!$AT$11-Project_Register!$AQ$11),0),(Project_Register!$AT$11-Project_Register!$AQ$11)*(F182-F183)/(1-Project_Register!$AV$11)))*Project_Register!$AB$11)</f>
        <v>0</v>
      </c>
      <c r="G188" s="58" t="n">
        <f aca="false">IF(G$5="A",Inputs_Actuals!G49,IF((Project_Register!$AT$11-Project_Register!$AQ$11)&lt;=0,0,IF(1-Project_Register!$AV$11&lt;=0.000001,IF(Assumptions!G$96=Assumptions!$C$10+1,(Project_Register!$AT$11-Project_Register!$AQ$11),0),(Project_Register!$AT$11-Project_Register!$AQ$11)*(G182-G183)/(1-Project_Register!$AV$11)))*Project_Register!$AB$11)</f>
        <v>0</v>
      </c>
      <c r="H188" s="58" t="n">
        <f aca="false">IF(H$5="A",Inputs_Actuals!H49,IF((Project_Register!$AT$11-Project_Register!$AQ$11)&lt;=0,0,IF(1-Project_Register!$AV$11&lt;=0.000001,IF(Assumptions!H$96=Assumptions!$C$10+1,(Project_Register!$AT$11-Project_Register!$AQ$11),0),(Project_Register!$AT$11-Project_Register!$AQ$11)*(H182-H183)/(1-Project_Register!$AV$11)))*Project_Register!$AB$11)</f>
        <v>0</v>
      </c>
      <c r="I188" s="58" t="n">
        <f aca="false">IF(I$5="A",Inputs_Actuals!I49,IF((Project_Register!$AT$11-Project_Register!$AQ$11)&lt;=0,0,IF(1-Project_Register!$AV$11&lt;=0.000001,IF(Assumptions!I$96=Assumptions!$C$10+1,(Project_Register!$AT$11-Project_Register!$AQ$11),0),(Project_Register!$AT$11-Project_Register!$AQ$11)*(I182-I183)/(1-Project_Register!$AV$11)))*Project_Register!$AB$11)</f>
        <v>0</v>
      </c>
      <c r="J188" s="58" t="n">
        <f aca="false">IF(J$5="A",Inputs_Actuals!J49,IF((Project_Register!$AT$11-Project_Register!$AQ$11)&lt;=0,0,IF(1-Project_Register!$AV$11&lt;=0.000001,IF(Assumptions!J$96=Assumptions!$C$10+1,(Project_Register!$AT$11-Project_Register!$AQ$11),0),(Project_Register!$AT$11-Project_Register!$AQ$11)*(J182-J183)/(1-Project_Register!$AV$11)))*Project_Register!$AB$11)</f>
        <v>0</v>
      </c>
      <c r="K188" s="58" t="n">
        <f aca="false">IF(K$5="A",Inputs_Actuals!K49,IF((Project_Register!$AT$11-Project_Register!$AQ$11)&lt;=0,0,IF(1-Project_Register!$AV$11&lt;=0.000001,IF(Assumptions!K$96=Assumptions!$C$10+1,(Project_Register!$AT$11-Project_Register!$AQ$11),0),(Project_Register!$AT$11-Project_Register!$AQ$11)*(K182-K183)/(1-Project_Register!$AV$11)))*Project_Register!$AB$11)</f>
        <v>0</v>
      </c>
      <c r="L188" s="58" t="n">
        <f aca="false">IF(L$5="A",Inputs_Actuals!L49,IF((Project_Register!$AT$11-Project_Register!$AQ$11)&lt;=0,0,IF(1-Project_Register!$AV$11&lt;=0.000001,IF(Assumptions!L$96=Assumptions!$C$10+1,(Project_Register!$AT$11-Project_Register!$AQ$11),0),(Project_Register!$AT$11-Project_Register!$AQ$11)*(L182-L183)/(1-Project_Register!$AV$11)))*Project_Register!$AB$11)</f>
        <v>2395.86</v>
      </c>
      <c r="M188" s="58" t="n">
        <f aca="false">IF(M$5="A",Inputs_Actuals!M49,IF((Project_Register!$AT$11-Project_Register!$AQ$11)&lt;=0,0,IF(1-Project_Register!$AV$11&lt;=0.000001,IF(Assumptions!M$96=Assumptions!$C$10+1,(Project_Register!$AT$11-Project_Register!$AQ$11),0),(Project_Register!$AT$11-Project_Register!$AQ$11)*(M182-M183)/(1-Project_Register!$AV$11)))*Project_Register!$AB$11)</f>
        <v>5814.66748125</v>
      </c>
      <c r="N188" s="58" t="n">
        <f aca="false">IF(N$5="A",Inputs_Actuals!N49,IF((Project_Register!$AT$11-Project_Register!$AQ$11)&lt;=0,0,IF(1-Project_Register!$AV$11&lt;=0.000001,IF(Assumptions!N$96=Assumptions!$C$10+1,(Project_Register!$AT$11-Project_Register!$AQ$11),0),(Project_Register!$AT$11-Project_Register!$AQ$11)*(N182-N183)/(1-Project_Register!$AV$11)))*Project_Register!$AB$11)</f>
        <v>6940.08699375</v>
      </c>
      <c r="O188" s="58" t="n">
        <f aca="false">IF(O$5="A",Inputs_Actuals!O49,IF((Project_Register!$AT$11-Project_Register!$AQ$11)&lt;=0,0,IF(1-Project_Register!$AV$11&lt;=0.000001,IF(Assumptions!O$96=Assumptions!$C$10+1,(Project_Register!$AT$11-Project_Register!$AQ$11),0),(Project_Register!$AT$11-Project_Register!$AQ$11)*(O182-O183)/(1-Project_Register!$AV$11)))*Project_Register!$AB$11)</f>
        <v>5814.66748125</v>
      </c>
      <c r="P188" s="58" t="n">
        <f aca="false">IF(P$5="A",Inputs_Actuals!P49,IF((Project_Register!$AT$11-Project_Register!$AQ$11)&lt;=0,0,IF(1-Project_Register!$AV$11&lt;=0.000001,IF(Assumptions!P$96=Assumptions!$C$10+1,(Project_Register!$AT$11-Project_Register!$AQ$11),0),(Project_Register!$AT$11-Project_Register!$AQ$11)*(P182-P183)/(1-Project_Register!$AV$11)))*Project_Register!$AB$11)</f>
        <v>2438.40894375</v>
      </c>
      <c r="Q188" s="58" t="n">
        <f aca="false">IF(Q$5="A",Inputs_Actuals!Q49,IF((Project_Register!$AT$11-Project_Register!$AQ$11)&lt;=0,0,IF(1-Project_Register!$AV$11&lt;=0.000001,IF(Assumptions!Q$96=Assumptions!$C$10+1,(Project_Register!$AT$11-Project_Register!$AQ$11),0),(Project_Register!$AT$11-Project_Register!$AQ$11)*(Q182-Q183)/(1-Project_Register!$AV$11)))*Project_Register!$AB$11)</f>
        <v>0</v>
      </c>
      <c r="R188" s="58" t="n">
        <f aca="false">IF(R$5="A",Inputs_Actuals!R49,IF((Project_Register!$AT$11-Project_Register!$AQ$11)&lt;=0,0,IF(1-Project_Register!$AV$11&lt;=0.000001,IF(Assumptions!R$96=Assumptions!$C$10+1,(Project_Register!$AT$11-Project_Register!$AQ$11),0),(Project_Register!$AT$11-Project_Register!$AQ$11)*(R182-R183)/(1-Project_Register!$AV$11)))*Project_Register!$AB$11)</f>
        <v>0</v>
      </c>
      <c r="S188" s="58" t="n">
        <f aca="false">IF(S$5="A",Inputs_Actuals!S49,IF((Project_Register!$AT$11-Project_Register!$AQ$11)&lt;=0,0,IF(1-Project_Register!$AV$11&lt;=0.000001,IF(Assumptions!S$96=Assumptions!$C$10+1,(Project_Register!$AT$11-Project_Register!$AQ$11),0),(Project_Register!$AT$11-Project_Register!$AQ$11)*(S182-S183)/(1-Project_Register!$AV$11)))*Project_Register!$AB$11)</f>
        <v>0</v>
      </c>
      <c r="T188" s="58" t="n">
        <f aca="false">IF(T$5="A",Inputs_Actuals!T49,IF((Project_Register!$AT$11-Project_Register!$AQ$11)&lt;=0,0,IF(1-Project_Register!$AV$11&lt;=0.000001,IF(Assumptions!T$96=Assumptions!$C$10+1,(Project_Register!$AT$11-Project_Register!$AQ$11),0),(Project_Register!$AT$11-Project_Register!$AQ$11)*(T182-T183)/(1-Project_Register!$AV$11)))*Project_Register!$AB$11)</f>
        <v>0</v>
      </c>
      <c r="U188" s="58" t="n">
        <f aca="false">IF(U$5="A",Inputs_Actuals!U49,IF((Project_Register!$AT$11-Project_Register!$AQ$11)&lt;=0,0,IF(1-Project_Register!$AV$11&lt;=0.000001,IF(Assumptions!U$96=Assumptions!$C$10+1,(Project_Register!$AT$11-Project_Register!$AQ$11),0),(Project_Register!$AT$11-Project_Register!$AQ$11)*(U182-U183)/(1-Project_Register!$AV$11)))*Project_Register!$AB$11)</f>
        <v>0</v>
      </c>
      <c r="V188" s="58" t="n">
        <f aca="false">IF(V$5="A",Inputs_Actuals!V49,IF((Project_Register!$AT$11-Project_Register!$AQ$11)&lt;=0,0,IF(1-Project_Register!$AV$11&lt;=0.000001,IF(Assumptions!V$96=Assumptions!$C$10+1,(Project_Register!$AT$11-Project_Register!$AQ$11),0),(Project_Register!$AT$11-Project_Register!$AQ$11)*(V182-V183)/(1-Project_Register!$AV$11)))*Project_Register!$AB$11)</f>
        <v>0</v>
      </c>
      <c r="W188" s="58" t="n">
        <f aca="false">IF(W$5="A",Inputs_Actuals!W49,IF((Project_Register!$AT$11-Project_Register!$AQ$11)&lt;=0,0,IF(1-Project_Register!$AV$11&lt;=0.000001,IF(Assumptions!W$96=Assumptions!$C$10+1,(Project_Register!$AT$11-Project_Register!$AQ$11),0),(Project_Register!$AT$11-Project_Register!$AQ$11)*(W182-W183)/(1-Project_Register!$AV$11)))*Project_Register!$AB$11)</f>
        <v>0</v>
      </c>
      <c r="X188" s="58" t="n">
        <f aca="false">IF(X$5="A",Inputs_Actuals!X49,IF((Project_Register!$AT$11-Project_Register!$AQ$11)&lt;=0,0,IF(1-Project_Register!$AV$11&lt;=0.000001,IF(Assumptions!X$96=Assumptions!$C$10+1,(Project_Register!$AT$11-Project_Register!$AQ$11),0),(Project_Register!$AT$11-Project_Register!$AQ$11)*(X182-X183)/(1-Project_Register!$AV$11)))*Project_Register!$AB$11)</f>
        <v>0</v>
      </c>
      <c r="Y188" s="58" t="n">
        <f aca="false">IF(Y$5="A",Inputs_Actuals!Y49,IF((Project_Register!$AT$11-Project_Register!$AQ$11)&lt;=0,0,IF(1-Project_Register!$AV$11&lt;=0.000001,IF(Assumptions!Y$96=Assumptions!$C$10+1,(Project_Register!$AT$11-Project_Register!$AQ$11),0),(Project_Register!$AT$11-Project_Register!$AQ$11)*(Y182-Y183)/(1-Project_Register!$AV$11)))*Project_Register!$AB$11)</f>
        <v>0</v>
      </c>
      <c r="Z188" s="58" t="n">
        <f aca="false">IF(Z$5="A",Inputs_Actuals!Z49,IF((Project_Register!$AT$11-Project_Register!$AQ$11)&lt;=0,0,IF(1-Project_Register!$AV$11&lt;=0.000001,IF(Assumptions!Z$96=Assumptions!$C$10+1,(Project_Register!$AT$11-Project_Register!$AQ$11),0),(Project_Register!$AT$11-Project_Register!$AQ$11)*(Z182-Z183)/(1-Project_Register!$AV$11)))*Project_Register!$AB$11)</f>
        <v>0</v>
      </c>
      <c r="AA188" s="58" t="n">
        <f aca="false">IF(AA$5="A",Inputs_Actuals!AA49,IF((Project_Register!$AT$11-Project_Register!$AQ$11)&lt;=0,0,IF(1-Project_Register!$AV$11&lt;=0.000001,IF(Assumptions!AA$96=Assumptions!$C$10+1,(Project_Register!$AT$11-Project_Register!$AQ$11),0),(Project_Register!$AT$11-Project_Register!$AQ$11)*(AA182-AA183)/(1-Project_Register!$AV$11)))*Project_Register!$AB$11)</f>
        <v>0</v>
      </c>
      <c r="AB188" s="58" t="n">
        <f aca="false">IF(AB$5="A",Inputs_Actuals!AB49,IF((Project_Register!$AT$11-Project_Register!$AQ$11)&lt;=0,0,IF(1-Project_Register!$AV$11&lt;=0.000001,IF(Assumptions!AB$96=Assumptions!$C$10+1,(Project_Register!$AT$11-Project_Register!$AQ$11),0),(Project_Register!$AT$11-Project_Register!$AQ$11)*(AB182-AB183)/(1-Project_Register!$AV$11)))*Project_Register!$AB$11)</f>
        <v>0</v>
      </c>
    </row>
    <row r="189" customFormat="false" ht="15" hidden="false" customHeight="false" outlineLevel="0" collapsed="false">
      <c r="A189" s="67" t="s">
        <v>727</v>
      </c>
      <c r="B189" s="68" t="s">
        <v>728</v>
      </c>
      <c r="C189" s="69" t="n">
        <f aca="false">SUM(E189:P189)</f>
        <v>333000</v>
      </c>
      <c r="D189" s="69" t="n">
        <f aca="false">SUM(Q189:AB189)</f>
        <v>0</v>
      </c>
      <c r="E189" s="69" t="n">
        <f aca="false">SUM(E184:E188)</f>
        <v>0</v>
      </c>
      <c r="F189" s="69" t="n">
        <f aca="false">SUM(F184:F188)</f>
        <v>0</v>
      </c>
      <c r="G189" s="69" t="n">
        <f aca="false">SUM(G184:G188)</f>
        <v>0</v>
      </c>
      <c r="H189" s="69" t="n">
        <f aca="false">SUM(H184:H188)</f>
        <v>0</v>
      </c>
      <c r="I189" s="69" t="n">
        <f aca="false">SUM(I184:I188)</f>
        <v>0</v>
      </c>
      <c r="J189" s="69" t="n">
        <f aca="false">SUM(J184:J188)</f>
        <v>0</v>
      </c>
      <c r="K189" s="69" t="n">
        <f aca="false">SUM(K184:K188)</f>
        <v>0</v>
      </c>
      <c r="L189" s="69" t="n">
        <f aca="false">SUM(L184:L188)</f>
        <v>32888.13</v>
      </c>
      <c r="M189" s="69" t="n">
        <f aca="false">SUM(M184:M188)</f>
        <v>83066.6783035715</v>
      </c>
      <c r="N189" s="69" t="n">
        <f aca="false">SUM(N184:N188)</f>
        <v>99144.0999107143</v>
      </c>
      <c r="O189" s="69" t="n">
        <f aca="false">SUM(O184:O188)</f>
        <v>83066.6783035714</v>
      </c>
      <c r="P189" s="69" t="n">
        <f aca="false">SUM(P184:P188)</f>
        <v>34834.4134821428</v>
      </c>
      <c r="Q189" s="69" t="n">
        <f aca="false">SUM(Q184:Q188)</f>
        <v>0</v>
      </c>
      <c r="R189" s="69" t="n">
        <f aca="false">SUM(R184:R188)</f>
        <v>0</v>
      </c>
      <c r="S189" s="69" t="n">
        <f aca="false">SUM(S184:S188)</f>
        <v>0</v>
      </c>
      <c r="T189" s="69" t="n">
        <f aca="false">SUM(T184:T188)</f>
        <v>0</v>
      </c>
      <c r="U189" s="69" t="n">
        <f aca="false">SUM(U184:U188)</f>
        <v>0</v>
      </c>
      <c r="V189" s="69" t="n">
        <f aca="false">SUM(V184:V188)</f>
        <v>0</v>
      </c>
      <c r="W189" s="69" t="n">
        <f aca="false">SUM(W184:W188)</f>
        <v>0</v>
      </c>
      <c r="X189" s="69" t="n">
        <f aca="false">SUM(X184:X188)</f>
        <v>0</v>
      </c>
      <c r="Y189" s="69" t="n">
        <f aca="false">SUM(Y184:Y188)</f>
        <v>0</v>
      </c>
      <c r="Z189" s="69" t="n">
        <f aca="false">SUM(Z184:Z188)</f>
        <v>0</v>
      </c>
      <c r="AA189" s="69" t="n">
        <f aca="false">SUM(AA184:AA188)</f>
        <v>0</v>
      </c>
      <c r="AB189" s="69" t="n">
        <f aca="false">SUM(AB184:AB188)</f>
        <v>0</v>
      </c>
    </row>
    <row r="190" customFormat="false" ht="15" hidden="false" customHeight="false" outlineLevel="0" collapsed="false">
      <c r="A190" s="27" t="s">
        <v>729</v>
      </c>
      <c r="B190" s="56" t="s">
        <v>730</v>
      </c>
      <c r="C190" s="57" t="n">
        <f aca="false">P190</f>
        <v>333000</v>
      </c>
      <c r="D190" s="57" t="n">
        <f aca="false">AB190</f>
        <v>333000</v>
      </c>
      <c r="E190" s="58" t="n">
        <f aca="false">Project_Register!$AC$11+E189</f>
        <v>0</v>
      </c>
      <c r="F190" s="70" t="n">
        <f aca="false">E190+F189</f>
        <v>0</v>
      </c>
      <c r="G190" s="70" t="n">
        <f aca="false">F190+G189</f>
        <v>0</v>
      </c>
      <c r="H190" s="70" t="n">
        <f aca="false">G190+H189</f>
        <v>0</v>
      </c>
      <c r="I190" s="70" t="n">
        <f aca="false">H190+I189</f>
        <v>0</v>
      </c>
      <c r="J190" s="70" t="n">
        <f aca="false">I190+J189</f>
        <v>0</v>
      </c>
      <c r="K190" s="70" t="n">
        <f aca="false">J190+K189</f>
        <v>0</v>
      </c>
      <c r="L190" s="70" t="n">
        <f aca="false">K190+L189</f>
        <v>32888.13</v>
      </c>
      <c r="M190" s="70" t="n">
        <f aca="false">L190+M189</f>
        <v>115954.808303571</v>
      </c>
      <c r="N190" s="70" t="n">
        <f aca="false">M190+N189</f>
        <v>215098.908214286</v>
      </c>
      <c r="O190" s="70" t="n">
        <f aca="false">N190+O189</f>
        <v>298165.586517857</v>
      </c>
      <c r="P190" s="70" t="n">
        <f aca="false">O190+P189</f>
        <v>333000</v>
      </c>
      <c r="Q190" s="70" t="n">
        <f aca="false">P190+Q189</f>
        <v>333000</v>
      </c>
      <c r="R190" s="70" t="n">
        <f aca="false">Q190+R189</f>
        <v>333000</v>
      </c>
      <c r="S190" s="70" t="n">
        <f aca="false">R190+S189</f>
        <v>333000</v>
      </c>
      <c r="T190" s="70" t="n">
        <f aca="false">S190+T189</f>
        <v>333000</v>
      </c>
      <c r="U190" s="70" t="n">
        <f aca="false">T190+U189</f>
        <v>333000</v>
      </c>
      <c r="V190" s="70" t="n">
        <f aca="false">U190+V189</f>
        <v>333000</v>
      </c>
      <c r="W190" s="70" t="n">
        <f aca="false">V190+W189</f>
        <v>333000</v>
      </c>
      <c r="X190" s="70" t="n">
        <f aca="false">W190+X189</f>
        <v>333000</v>
      </c>
      <c r="Y190" s="70" t="n">
        <f aca="false">X190+Y189</f>
        <v>333000</v>
      </c>
      <c r="Z190" s="70" t="n">
        <f aca="false">Y190+Z189</f>
        <v>333000</v>
      </c>
      <c r="AA190" s="70" t="n">
        <f aca="false">Z190+AA189</f>
        <v>333000</v>
      </c>
      <c r="AB190" s="70" t="n">
        <f aca="false">AA190+AB189</f>
        <v>333000</v>
      </c>
    </row>
    <row r="191" customFormat="false" ht="15" hidden="false" customHeight="false" outlineLevel="0" collapsed="false">
      <c r="A191" s="27" t="s">
        <v>731</v>
      </c>
      <c r="B191" s="56" t="s">
        <v>732</v>
      </c>
      <c r="C191" s="57" t="n">
        <f aca="false">P191</f>
        <v>333000</v>
      </c>
      <c r="D191" s="57" t="n">
        <f aca="false">AB191</f>
        <v>333000</v>
      </c>
      <c r="E191" s="58" t="n">
        <f aca="false">IF(E$5="A",IF(E190+N(Inputs_Actuals!E50)&lt;=0,Project_Register!$AP$11,E190+N(Inputs_Actuals!E50)),Project_Register!$AT$11)</f>
        <v>329000</v>
      </c>
      <c r="F191" s="58" t="n">
        <f aca="false">IF(F$5="A",IF(F190+N(Inputs_Actuals!F50)&lt;=0,Project_Register!$AP$11,F190+N(Inputs_Actuals!F50)),Project_Register!$AT$11)</f>
        <v>329000</v>
      </c>
      <c r="G191" s="58" t="n">
        <f aca="false">IF(G$5="A",IF(G190+N(Inputs_Actuals!G50)&lt;=0,Project_Register!$AP$11,G190+N(Inputs_Actuals!G50)),Project_Register!$AT$11)</f>
        <v>329000</v>
      </c>
      <c r="H191" s="58" t="n">
        <f aca="false">IF(H$5="A",IF(H190+N(Inputs_Actuals!H50)&lt;=0,Project_Register!$AP$11,H190+N(Inputs_Actuals!H50)),Project_Register!$AT$11)</f>
        <v>329000</v>
      </c>
      <c r="I191" s="58" t="n">
        <f aca="false">IF(I$5="A",IF(I190+N(Inputs_Actuals!I50)&lt;=0,Project_Register!$AP$11,I190+N(Inputs_Actuals!I50)),Project_Register!$AT$11)</f>
        <v>329000</v>
      </c>
      <c r="J191" s="58" t="n">
        <f aca="false">IF(J$5="A",IF(J190+N(Inputs_Actuals!J50)&lt;=0,Project_Register!$AP$11,J190+N(Inputs_Actuals!J50)),Project_Register!$AT$11)</f>
        <v>329000</v>
      </c>
      <c r="K191" s="58" t="n">
        <f aca="false">IF(K$5="A",IF(K190+N(Inputs_Actuals!K50)&lt;=0,Project_Register!$AP$11,K190+N(Inputs_Actuals!K50)),Project_Register!$AT$11)</f>
        <v>329000</v>
      </c>
      <c r="L191" s="58" t="n">
        <f aca="false">IF(L$5="A",IF(L190+N(Inputs_Actuals!L50)&lt;=0,Project_Register!$AP$11,L190+N(Inputs_Actuals!L50)),Project_Register!$AT$11)</f>
        <v>333000</v>
      </c>
      <c r="M191" s="58" t="n">
        <f aca="false">IF(M$5="A",IF(M190+N(Inputs_Actuals!M50)&lt;=0,Project_Register!$AP$11,M190+N(Inputs_Actuals!M50)),Project_Register!$AT$11)</f>
        <v>333000</v>
      </c>
      <c r="N191" s="58" t="n">
        <f aca="false">IF(N$5="A",IF(N190+N(Inputs_Actuals!N50)&lt;=0,Project_Register!$AP$11,N190+N(Inputs_Actuals!N50)),Project_Register!$AT$11)</f>
        <v>333000</v>
      </c>
      <c r="O191" s="58" t="n">
        <f aca="false">IF(O$5="A",IF(O190+N(Inputs_Actuals!O50)&lt;=0,Project_Register!$AP$11,O190+N(Inputs_Actuals!O50)),Project_Register!$AT$11)</f>
        <v>333000</v>
      </c>
      <c r="P191" s="58" t="n">
        <f aca="false">IF(P$5="A",IF(P190+N(Inputs_Actuals!P50)&lt;=0,Project_Register!$AP$11,P190+N(Inputs_Actuals!P50)),Project_Register!$AT$11)</f>
        <v>333000</v>
      </c>
      <c r="Q191" s="58" t="n">
        <f aca="false">IF(Q$5="A",IF(Q190+N(Inputs_Actuals!Q50)&lt;=0,Project_Register!$AP$11,Q190+N(Inputs_Actuals!Q50)),Project_Register!$AT$11)</f>
        <v>333000</v>
      </c>
      <c r="R191" s="58" t="n">
        <f aca="false">IF(R$5="A",IF(R190+N(Inputs_Actuals!R50)&lt;=0,Project_Register!$AP$11,R190+N(Inputs_Actuals!R50)),Project_Register!$AT$11)</f>
        <v>333000</v>
      </c>
      <c r="S191" s="58" t="n">
        <f aca="false">IF(S$5="A",IF(S190+N(Inputs_Actuals!S50)&lt;=0,Project_Register!$AP$11,S190+N(Inputs_Actuals!S50)),Project_Register!$AT$11)</f>
        <v>333000</v>
      </c>
      <c r="T191" s="58" t="n">
        <f aca="false">IF(T$5="A",IF(T190+N(Inputs_Actuals!T50)&lt;=0,Project_Register!$AP$11,T190+N(Inputs_Actuals!T50)),Project_Register!$AT$11)</f>
        <v>333000</v>
      </c>
      <c r="U191" s="58" t="n">
        <f aca="false">IF(U$5="A",IF(U190+N(Inputs_Actuals!U50)&lt;=0,Project_Register!$AP$11,U190+N(Inputs_Actuals!U50)),Project_Register!$AT$11)</f>
        <v>333000</v>
      </c>
      <c r="V191" s="58" t="n">
        <f aca="false">IF(V$5="A",IF(V190+N(Inputs_Actuals!V50)&lt;=0,Project_Register!$AP$11,V190+N(Inputs_Actuals!V50)),Project_Register!$AT$11)</f>
        <v>333000</v>
      </c>
      <c r="W191" s="58" t="n">
        <f aca="false">IF(W$5="A",IF(W190+N(Inputs_Actuals!W50)&lt;=0,Project_Register!$AP$11,W190+N(Inputs_Actuals!W50)),Project_Register!$AT$11)</f>
        <v>333000</v>
      </c>
      <c r="X191" s="58" t="n">
        <f aca="false">IF(X$5="A",IF(X190+N(Inputs_Actuals!X50)&lt;=0,Project_Register!$AP$11,X190+N(Inputs_Actuals!X50)),Project_Register!$AT$11)</f>
        <v>333000</v>
      </c>
      <c r="Y191" s="58" t="n">
        <f aca="false">IF(Y$5="A",IF(Y190+N(Inputs_Actuals!Y50)&lt;=0,Project_Register!$AP$11,Y190+N(Inputs_Actuals!Y50)),Project_Register!$AT$11)</f>
        <v>333000</v>
      </c>
      <c r="Z191" s="58" t="n">
        <f aca="false">IF(Z$5="A",IF(Z190+N(Inputs_Actuals!Z50)&lt;=0,Project_Register!$AP$11,Z190+N(Inputs_Actuals!Z50)),Project_Register!$AT$11)</f>
        <v>333000</v>
      </c>
      <c r="AA191" s="58" t="n">
        <f aca="false">IF(AA$5="A",IF(AA190+N(Inputs_Actuals!AA50)&lt;=0,Project_Register!$AP$11,AA190+N(Inputs_Actuals!AA50)),Project_Register!$AT$11)</f>
        <v>333000</v>
      </c>
      <c r="AB191" s="58" t="n">
        <f aca="false">IF(AB$5="A",IF(AB190+N(Inputs_Actuals!AB50)&lt;=0,Project_Register!$AP$11,AB190+N(Inputs_Actuals!AB50)),Project_Register!$AT$11)</f>
        <v>333000</v>
      </c>
    </row>
    <row r="192" customFormat="false" ht="15" hidden="false" customHeight="false" outlineLevel="0" collapsed="false">
      <c r="A192" s="27" t="s">
        <v>733</v>
      </c>
      <c r="B192" s="56" t="s">
        <v>734</v>
      </c>
      <c r="C192" s="59" t="n">
        <f aca="false">P192</f>
        <v>1</v>
      </c>
      <c r="D192" s="59" t="n">
        <f aca="false">AB192</f>
        <v>1</v>
      </c>
      <c r="E192" s="60" t="n">
        <f aca="false">IF(E191&lt;=0,0,MIN(1,E190/E191))</f>
        <v>0</v>
      </c>
      <c r="F192" s="60" t="n">
        <f aca="false">IF(F191&lt;=0,0,MIN(1,F190/F191))</f>
        <v>0</v>
      </c>
      <c r="G192" s="60" t="n">
        <f aca="false">IF(G191&lt;=0,0,MIN(1,G190/G191))</f>
        <v>0</v>
      </c>
      <c r="H192" s="60" t="n">
        <f aca="false">IF(H191&lt;=0,0,MIN(1,H190/H191))</f>
        <v>0</v>
      </c>
      <c r="I192" s="60" t="n">
        <f aca="false">IF(I191&lt;=0,0,MIN(1,I190/I191))</f>
        <v>0</v>
      </c>
      <c r="J192" s="60" t="n">
        <f aca="false">IF(J191&lt;=0,0,MIN(1,J190/J191))</f>
        <v>0</v>
      </c>
      <c r="K192" s="60" t="n">
        <f aca="false">IF(K191&lt;=0,0,MIN(1,K190/K191))</f>
        <v>0</v>
      </c>
      <c r="L192" s="60" t="n">
        <f aca="false">IF(L191&lt;=0,0,MIN(1,L190/L191))</f>
        <v>0.0987631531531532</v>
      </c>
      <c r="M192" s="60" t="n">
        <f aca="false">IF(M191&lt;=0,0,MIN(1,M190/M191))</f>
        <v>0.348212637548263</v>
      </c>
      <c r="N192" s="60" t="n">
        <f aca="false">IF(N191&lt;=0,0,MIN(1,N190/N191))</f>
        <v>0.645942667310167</v>
      </c>
      <c r="O192" s="60" t="n">
        <f aca="false">IF(O191&lt;=0,0,MIN(1,O190/O191))</f>
        <v>0.895392151705277</v>
      </c>
      <c r="P192" s="60" t="n">
        <f aca="false">IF(P191&lt;=0,0,MIN(1,P190/P191))</f>
        <v>1</v>
      </c>
      <c r="Q192" s="60" t="n">
        <f aca="false">IF(Q191&lt;=0,0,MIN(1,Q190/Q191))</f>
        <v>1</v>
      </c>
      <c r="R192" s="60" t="n">
        <f aca="false">IF(R191&lt;=0,0,MIN(1,R190/R191))</f>
        <v>1</v>
      </c>
      <c r="S192" s="60" t="n">
        <f aca="false">IF(S191&lt;=0,0,MIN(1,S190/S191))</f>
        <v>1</v>
      </c>
      <c r="T192" s="60" t="n">
        <f aca="false">IF(T191&lt;=0,0,MIN(1,T190/T191))</f>
        <v>1</v>
      </c>
      <c r="U192" s="60" t="n">
        <f aca="false">IF(U191&lt;=0,0,MIN(1,U190/U191))</f>
        <v>1</v>
      </c>
      <c r="V192" s="60" t="n">
        <f aca="false">IF(V191&lt;=0,0,MIN(1,V190/V191))</f>
        <v>1</v>
      </c>
      <c r="W192" s="60" t="n">
        <f aca="false">IF(W191&lt;=0,0,MIN(1,W190/W191))</f>
        <v>1</v>
      </c>
      <c r="X192" s="60" t="n">
        <f aca="false">IF(X191&lt;=0,0,MIN(1,X190/X191))</f>
        <v>1</v>
      </c>
      <c r="Y192" s="60" t="n">
        <f aca="false">IF(Y191&lt;=0,0,MIN(1,Y190/Y191))</f>
        <v>1</v>
      </c>
      <c r="Z192" s="60" t="n">
        <f aca="false">IF(Z191&lt;=0,0,MIN(1,Z190/Z191))</f>
        <v>1</v>
      </c>
      <c r="AA192" s="60" t="n">
        <f aca="false">IF(AA191&lt;=0,0,MIN(1,AA190/AA191))</f>
        <v>1</v>
      </c>
      <c r="AB192" s="60" t="n">
        <f aca="false">IF(AB191&lt;=0,0,MIN(1,AB190/AB191))</f>
        <v>1</v>
      </c>
    </row>
    <row r="193" customFormat="false" ht="15" hidden="false" customHeight="false" outlineLevel="0" collapsed="false">
      <c r="A193" s="27" t="s">
        <v>735</v>
      </c>
      <c r="B193" s="56" t="s">
        <v>736</v>
      </c>
      <c r="C193" s="57" t="n">
        <f aca="false">P193</f>
        <v>0</v>
      </c>
      <c r="D193" s="57" t="n">
        <f aca="false">AB193</f>
        <v>0</v>
      </c>
      <c r="E193" s="58" t="n">
        <f aca="false">SUMIFS(Variations!$H$6:$H$21,Variations!$B$6:$B$21,"CF-2603",Variations!$F$6:$F$21,"Approved",Variations!$G$6:$G$21,"&lt;="&amp;Assumptions!E$95)</f>
        <v>0</v>
      </c>
      <c r="F193" s="58" t="n">
        <f aca="false">SUMIFS(Variations!$H$6:$H$21,Variations!$B$6:$B$21,"CF-2603",Variations!$F$6:$F$21,"Approved",Variations!$G$6:$G$21,"&lt;="&amp;Assumptions!F$95)</f>
        <v>0</v>
      </c>
      <c r="G193" s="58" t="n">
        <f aca="false">SUMIFS(Variations!$H$6:$H$21,Variations!$B$6:$B$21,"CF-2603",Variations!$F$6:$F$21,"Approved",Variations!$G$6:$G$21,"&lt;="&amp;Assumptions!G$95)</f>
        <v>0</v>
      </c>
      <c r="H193" s="58" t="n">
        <f aca="false">SUMIFS(Variations!$H$6:$H$21,Variations!$B$6:$B$21,"CF-2603",Variations!$F$6:$F$21,"Approved",Variations!$G$6:$G$21,"&lt;="&amp;Assumptions!H$95)</f>
        <v>0</v>
      </c>
      <c r="I193" s="58" t="n">
        <f aca="false">SUMIFS(Variations!$H$6:$H$21,Variations!$B$6:$B$21,"CF-2603",Variations!$F$6:$F$21,"Approved",Variations!$G$6:$G$21,"&lt;="&amp;Assumptions!I$95)</f>
        <v>0</v>
      </c>
      <c r="J193" s="58" t="n">
        <f aca="false">SUMIFS(Variations!$H$6:$H$21,Variations!$B$6:$B$21,"CF-2603",Variations!$F$6:$F$21,"Approved",Variations!$G$6:$G$21,"&lt;="&amp;Assumptions!J$95)</f>
        <v>0</v>
      </c>
      <c r="K193" s="58" t="n">
        <f aca="false">SUMIFS(Variations!$H$6:$H$21,Variations!$B$6:$B$21,"CF-2603",Variations!$F$6:$F$21,"Approved",Variations!$G$6:$G$21,"&lt;="&amp;Assumptions!K$95)</f>
        <v>0</v>
      </c>
      <c r="L193" s="58" t="n">
        <f aca="false">SUMIFS(Variations!$H$6:$H$21,Variations!$B$6:$B$21,"CF-2603",Variations!$F$6:$F$21,"Approved",Variations!$G$6:$G$21,"&lt;="&amp;Assumptions!L$95)</f>
        <v>0</v>
      </c>
      <c r="M193" s="58" t="n">
        <f aca="false">SUMIFS(Variations!$H$6:$H$21,Variations!$B$6:$B$21,"CF-2603",Variations!$F$6:$F$21,"Approved",Variations!$G$6:$G$21,"&lt;="&amp;Assumptions!M$95)</f>
        <v>0</v>
      </c>
      <c r="N193" s="58" t="n">
        <f aca="false">SUMIFS(Variations!$H$6:$H$21,Variations!$B$6:$B$21,"CF-2603",Variations!$F$6:$F$21,"Approved",Variations!$G$6:$G$21,"&lt;="&amp;Assumptions!N$95)</f>
        <v>0</v>
      </c>
      <c r="O193" s="58" t="n">
        <f aca="false">SUMIFS(Variations!$H$6:$H$21,Variations!$B$6:$B$21,"CF-2603",Variations!$F$6:$F$21,"Approved",Variations!$G$6:$G$21,"&lt;="&amp;Assumptions!O$95)</f>
        <v>0</v>
      </c>
      <c r="P193" s="58" t="n">
        <f aca="false">SUMIFS(Variations!$H$6:$H$21,Variations!$B$6:$B$21,"CF-2603",Variations!$F$6:$F$21,"Approved",Variations!$G$6:$G$21,"&lt;="&amp;Assumptions!P$95)</f>
        <v>0</v>
      </c>
      <c r="Q193" s="58" t="n">
        <f aca="false">SUMIFS(Variations!$H$6:$H$21,Variations!$B$6:$B$21,"CF-2603",Variations!$F$6:$F$21,"Approved",Variations!$G$6:$G$21,"&lt;="&amp;Assumptions!Q$95)</f>
        <v>0</v>
      </c>
      <c r="R193" s="58" t="n">
        <f aca="false">SUMIFS(Variations!$H$6:$H$21,Variations!$B$6:$B$21,"CF-2603",Variations!$F$6:$F$21,"Approved",Variations!$G$6:$G$21,"&lt;="&amp;Assumptions!R$95)</f>
        <v>0</v>
      </c>
      <c r="S193" s="58" t="n">
        <f aca="false">SUMIFS(Variations!$H$6:$H$21,Variations!$B$6:$B$21,"CF-2603",Variations!$F$6:$F$21,"Approved",Variations!$G$6:$G$21,"&lt;="&amp;Assumptions!S$95)</f>
        <v>0</v>
      </c>
      <c r="T193" s="58" t="n">
        <f aca="false">SUMIFS(Variations!$H$6:$H$21,Variations!$B$6:$B$21,"CF-2603",Variations!$F$6:$F$21,"Approved",Variations!$G$6:$G$21,"&lt;="&amp;Assumptions!T$95)</f>
        <v>0</v>
      </c>
      <c r="U193" s="58" t="n">
        <f aca="false">SUMIFS(Variations!$H$6:$H$21,Variations!$B$6:$B$21,"CF-2603",Variations!$F$6:$F$21,"Approved",Variations!$G$6:$G$21,"&lt;="&amp;Assumptions!U$95)</f>
        <v>0</v>
      </c>
      <c r="V193" s="58" t="n">
        <f aca="false">SUMIFS(Variations!$H$6:$H$21,Variations!$B$6:$B$21,"CF-2603",Variations!$F$6:$F$21,"Approved",Variations!$G$6:$G$21,"&lt;="&amp;Assumptions!V$95)</f>
        <v>0</v>
      </c>
      <c r="W193" s="58" t="n">
        <f aca="false">SUMIFS(Variations!$H$6:$H$21,Variations!$B$6:$B$21,"CF-2603",Variations!$F$6:$F$21,"Approved",Variations!$G$6:$G$21,"&lt;="&amp;Assumptions!W$95)</f>
        <v>0</v>
      </c>
      <c r="X193" s="58" t="n">
        <f aca="false">SUMIFS(Variations!$H$6:$H$21,Variations!$B$6:$B$21,"CF-2603",Variations!$F$6:$F$21,"Approved",Variations!$G$6:$G$21,"&lt;="&amp;Assumptions!X$95)</f>
        <v>0</v>
      </c>
      <c r="Y193" s="58" t="n">
        <f aca="false">SUMIFS(Variations!$H$6:$H$21,Variations!$B$6:$B$21,"CF-2603",Variations!$F$6:$F$21,"Approved",Variations!$G$6:$G$21,"&lt;="&amp;Assumptions!Y$95)</f>
        <v>0</v>
      </c>
      <c r="Z193" s="58" t="n">
        <f aca="false">SUMIFS(Variations!$H$6:$H$21,Variations!$B$6:$B$21,"CF-2603",Variations!$F$6:$F$21,"Approved",Variations!$G$6:$G$21,"&lt;="&amp;Assumptions!Z$95)</f>
        <v>0</v>
      </c>
      <c r="AA193" s="58" t="n">
        <f aca="false">SUMIFS(Variations!$H$6:$H$21,Variations!$B$6:$B$21,"CF-2603",Variations!$F$6:$F$21,"Approved",Variations!$G$6:$G$21,"&lt;="&amp;Assumptions!AA$95)</f>
        <v>0</v>
      </c>
      <c r="AB193" s="58" t="n">
        <f aca="false">SUMIFS(Variations!$H$6:$H$21,Variations!$B$6:$B$21,"CF-2603",Variations!$F$6:$F$21,"Approved",Variations!$G$6:$G$21,"&lt;="&amp;Assumptions!AB$95)</f>
        <v>0</v>
      </c>
    </row>
    <row r="194" customFormat="false" ht="15" hidden="false" customHeight="false" outlineLevel="0" collapsed="false">
      <c r="A194" s="27" t="s">
        <v>737</v>
      </c>
      <c r="B194" s="56"/>
      <c r="C194" s="57" t="n">
        <f aca="false">P194</f>
        <v>0</v>
      </c>
      <c r="D194" s="57" t="n">
        <f aca="false">AB194</f>
        <v>0</v>
      </c>
      <c r="E194" s="58" t="n">
        <f aca="false">SUMIFS(Variations!$E$6:$E$21,Variations!$B$6:$B$21,"CF-2603",Variations!$D$6:$D$21,"&lt;="&amp;Assumptions!E$95,Variations!$G$6:$G$21,"&gt;"&amp;Assumptions!E$95)</f>
        <v>0</v>
      </c>
      <c r="F194" s="58" t="n">
        <f aca="false">SUMIFS(Variations!$E$6:$E$21,Variations!$B$6:$B$21,"CF-2603",Variations!$D$6:$D$21,"&lt;="&amp;Assumptions!F$95,Variations!$G$6:$G$21,"&gt;"&amp;Assumptions!F$95)</f>
        <v>0</v>
      </c>
      <c r="G194" s="58" t="n">
        <f aca="false">SUMIFS(Variations!$E$6:$E$21,Variations!$B$6:$B$21,"CF-2603",Variations!$D$6:$D$21,"&lt;="&amp;Assumptions!G$95,Variations!$G$6:$G$21,"&gt;"&amp;Assumptions!G$95)</f>
        <v>0</v>
      </c>
      <c r="H194" s="58" t="n">
        <f aca="false">SUMIFS(Variations!$E$6:$E$21,Variations!$B$6:$B$21,"CF-2603",Variations!$D$6:$D$21,"&lt;="&amp;Assumptions!H$95,Variations!$G$6:$G$21,"&gt;"&amp;Assumptions!H$95)</f>
        <v>0</v>
      </c>
      <c r="I194" s="58" t="n">
        <f aca="false">SUMIFS(Variations!$E$6:$E$21,Variations!$B$6:$B$21,"CF-2603",Variations!$D$6:$D$21,"&lt;="&amp;Assumptions!I$95,Variations!$G$6:$G$21,"&gt;"&amp;Assumptions!I$95)</f>
        <v>0</v>
      </c>
      <c r="J194" s="58" t="n">
        <f aca="false">SUMIFS(Variations!$E$6:$E$21,Variations!$B$6:$B$21,"CF-2603",Variations!$D$6:$D$21,"&lt;="&amp;Assumptions!J$95,Variations!$G$6:$G$21,"&gt;"&amp;Assumptions!J$95)</f>
        <v>0</v>
      </c>
      <c r="K194" s="58" t="n">
        <f aca="false">SUMIFS(Variations!$E$6:$E$21,Variations!$B$6:$B$21,"CF-2603",Variations!$D$6:$D$21,"&lt;="&amp;Assumptions!K$95,Variations!$G$6:$G$21,"&gt;"&amp;Assumptions!K$95)</f>
        <v>0</v>
      </c>
      <c r="L194" s="58" t="n">
        <f aca="false">SUMIFS(Variations!$E$6:$E$21,Variations!$B$6:$B$21,"CF-2603",Variations!$D$6:$D$21,"&lt;="&amp;Assumptions!L$95,Variations!$G$6:$G$21,"&gt;"&amp;Assumptions!L$95)</f>
        <v>16200</v>
      </c>
      <c r="M194" s="58" t="n">
        <f aca="false">SUMIFS(Variations!$E$6:$E$21,Variations!$B$6:$B$21,"CF-2603",Variations!$D$6:$D$21,"&lt;="&amp;Assumptions!M$95,Variations!$G$6:$G$21,"&gt;"&amp;Assumptions!M$95)</f>
        <v>0</v>
      </c>
      <c r="N194" s="58" t="n">
        <f aca="false">SUMIFS(Variations!$E$6:$E$21,Variations!$B$6:$B$21,"CF-2603",Variations!$D$6:$D$21,"&lt;="&amp;Assumptions!N$95,Variations!$G$6:$G$21,"&gt;"&amp;Assumptions!N$95)</f>
        <v>0</v>
      </c>
      <c r="O194" s="58" t="n">
        <f aca="false">SUMIFS(Variations!$E$6:$E$21,Variations!$B$6:$B$21,"CF-2603",Variations!$D$6:$D$21,"&lt;="&amp;Assumptions!O$95,Variations!$G$6:$G$21,"&gt;"&amp;Assumptions!O$95)</f>
        <v>0</v>
      </c>
      <c r="P194" s="58" t="n">
        <f aca="false">SUMIFS(Variations!$E$6:$E$21,Variations!$B$6:$B$21,"CF-2603",Variations!$D$6:$D$21,"&lt;="&amp;Assumptions!P$95,Variations!$G$6:$G$21,"&gt;"&amp;Assumptions!P$95)</f>
        <v>0</v>
      </c>
      <c r="Q194" s="58" t="n">
        <f aca="false">SUMIFS(Variations!$E$6:$E$21,Variations!$B$6:$B$21,"CF-2603",Variations!$D$6:$D$21,"&lt;="&amp;Assumptions!Q$95,Variations!$G$6:$G$21,"&gt;"&amp;Assumptions!Q$95)</f>
        <v>0</v>
      </c>
      <c r="R194" s="58" t="n">
        <f aca="false">SUMIFS(Variations!$E$6:$E$21,Variations!$B$6:$B$21,"CF-2603",Variations!$D$6:$D$21,"&lt;="&amp;Assumptions!R$95,Variations!$G$6:$G$21,"&gt;"&amp;Assumptions!R$95)</f>
        <v>0</v>
      </c>
      <c r="S194" s="58" t="n">
        <f aca="false">SUMIFS(Variations!$E$6:$E$21,Variations!$B$6:$B$21,"CF-2603",Variations!$D$6:$D$21,"&lt;="&amp;Assumptions!S$95,Variations!$G$6:$G$21,"&gt;"&amp;Assumptions!S$95)</f>
        <v>0</v>
      </c>
      <c r="T194" s="58" t="n">
        <f aca="false">SUMIFS(Variations!$E$6:$E$21,Variations!$B$6:$B$21,"CF-2603",Variations!$D$6:$D$21,"&lt;="&amp;Assumptions!T$95,Variations!$G$6:$G$21,"&gt;"&amp;Assumptions!T$95)</f>
        <v>0</v>
      </c>
      <c r="U194" s="58" t="n">
        <f aca="false">SUMIFS(Variations!$E$6:$E$21,Variations!$B$6:$B$21,"CF-2603",Variations!$D$6:$D$21,"&lt;="&amp;Assumptions!U$95,Variations!$G$6:$G$21,"&gt;"&amp;Assumptions!U$95)</f>
        <v>0</v>
      </c>
      <c r="V194" s="58" t="n">
        <f aca="false">SUMIFS(Variations!$E$6:$E$21,Variations!$B$6:$B$21,"CF-2603",Variations!$D$6:$D$21,"&lt;="&amp;Assumptions!V$95,Variations!$G$6:$G$21,"&gt;"&amp;Assumptions!V$95)</f>
        <v>0</v>
      </c>
      <c r="W194" s="58" t="n">
        <f aca="false">SUMIFS(Variations!$E$6:$E$21,Variations!$B$6:$B$21,"CF-2603",Variations!$D$6:$D$21,"&lt;="&amp;Assumptions!W$95,Variations!$G$6:$G$21,"&gt;"&amp;Assumptions!W$95)</f>
        <v>0</v>
      </c>
      <c r="X194" s="58" t="n">
        <f aca="false">SUMIFS(Variations!$E$6:$E$21,Variations!$B$6:$B$21,"CF-2603",Variations!$D$6:$D$21,"&lt;="&amp;Assumptions!X$95,Variations!$G$6:$G$21,"&gt;"&amp;Assumptions!X$95)</f>
        <v>0</v>
      </c>
      <c r="Y194" s="58" t="n">
        <f aca="false">SUMIFS(Variations!$E$6:$E$21,Variations!$B$6:$B$21,"CF-2603",Variations!$D$6:$D$21,"&lt;="&amp;Assumptions!Y$95,Variations!$G$6:$G$21,"&gt;"&amp;Assumptions!Y$95)</f>
        <v>0</v>
      </c>
      <c r="Z194" s="58" t="n">
        <f aca="false">SUMIFS(Variations!$E$6:$E$21,Variations!$B$6:$B$21,"CF-2603",Variations!$D$6:$D$21,"&lt;="&amp;Assumptions!Z$95,Variations!$G$6:$G$21,"&gt;"&amp;Assumptions!Z$95)</f>
        <v>0</v>
      </c>
      <c r="AA194" s="58" t="n">
        <f aca="false">SUMIFS(Variations!$E$6:$E$21,Variations!$B$6:$B$21,"CF-2603",Variations!$D$6:$D$21,"&lt;="&amp;Assumptions!AA$95,Variations!$G$6:$G$21,"&gt;"&amp;Assumptions!AA$95)</f>
        <v>0</v>
      </c>
      <c r="AB194" s="58" t="n">
        <f aca="false">SUMIFS(Variations!$E$6:$E$21,Variations!$B$6:$B$21,"CF-2603",Variations!$D$6:$D$21,"&lt;="&amp;Assumptions!AB$95,Variations!$G$6:$G$21,"&gt;"&amp;Assumptions!AB$95)</f>
        <v>0</v>
      </c>
    </row>
    <row r="195" customFormat="false" ht="15" hidden="false" customHeight="false" outlineLevel="0" collapsed="false">
      <c r="A195" s="27" t="s">
        <v>738</v>
      </c>
      <c r="B195" s="56"/>
      <c r="C195" s="57" t="n">
        <f aca="false">P195</f>
        <v>16200</v>
      </c>
      <c r="D195" s="57" t="n">
        <f aca="false">AB195</f>
        <v>16200</v>
      </c>
      <c r="E195" s="58" t="n">
        <f aca="false">SUMIFS(Variations!$E$6:$E$21,Variations!$B$6:$B$21,"CF-2603",Variations!$F$6:$F$21,"Pending",Variations!$G$6:$G$21,"&lt;="&amp;Assumptions!E$95)</f>
        <v>0</v>
      </c>
      <c r="F195" s="58" t="n">
        <f aca="false">SUMIFS(Variations!$E$6:$E$21,Variations!$B$6:$B$21,"CF-2603",Variations!$F$6:$F$21,"Pending",Variations!$G$6:$G$21,"&lt;="&amp;Assumptions!F$95)</f>
        <v>0</v>
      </c>
      <c r="G195" s="58" t="n">
        <f aca="false">SUMIFS(Variations!$E$6:$E$21,Variations!$B$6:$B$21,"CF-2603",Variations!$F$6:$F$21,"Pending",Variations!$G$6:$G$21,"&lt;="&amp;Assumptions!G$95)</f>
        <v>0</v>
      </c>
      <c r="H195" s="58" t="n">
        <f aca="false">SUMIFS(Variations!$E$6:$E$21,Variations!$B$6:$B$21,"CF-2603",Variations!$F$6:$F$21,"Pending",Variations!$G$6:$G$21,"&lt;="&amp;Assumptions!H$95)</f>
        <v>0</v>
      </c>
      <c r="I195" s="58" t="n">
        <f aca="false">SUMIFS(Variations!$E$6:$E$21,Variations!$B$6:$B$21,"CF-2603",Variations!$F$6:$F$21,"Pending",Variations!$G$6:$G$21,"&lt;="&amp;Assumptions!I$95)</f>
        <v>0</v>
      </c>
      <c r="J195" s="58" t="n">
        <f aca="false">SUMIFS(Variations!$E$6:$E$21,Variations!$B$6:$B$21,"CF-2603",Variations!$F$6:$F$21,"Pending",Variations!$G$6:$G$21,"&lt;="&amp;Assumptions!J$95)</f>
        <v>0</v>
      </c>
      <c r="K195" s="58" t="n">
        <f aca="false">SUMIFS(Variations!$E$6:$E$21,Variations!$B$6:$B$21,"CF-2603",Variations!$F$6:$F$21,"Pending",Variations!$G$6:$G$21,"&lt;="&amp;Assumptions!K$95)</f>
        <v>0</v>
      </c>
      <c r="L195" s="58" t="n">
        <f aca="false">SUMIFS(Variations!$E$6:$E$21,Variations!$B$6:$B$21,"CF-2603",Variations!$F$6:$F$21,"Pending",Variations!$G$6:$G$21,"&lt;="&amp;Assumptions!L$95)</f>
        <v>0</v>
      </c>
      <c r="M195" s="58" t="n">
        <f aca="false">SUMIFS(Variations!$E$6:$E$21,Variations!$B$6:$B$21,"CF-2603",Variations!$F$6:$F$21,"Pending",Variations!$G$6:$G$21,"&lt;="&amp;Assumptions!M$95)</f>
        <v>16200</v>
      </c>
      <c r="N195" s="58" t="n">
        <f aca="false">SUMIFS(Variations!$E$6:$E$21,Variations!$B$6:$B$21,"CF-2603",Variations!$F$6:$F$21,"Pending",Variations!$G$6:$G$21,"&lt;="&amp;Assumptions!N$95)</f>
        <v>16200</v>
      </c>
      <c r="O195" s="58" t="n">
        <f aca="false">SUMIFS(Variations!$E$6:$E$21,Variations!$B$6:$B$21,"CF-2603",Variations!$F$6:$F$21,"Pending",Variations!$G$6:$G$21,"&lt;="&amp;Assumptions!O$95)</f>
        <v>16200</v>
      </c>
      <c r="P195" s="58" t="n">
        <f aca="false">SUMIFS(Variations!$E$6:$E$21,Variations!$B$6:$B$21,"CF-2603",Variations!$F$6:$F$21,"Pending",Variations!$G$6:$G$21,"&lt;="&amp;Assumptions!P$95)</f>
        <v>16200</v>
      </c>
      <c r="Q195" s="58" t="n">
        <f aca="false">SUMIFS(Variations!$E$6:$E$21,Variations!$B$6:$B$21,"CF-2603",Variations!$F$6:$F$21,"Pending",Variations!$G$6:$G$21,"&lt;="&amp;Assumptions!Q$95)</f>
        <v>16200</v>
      </c>
      <c r="R195" s="58" t="n">
        <f aca="false">SUMIFS(Variations!$E$6:$E$21,Variations!$B$6:$B$21,"CF-2603",Variations!$F$6:$F$21,"Pending",Variations!$G$6:$G$21,"&lt;="&amp;Assumptions!R$95)</f>
        <v>16200</v>
      </c>
      <c r="S195" s="58" t="n">
        <f aca="false">SUMIFS(Variations!$E$6:$E$21,Variations!$B$6:$B$21,"CF-2603",Variations!$F$6:$F$21,"Pending",Variations!$G$6:$G$21,"&lt;="&amp;Assumptions!S$95)</f>
        <v>16200</v>
      </c>
      <c r="T195" s="58" t="n">
        <f aca="false">SUMIFS(Variations!$E$6:$E$21,Variations!$B$6:$B$21,"CF-2603",Variations!$F$6:$F$21,"Pending",Variations!$G$6:$G$21,"&lt;="&amp;Assumptions!T$95)</f>
        <v>16200</v>
      </c>
      <c r="U195" s="58" t="n">
        <f aca="false">SUMIFS(Variations!$E$6:$E$21,Variations!$B$6:$B$21,"CF-2603",Variations!$F$6:$F$21,"Pending",Variations!$G$6:$G$21,"&lt;="&amp;Assumptions!U$95)</f>
        <v>16200</v>
      </c>
      <c r="V195" s="58" t="n">
        <f aca="false">SUMIFS(Variations!$E$6:$E$21,Variations!$B$6:$B$21,"CF-2603",Variations!$F$6:$F$21,"Pending",Variations!$G$6:$G$21,"&lt;="&amp;Assumptions!V$95)</f>
        <v>16200</v>
      </c>
      <c r="W195" s="58" t="n">
        <f aca="false">SUMIFS(Variations!$E$6:$E$21,Variations!$B$6:$B$21,"CF-2603",Variations!$F$6:$F$21,"Pending",Variations!$G$6:$G$21,"&lt;="&amp;Assumptions!W$95)</f>
        <v>16200</v>
      </c>
      <c r="X195" s="58" t="n">
        <f aca="false">SUMIFS(Variations!$E$6:$E$21,Variations!$B$6:$B$21,"CF-2603",Variations!$F$6:$F$21,"Pending",Variations!$G$6:$G$21,"&lt;="&amp;Assumptions!X$95)</f>
        <v>16200</v>
      </c>
      <c r="Y195" s="58" t="n">
        <f aca="false">SUMIFS(Variations!$E$6:$E$21,Variations!$B$6:$B$21,"CF-2603",Variations!$F$6:$F$21,"Pending",Variations!$G$6:$G$21,"&lt;="&amp;Assumptions!Y$95)</f>
        <v>16200</v>
      </c>
      <c r="Z195" s="58" t="n">
        <f aca="false">SUMIFS(Variations!$E$6:$E$21,Variations!$B$6:$B$21,"CF-2603",Variations!$F$6:$F$21,"Pending",Variations!$G$6:$G$21,"&lt;="&amp;Assumptions!Z$95)</f>
        <v>16200</v>
      </c>
      <c r="AA195" s="58" t="n">
        <f aca="false">SUMIFS(Variations!$E$6:$E$21,Variations!$B$6:$B$21,"CF-2603",Variations!$F$6:$F$21,"Pending",Variations!$G$6:$G$21,"&lt;="&amp;Assumptions!AA$95)</f>
        <v>16200</v>
      </c>
      <c r="AB195" s="58" t="n">
        <f aca="false">SUMIFS(Variations!$E$6:$E$21,Variations!$B$6:$B$21,"CF-2603",Variations!$F$6:$F$21,"Pending",Variations!$G$6:$G$21,"&lt;="&amp;Assumptions!AB$95)</f>
        <v>16200</v>
      </c>
    </row>
    <row r="196" customFormat="false" ht="15" hidden="false" customHeight="false" outlineLevel="0" collapsed="false">
      <c r="A196" s="27" t="s">
        <v>739</v>
      </c>
      <c r="B196" s="56" t="s">
        <v>740</v>
      </c>
      <c r="C196" s="57" t="n">
        <f aca="false">P196</f>
        <v>400530</v>
      </c>
      <c r="D196" s="57" t="n">
        <f aca="false">AB196</f>
        <v>400530</v>
      </c>
      <c r="E196" s="58" t="n">
        <f aca="false">Project_Register!$AO$11+E193+Assumptions!$C$74*E194+Assumptions!$F$121*E195</f>
        <v>390000</v>
      </c>
      <c r="F196" s="58" t="n">
        <f aca="false">Project_Register!$AO$11+F193+Assumptions!$C$74*F194+Assumptions!$F$121*F195</f>
        <v>390000</v>
      </c>
      <c r="G196" s="58" t="n">
        <f aca="false">Project_Register!$AO$11+G193+Assumptions!$C$74*G194+Assumptions!$F$121*G195</f>
        <v>390000</v>
      </c>
      <c r="H196" s="58" t="n">
        <f aca="false">Project_Register!$AO$11+H193+Assumptions!$C$74*H194+Assumptions!$F$121*H195</f>
        <v>390000</v>
      </c>
      <c r="I196" s="58" t="n">
        <f aca="false">Project_Register!$AO$11+I193+Assumptions!$C$74*I194+Assumptions!$F$121*I195</f>
        <v>390000</v>
      </c>
      <c r="J196" s="58" t="n">
        <f aca="false">Project_Register!$AO$11+J193+Assumptions!$C$74*J194+Assumptions!$F$121*J195</f>
        <v>390000</v>
      </c>
      <c r="K196" s="58" t="n">
        <f aca="false">Project_Register!$AO$11+K193+Assumptions!$C$74*K194+Assumptions!$F$121*K195</f>
        <v>390000</v>
      </c>
      <c r="L196" s="58" t="n">
        <f aca="false">Project_Register!$AO$11+L193+Assumptions!$C$74*L194+Assumptions!$F$121*L195</f>
        <v>398100</v>
      </c>
      <c r="M196" s="58" t="n">
        <f aca="false">Project_Register!$AO$11+M193+Assumptions!$C$74*M194+Assumptions!$F$121*M195</f>
        <v>400530</v>
      </c>
      <c r="N196" s="58" t="n">
        <f aca="false">Project_Register!$AO$11+N193+Assumptions!$C$74*N194+Assumptions!$F$121*N195</f>
        <v>400530</v>
      </c>
      <c r="O196" s="58" t="n">
        <f aca="false">Project_Register!$AO$11+O193+Assumptions!$C$74*O194+Assumptions!$F$121*O195</f>
        <v>400530</v>
      </c>
      <c r="P196" s="58" t="n">
        <f aca="false">Project_Register!$AO$11+P193+Assumptions!$C$74*P194+Assumptions!$F$121*P195</f>
        <v>400530</v>
      </c>
      <c r="Q196" s="58" t="n">
        <f aca="false">Project_Register!$AO$11+Q193+Assumptions!$C$74*Q194+Assumptions!$F$121*Q195</f>
        <v>400530</v>
      </c>
      <c r="R196" s="58" t="n">
        <f aca="false">Project_Register!$AO$11+R193+Assumptions!$C$74*R194+Assumptions!$F$121*R195</f>
        <v>400530</v>
      </c>
      <c r="S196" s="58" t="n">
        <f aca="false">Project_Register!$AO$11+S193+Assumptions!$C$74*S194+Assumptions!$F$121*S195</f>
        <v>400530</v>
      </c>
      <c r="T196" s="58" t="n">
        <f aca="false">Project_Register!$AO$11+T193+Assumptions!$C$74*T194+Assumptions!$F$121*T195</f>
        <v>400530</v>
      </c>
      <c r="U196" s="58" t="n">
        <f aca="false">Project_Register!$AO$11+U193+Assumptions!$C$74*U194+Assumptions!$F$121*U195</f>
        <v>400530</v>
      </c>
      <c r="V196" s="58" t="n">
        <f aca="false">Project_Register!$AO$11+V193+Assumptions!$C$74*V194+Assumptions!$F$121*V195</f>
        <v>400530</v>
      </c>
      <c r="W196" s="58" t="n">
        <f aca="false">Project_Register!$AO$11+W193+Assumptions!$C$74*W194+Assumptions!$F$121*W195</f>
        <v>400530</v>
      </c>
      <c r="X196" s="58" t="n">
        <f aca="false">Project_Register!$AO$11+X193+Assumptions!$C$74*X194+Assumptions!$F$121*X195</f>
        <v>400530</v>
      </c>
      <c r="Y196" s="58" t="n">
        <f aca="false">Project_Register!$AO$11+Y193+Assumptions!$C$74*Y194+Assumptions!$F$121*Y195</f>
        <v>400530</v>
      </c>
      <c r="Z196" s="58" t="n">
        <f aca="false">Project_Register!$AO$11+Z193+Assumptions!$C$74*Z194+Assumptions!$F$121*Z195</f>
        <v>400530</v>
      </c>
      <c r="AA196" s="58" t="n">
        <f aca="false">Project_Register!$AO$11+AA193+Assumptions!$C$74*AA194+Assumptions!$F$121*AA195</f>
        <v>400530</v>
      </c>
      <c r="AB196" s="58" t="n">
        <f aca="false">Project_Register!$AO$11+AB193+Assumptions!$C$74*AB194+Assumptions!$F$121*AB195</f>
        <v>400530</v>
      </c>
    </row>
    <row r="197" customFormat="false" ht="15" hidden="false" customHeight="false" outlineLevel="0" collapsed="false">
      <c r="A197" s="27" t="s">
        <v>741</v>
      </c>
      <c r="B197" s="56" t="s">
        <v>742</v>
      </c>
      <c r="C197" s="57" t="n">
        <f aca="false">P197</f>
        <v>400530</v>
      </c>
      <c r="D197" s="57" t="n">
        <f aca="false">AB197</f>
        <v>400530</v>
      </c>
      <c r="E197" s="58" t="n">
        <f aca="false">IF(E$5="A",Project_Register!$AD$11+Inputs_Actuals!E51,E192*E196)</f>
        <v>0</v>
      </c>
      <c r="F197" s="58" t="n">
        <f aca="false">IF(F$5="A",E197+Inputs_Actuals!F51,F192*F196)</f>
        <v>0</v>
      </c>
      <c r="G197" s="58" t="n">
        <f aca="false">IF(G$5="A",F197+Inputs_Actuals!G51,G192*G196)</f>
        <v>0</v>
      </c>
      <c r="H197" s="58" t="n">
        <f aca="false">IF(H$5="A",G197+Inputs_Actuals!H51,H192*H196)</f>
        <v>0</v>
      </c>
      <c r="I197" s="58" t="n">
        <f aca="false">IF(I$5="A",H197+Inputs_Actuals!I51,I192*I196)</f>
        <v>0</v>
      </c>
      <c r="J197" s="58" t="n">
        <f aca="false">IF(J$5="A",I197+Inputs_Actuals!J51,J192*J196)</f>
        <v>0</v>
      </c>
      <c r="K197" s="58" t="n">
        <f aca="false">IF(K$5="A",J197+Inputs_Actuals!K51,K192*K196)</f>
        <v>0</v>
      </c>
      <c r="L197" s="58" t="n">
        <f aca="false">IF(L$5="A",K197+Inputs_Actuals!L51,L192*L196)</f>
        <v>39317.61</v>
      </c>
      <c r="M197" s="58" t="n">
        <f aca="false">IF(M$5="A",L197+Inputs_Actuals!M51,M192*M196)</f>
        <v>139469.607717206</v>
      </c>
      <c r="N197" s="58" t="n">
        <f aca="false">IF(N$5="A",M197+Inputs_Actuals!N51,N192*N196)</f>
        <v>258719.416537741</v>
      </c>
      <c r="O197" s="58" t="n">
        <f aca="false">IF(O$5="A",N197+Inputs_Actuals!O51,O192*O196)</f>
        <v>358631.418522515</v>
      </c>
      <c r="P197" s="58" t="n">
        <f aca="false">IF(P$5="A",O197+Inputs_Actuals!P51,P192*P196)</f>
        <v>400530</v>
      </c>
      <c r="Q197" s="58" t="n">
        <f aca="false">IF(Q$5="A",P197+Inputs_Actuals!Q51,Q192*Q196)</f>
        <v>400530</v>
      </c>
      <c r="R197" s="58" t="n">
        <f aca="false">IF(R$5="A",Q197+Inputs_Actuals!R51,R192*R196)</f>
        <v>400530</v>
      </c>
      <c r="S197" s="58" t="n">
        <f aca="false">IF(S$5="A",R197+Inputs_Actuals!S51,S192*S196)</f>
        <v>400530</v>
      </c>
      <c r="T197" s="58" t="n">
        <f aca="false">IF(T$5="A",S197+Inputs_Actuals!T51,T192*T196)</f>
        <v>400530</v>
      </c>
      <c r="U197" s="58" t="n">
        <f aca="false">IF(U$5="A",T197+Inputs_Actuals!U51,U192*U196)</f>
        <v>400530</v>
      </c>
      <c r="V197" s="58" t="n">
        <f aca="false">IF(V$5="A",U197+Inputs_Actuals!V51,V192*V196)</f>
        <v>400530</v>
      </c>
      <c r="W197" s="58" t="n">
        <f aca="false">IF(W$5="A",V197+Inputs_Actuals!W51,W192*W196)</f>
        <v>400530</v>
      </c>
      <c r="X197" s="58" t="n">
        <f aca="false">IF(X$5="A",W197+Inputs_Actuals!X51,X192*X196)</f>
        <v>400530</v>
      </c>
      <c r="Y197" s="58" t="n">
        <f aca="false">IF(Y$5="A",X197+Inputs_Actuals!Y51,Y192*Y196)</f>
        <v>400530</v>
      </c>
      <c r="Z197" s="58" t="n">
        <f aca="false">IF(Z$5="A",Y197+Inputs_Actuals!Z51,Z192*Z196)</f>
        <v>400530</v>
      </c>
      <c r="AA197" s="58" t="n">
        <f aca="false">IF(AA$5="A",Z197+Inputs_Actuals!AA51,AA192*AA196)</f>
        <v>400530</v>
      </c>
      <c r="AB197" s="58" t="n">
        <f aca="false">IF(AB$5="A",AA197+Inputs_Actuals!AB51,AB192*AB196)</f>
        <v>400530</v>
      </c>
    </row>
    <row r="198" customFormat="false" ht="15" hidden="false" customHeight="false" outlineLevel="0" collapsed="false">
      <c r="A198" s="67" t="s">
        <v>743</v>
      </c>
      <c r="B198" s="68" t="s">
        <v>744</v>
      </c>
      <c r="C198" s="69" t="n">
        <f aca="false">SUM(E198:P198)</f>
        <v>400530</v>
      </c>
      <c r="D198" s="69" t="n">
        <f aca="false">SUM(Q198:AB198)</f>
        <v>0</v>
      </c>
      <c r="E198" s="74" t="n">
        <f aca="false">E197-Project_Register!$AD$11</f>
        <v>0</v>
      </c>
      <c r="F198" s="69" t="n">
        <f aca="false">F197-E197</f>
        <v>0</v>
      </c>
      <c r="G198" s="69" t="n">
        <f aca="false">G197-F197</f>
        <v>0</v>
      </c>
      <c r="H198" s="69" t="n">
        <f aca="false">H197-G197</f>
        <v>0</v>
      </c>
      <c r="I198" s="69" t="n">
        <f aca="false">I197-H197</f>
        <v>0</v>
      </c>
      <c r="J198" s="69" t="n">
        <f aca="false">J197-I197</f>
        <v>0</v>
      </c>
      <c r="K198" s="69" t="n">
        <f aca="false">K197-J197</f>
        <v>0</v>
      </c>
      <c r="L198" s="69" t="n">
        <f aca="false">L197-K197</f>
        <v>39317.61</v>
      </c>
      <c r="M198" s="69" t="n">
        <f aca="false">M197-L197</f>
        <v>100151.997717206</v>
      </c>
      <c r="N198" s="69" t="n">
        <f aca="false">N197-M197</f>
        <v>119249.808820536</v>
      </c>
      <c r="O198" s="69" t="n">
        <f aca="false">O197-N197</f>
        <v>99912.0019847732</v>
      </c>
      <c r="P198" s="69" t="n">
        <f aca="false">P197-O197</f>
        <v>41898.5814774855</v>
      </c>
      <c r="Q198" s="69" t="n">
        <f aca="false">Q197-P197</f>
        <v>0</v>
      </c>
      <c r="R198" s="69" t="n">
        <f aca="false">R197-Q197</f>
        <v>0</v>
      </c>
      <c r="S198" s="69" t="n">
        <f aca="false">S197-R197</f>
        <v>0</v>
      </c>
      <c r="T198" s="69" t="n">
        <f aca="false">T197-S197</f>
        <v>0</v>
      </c>
      <c r="U198" s="69" t="n">
        <f aca="false">U197-T197</f>
        <v>0</v>
      </c>
      <c r="V198" s="69" t="n">
        <f aca="false">V197-U197</f>
        <v>0</v>
      </c>
      <c r="W198" s="69" t="n">
        <f aca="false">W197-V197</f>
        <v>0</v>
      </c>
      <c r="X198" s="69" t="n">
        <f aca="false">X197-W197</f>
        <v>0</v>
      </c>
      <c r="Y198" s="69" t="n">
        <f aca="false">Y197-X197</f>
        <v>0</v>
      </c>
      <c r="Z198" s="69" t="n">
        <f aca="false">Z197-Y197</f>
        <v>0</v>
      </c>
      <c r="AA198" s="69" t="n">
        <f aca="false">AA197-Z197</f>
        <v>0</v>
      </c>
      <c r="AB198" s="69" t="n">
        <f aca="false">AB197-AA197</f>
        <v>0</v>
      </c>
    </row>
    <row r="199" customFormat="false" ht="15" hidden="false" customHeight="false" outlineLevel="0" collapsed="false">
      <c r="A199" s="27" t="s">
        <v>745</v>
      </c>
      <c r="B199" s="56" t="s">
        <v>746</v>
      </c>
      <c r="C199" s="57" t="n">
        <f aca="false">P199</f>
        <v>0</v>
      </c>
      <c r="D199" s="57" t="n">
        <f aca="false">AB199</f>
        <v>0</v>
      </c>
      <c r="E199" s="70" t="n">
        <f aca="false">MAX(0,E191-E196)*(1-E192)</f>
        <v>0</v>
      </c>
      <c r="F199" s="70" t="n">
        <f aca="false">MAX(0,F191-F196)*(1-F192)</f>
        <v>0</v>
      </c>
      <c r="G199" s="70" t="n">
        <f aca="false">MAX(0,G191-G196)*(1-G192)</f>
        <v>0</v>
      </c>
      <c r="H199" s="70" t="n">
        <f aca="false">MAX(0,H191-H196)*(1-H192)</f>
        <v>0</v>
      </c>
      <c r="I199" s="70" t="n">
        <f aca="false">MAX(0,I191-I196)*(1-I192)</f>
        <v>0</v>
      </c>
      <c r="J199" s="70" t="n">
        <f aca="false">MAX(0,J191-J196)*(1-J192)</f>
        <v>0</v>
      </c>
      <c r="K199" s="70" t="n">
        <f aca="false">MAX(0,K191-K196)*(1-K192)</f>
        <v>0</v>
      </c>
      <c r="L199" s="70" t="n">
        <f aca="false">MAX(0,L191-L196)*(1-L192)</f>
        <v>0</v>
      </c>
      <c r="M199" s="70" t="n">
        <f aca="false">MAX(0,M191-M196)*(1-M192)</f>
        <v>0</v>
      </c>
      <c r="N199" s="70" t="n">
        <f aca="false">MAX(0,N191-N196)*(1-N192)</f>
        <v>0</v>
      </c>
      <c r="O199" s="70" t="n">
        <f aca="false">MAX(0,O191-O196)*(1-O192)</f>
        <v>0</v>
      </c>
      <c r="P199" s="70" t="n">
        <f aca="false">MAX(0,P191-P196)*(1-P192)</f>
        <v>0</v>
      </c>
      <c r="Q199" s="70" t="n">
        <f aca="false">MAX(0,Q191-Q196)*(1-Q192)</f>
        <v>0</v>
      </c>
      <c r="R199" s="70" t="n">
        <f aca="false">MAX(0,R191-R196)*(1-R192)</f>
        <v>0</v>
      </c>
      <c r="S199" s="70" t="n">
        <f aca="false">MAX(0,S191-S196)*(1-S192)</f>
        <v>0</v>
      </c>
      <c r="T199" s="70" t="n">
        <f aca="false">MAX(0,T191-T196)*(1-T192)</f>
        <v>0</v>
      </c>
      <c r="U199" s="70" t="n">
        <f aca="false">MAX(0,U191-U196)*(1-U192)</f>
        <v>0</v>
      </c>
      <c r="V199" s="70" t="n">
        <f aca="false">MAX(0,V191-V196)*(1-V192)</f>
        <v>0</v>
      </c>
      <c r="W199" s="70" t="n">
        <f aca="false">MAX(0,W191-W196)*(1-W192)</f>
        <v>0</v>
      </c>
      <c r="X199" s="70" t="n">
        <f aca="false">MAX(0,X191-X196)*(1-X192)</f>
        <v>0</v>
      </c>
      <c r="Y199" s="70" t="n">
        <f aca="false">MAX(0,Y191-Y196)*(1-Y192)</f>
        <v>0</v>
      </c>
      <c r="Z199" s="70" t="n">
        <f aca="false">MAX(0,Z191-Z196)*(1-Z192)</f>
        <v>0</v>
      </c>
      <c r="AA199" s="70" t="n">
        <f aca="false">MAX(0,AA191-AA196)*(1-AA192)</f>
        <v>0</v>
      </c>
      <c r="AB199" s="70" t="n">
        <f aca="false">MAX(0,AB191-AB196)*(1-AB192)</f>
        <v>0</v>
      </c>
    </row>
    <row r="200" customFormat="false" ht="15" hidden="false" customHeight="false" outlineLevel="0" collapsed="false">
      <c r="A200" s="27" t="s">
        <v>747</v>
      </c>
      <c r="B200" s="56"/>
      <c r="C200" s="57" t="n">
        <f aca="false">SUM(E200:P200)</f>
        <v>0</v>
      </c>
      <c r="D200" s="57" t="n">
        <f aca="false">SUM(Q200:AB200)</f>
        <v>0</v>
      </c>
      <c r="E200" s="70" t="n">
        <f aca="false">-(E199-0)</f>
        <v>-0</v>
      </c>
      <c r="F200" s="70" t="n">
        <f aca="false">-(F199-E199)</f>
        <v>-0</v>
      </c>
      <c r="G200" s="70" t="n">
        <f aca="false">-(G199-F199)</f>
        <v>-0</v>
      </c>
      <c r="H200" s="70" t="n">
        <f aca="false">-(H199-G199)</f>
        <v>-0</v>
      </c>
      <c r="I200" s="70" t="n">
        <f aca="false">-(I199-H199)</f>
        <v>-0</v>
      </c>
      <c r="J200" s="70" t="n">
        <f aca="false">-(J199-I199)</f>
        <v>-0</v>
      </c>
      <c r="K200" s="70" t="n">
        <f aca="false">-(K199-J199)</f>
        <v>-0</v>
      </c>
      <c r="L200" s="70" t="n">
        <f aca="false">-(L199-K199)</f>
        <v>-0</v>
      </c>
      <c r="M200" s="70" t="n">
        <f aca="false">-(M199-L199)</f>
        <v>-0</v>
      </c>
      <c r="N200" s="70" t="n">
        <f aca="false">-(N199-M199)</f>
        <v>-0</v>
      </c>
      <c r="O200" s="70" t="n">
        <f aca="false">-(O199-N199)</f>
        <v>-0</v>
      </c>
      <c r="P200" s="70" t="n">
        <f aca="false">-(P199-O199)</f>
        <v>-0</v>
      </c>
      <c r="Q200" s="70" t="n">
        <f aca="false">-(Q199-P199)</f>
        <v>-0</v>
      </c>
      <c r="R200" s="70" t="n">
        <f aca="false">-(R199-Q199)</f>
        <v>-0</v>
      </c>
      <c r="S200" s="70" t="n">
        <f aca="false">-(S199-R199)</f>
        <v>-0</v>
      </c>
      <c r="T200" s="70" t="n">
        <f aca="false">-(T199-S199)</f>
        <v>-0</v>
      </c>
      <c r="U200" s="70" t="n">
        <f aca="false">-(U199-T199)</f>
        <v>-0</v>
      </c>
      <c r="V200" s="70" t="n">
        <f aca="false">-(V199-U199)</f>
        <v>-0</v>
      </c>
      <c r="W200" s="70" t="n">
        <f aca="false">-(W199-V199)</f>
        <v>-0</v>
      </c>
      <c r="X200" s="70" t="n">
        <f aca="false">-(X199-W199)</f>
        <v>-0</v>
      </c>
      <c r="Y200" s="70" t="n">
        <f aca="false">-(Y199-X199)</f>
        <v>-0</v>
      </c>
      <c r="Z200" s="70" t="n">
        <f aca="false">-(Z199-Y199)</f>
        <v>-0</v>
      </c>
      <c r="AA200" s="70" t="n">
        <f aca="false">-(AA199-Z199)</f>
        <v>-0</v>
      </c>
      <c r="AB200" s="70" t="n">
        <f aca="false">-(AB199-AA199)</f>
        <v>-0</v>
      </c>
    </row>
    <row r="201" customFormat="false" ht="15" hidden="false" customHeight="false" outlineLevel="0" collapsed="false">
      <c r="A201" s="67" t="s">
        <v>748</v>
      </c>
      <c r="B201" s="68" t="s">
        <v>749</v>
      </c>
      <c r="C201" s="69" t="n">
        <f aca="false">SUM(E201:P201)</f>
        <v>67530</v>
      </c>
      <c r="D201" s="69" t="n">
        <f aca="false">SUM(Q201:AB201)</f>
        <v>0</v>
      </c>
      <c r="E201" s="69" t="n">
        <f aca="false">E198-E189+E200</f>
        <v>0</v>
      </c>
      <c r="F201" s="69" t="n">
        <f aca="false">F198-F189+F200</f>
        <v>0</v>
      </c>
      <c r="G201" s="69" t="n">
        <f aca="false">G198-G189+G200</f>
        <v>0</v>
      </c>
      <c r="H201" s="69" t="n">
        <f aca="false">H198-H189+H200</f>
        <v>0</v>
      </c>
      <c r="I201" s="69" t="n">
        <f aca="false">I198-I189+I200</f>
        <v>0</v>
      </c>
      <c r="J201" s="69" t="n">
        <f aca="false">J198-J189+J200</f>
        <v>0</v>
      </c>
      <c r="K201" s="69" t="n">
        <f aca="false">K198-K189+K200</f>
        <v>0</v>
      </c>
      <c r="L201" s="69" t="n">
        <f aca="false">L198-L189+L200</f>
        <v>6429.48</v>
      </c>
      <c r="M201" s="69" t="n">
        <f aca="false">M198-M189+M200</f>
        <v>17085.3194136342</v>
      </c>
      <c r="N201" s="69" t="n">
        <f aca="false">N198-N189+N200</f>
        <v>20105.7089098214</v>
      </c>
      <c r="O201" s="69" t="n">
        <f aca="false">O198-O189+O200</f>
        <v>16845.3236812018</v>
      </c>
      <c r="P201" s="69" t="n">
        <f aca="false">P198-P189+P200</f>
        <v>7064.16799534267</v>
      </c>
      <c r="Q201" s="69" t="n">
        <f aca="false">Q198-Q189+Q200</f>
        <v>0</v>
      </c>
      <c r="R201" s="69" t="n">
        <f aca="false">R198-R189+R200</f>
        <v>0</v>
      </c>
      <c r="S201" s="69" t="n">
        <f aca="false">S198-S189+S200</f>
        <v>0</v>
      </c>
      <c r="T201" s="69" t="n">
        <f aca="false">T198-T189+T200</f>
        <v>0</v>
      </c>
      <c r="U201" s="69" t="n">
        <f aca="false">U198-U189+U200</f>
        <v>0</v>
      </c>
      <c r="V201" s="69" t="n">
        <f aca="false">V198-V189+V200</f>
        <v>0</v>
      </c>
      <c r="W201" s="69" t="n">
        <f aca="false">W198-W189+W200</f>
        <v>0</v>
      </c>
      <c r="X201" s="69" t="n">
        <f aca="false">X198-X189+X200</f>
        <v>0</v>
      </c>
      <c r="Y201" s="69" t="n">
        <f aca="false">Y198-Y189+Y200</f>
        <v>0</v>
      </c>
      <c r="Z201" s="69" t="n">
        <f aca="false">Z198-Z189+Z200</f>
        <v>0</v>
      </c>
      <c r="AA201" s="69" t="n">
        <f aca="false">AA198-AA189+AA200</f>
        <v>0</v>
      </c>
      <c r="AB201" s="69" t="n">
        <f aca="false">AB198-AB189+AB200</f>
        <v>0</v>
      </c>
    </row>
    <row r="202" customFormat="false" ht="15" hidden="false" customHeight="false" outlineLevel="0" collapsed="false">
      <c r="A202" s="27" t="s">
        <v>750</v>
      </c>
      <c r="B202" s="56"/>
      <c r="C202" s="57" t="n">
        <f aca="false">P202</f>
        <v>400530</v>
      </c>
      <c r="D202" s="57" t="n">
        <f aca="false">AB202</f>
        <v>400530</v>
      </c>
      <c r="E202" s="58" t="n">
        <f aca="false">Project_Register!$AO$11+E193+Assumptions!$F$121*E195</f>
        <v>390000</v>
      </c>
      <c r="F202" s="58" t="n">
        <f aca="false">Project_Register!$AO$11+F193+Assumptions!$F$121*F195</f>
        <v>390000</v>
      </c>
      <c r="G202" s="58" t="n">
        <f aca="false">Project_Register!$AO$11+G193+Assumptions!$F$121*G195</f>
        <v>390000</v>
      </c>
      <c r="H202" s="58" t="n">
        <f aca="false">Project_Register!$AO$11+H193+Assumptions!$F$121*H195</f>
        <v>390000</v>
      </c>
      <c r="I202" s="58" t="n">
        <f aca="false">Project_Register!$AO$11+I193+Assumptions!$F$121*I195</f>
        <v>390000</v>
      </c>
      <c r="J202" s="58" t="n">
        <f aca="false">Project_Register!$AO$11+J193+Assumptions!$F$121*J195</f>
        <v>390000</v>
      </c>
      <c r="K202" s="58" t="n">
        <f aca="false">Project_Register!$AO$11+K193+Assumptions!$F$121*K195</f>
        <v>390000</v>
      </c>
      <c r="L202" s="58" t="n">
        <f aca="false">Project_Register!$AO$11+L193+Assumptions!$F$121*L195</f>
        <v>390000</v>
      </c>
      <c r="M202" s="58" t="n">
        <f aca="false">Project_Register!$AO$11+M193+Assumptions!$F$121*M195</f>
        <v>400530</v>
      </c>
      <c r="N202" s="58" t="n">
        <f aca="false">Project_Register!$AO$11+N193+Assumptions!$F$121*N195</f>
        <v>400530</v>
      </c>
      <c r="O202" s="58" t="n">
        <f aca="false">Project_Register!$AO$11+O193+Assumptions!$F$121*O195</f>
        <v>400530</v>
      </c>
      <c r="P202" s="58" t="n">
        <f aca="false">Project_Register!$AO$11+P193+Assumptions!$F$121*P195</f>
        <v>400530</v>
      </c>
      <c r="Q202" s="58" t="n">
        <f aca="false">Project_Register!$AO$11+Q193+Assumptions!$F$121*Q195</f>
        <v>400530</v>
      </c>
      <c r="R202" s="58" t="n">
        <f aca="false">Project_Register!$AO$11+R193+Assumptions!$F$121*R195</f>
        <v>400530</v>
      </c>
      <c r="S202" s="58" t="n">
        <f aca="false">Project_Register!$AO$11+S193+Assumptions!$F$121*S195</f>
        <v>400530</v>
      </c>
      <c r="T202" s="58" t="n">
        <f aca="false">Project_Register!$AO$11+T193+Assumptions!$F$121*T195</f>
        <v>400530</v>
      </c>
      <c r="U202" s="58" t="n">
        <f aca="false">Project_Register!$AO$11+U193+Assumptions!$F$121*U195</f>
        <v>400530</v>
      </c>
      <c r="V202" s="58" t="n">
        <f aca="false">Project_Register!$AO$11+V193+Assumptions!$F$121*V195</f>
        <v>400530</v>
      </c>
      <c r="W202" s="58" t="n">
        <f aca="false">Project_Register!$AO$11+W193+Assumptions!$F$121*W195</f>
        <v>400530</v>
      </c>
      <c r="X202" s="58" t="n">
        <f aca="false">Project_Register!$AO$11+X193+Assumptions!$F$121*X195</f>
        <v>400530</v>
      </c>
      <c r="Y202" s="58" t="n">
        <f aca="false">Project_Register!$AO$11+Y193+Assumptions!$F$121*Y195</f>
        <v>400530</v>
      </c>
      <c r="Z202" s="58" t="n">
        <f aca="false">Project_Register!$AO$11+Z193+Assumptions!$F$121*Z195</f>
        <v>400530</v>
      </c>
      <c r="AA202" s="58" t="n">
        <f aca="false">Project_Register!$AO$11+AA193+Assumptions!$F$121*AA195</f>
        <v>400530</v>
      </c>
      <c r="AB202" s="58" t="n">
        <f aca="false">Project_Register!$AO$11+AB193+Assumptions!$F$121*AB195</f>
        <v>400530</v>
      </c>
    </row>
    <row r="203" customFormat="false" ht="15" hidden="false" customHeight="false" outlineLevel="0" collapsed="false">
      <c r="A203" s="27" t="s">
        <v>751</v>
      </c>
      <c r="B203" s="56" t="s">
        <v>752</v>
      </c>
      <c r="C203" s="57" t="n">
        <f aca="false">P203</f>
        <v>358631.418522515</v>
      </c>
      <c r="D203" s="57" t="n">
        <f aca="false">AB203</f>
        <v>400530</v>
      </c>
      <c r="E203" s="58" t="n">
        <f aca="false">IF(E$5="A",Project_Register!$AE$11+Inputs_Actuals!E52,IF(Assumptions!E$96&gt;=Project_Register!$AM$11,E202,MIN(E202,MAX(Project_Register!$AE$11,0*E202))))</f>
        <v>0</v>
      </c>
      <c r="F203" s="58" t="n">
        <f aca="false">IF(F$5="A",E203+Inputs_Actuals!F52,IF(Assumptions!F$96&gt;=Project_Register!$AM$11,F202,MIN(F202,MAX(E203,E192*F202))))</f>
        <v>0</v>
      </c>
      <c r="G203" s="58" t="n">
        <f aca="false">IF(G$5="A",F203+Inputs_Actuals!G52,IF(Assumptions!G$96&gt;=Project_Register!$AM$11,G202,MIN(G202,MAX(F203,F192*G202))))</f>
        <v>0</v>
      </c>
      <c r="H203" s="58" t="n">
        <f aca="false">IF(H$5="A",G203+Inputs_Actuals!H52,IF(Assumptions!H$96&gt;=Project_Register!$AM$11,H202,MIN(H202,MAX(G203,G192*H202))))</f>
        <v>0</v>
      </c>
      <c r="I203" s="58" t="n">
        <f aca="false">IF(I$5="A",H203+Inputs_Actuals!I52,IF(Assumptions!I$96&gt;=Project_Register!$AM$11,I202,MIN(I202,MAX(H203,H192*I202))))</f>
        <v>0</v>
      </c>
      <c r="J203" s="58" t="n">
        <f aca="false">IF(J$5="A",I203+Inputs_Actuals!J52,IF(Assumptions!J$96&gt;=Project_Register!$AM$11,J202,MIN(J202,MAX(I203,I192*J202))))</f>
        <v>0</v>
      </c>
      <c r="K203" s="58" t="n">
        <f aca="false">IF(K$5="A",J203+Inputs_Actuals!K52,IF(Assumptions!K$96&gt;=Project_Register!$AM$11,K202,MIN(K202,MAX(J203,J192*K202))))</f>
        <v>0</v>
      </c>
      <c r="L203" s="58" t="n">
        <f aca="false">IF(L$5="A",K203+Inputs_Actuals!L52,IF(Assumptions!L$96&gt;=Project_Register!$AM$11,L202,MIN(L202,MAX(K203,K192*L202))))</f>
        <v>0</v>
      </c>
      <c r="M203" s="58" t="n">
        <f aca="false">IF(M$5="A",L203+Inputs_Actuals!M52,IF(Assumptions!M$96&gt;=Project_Register!$AM$11,M202,MIN(M202,MAX(L203,L192*M202))))</f>
        <v>39557.6057324324</v>
      </c>
      <c r="N203" s="58" t="n">
        <f aca="false">IF(N$5="A",M203+Inputs_Actuals!N52,IF(Assumptions!N$96&gt;=Project_Register!$AM$11,N202,MIN(N202,MAX(M203,M192*N202))))</f>
        <v>139469.607717206</v>
      </c>
      <c r="O203" s="58" t="n">
        <f aca="false">IF(O$5="A",N203+Inputs_Actuals!O52,IF(Assumptions!O$96&gt;=Project_Register!$AM$11,O202,MIN(O202,MAX(N203,N192*O202))))</f>
        <v>258719.416537741</v>
      </c>
      <c r="P203" s="58" t="n">
        <f aca="false">IF(P$5="A",O203+Inputs_Actuals!P52,IF(Assumptions!P$96&gt;=Project_Register!$AM$11,P202,MIN(P202,MAX(O203,O192*P202))))</f>
        <v>358631.418522515</v>
      </c>
      <c r="Q203" s="58" t="n">
        <f aca="false">IF(Q$5="A",P203+Inputs_Actuals!Q52,IF(Assumptions!Q$96&gt;=Project_Register!$AM$11,Q202,MIN(Q202,MAX(P203,P192*Q202))))</f>
        <v>400530</v>
      </c>
      <c r="R203" s="58" t="n">
        <f aca="false">IF(R$5="A",Q203+Inputs_Actuals!R52,IF(Assumptions!R$96&gt;=Project_Register!$AM$11,R202,MIN(R202,MAX(Q203,Q192*R202))))</f>
        <v>400530</v>
      </c>
      <c r="S203" s="58" t="n">
        <f aca="false">IF(S$5="A",R203+Inputs_Actuals!S52,IF(Assumptions!S$96&gt;=Project_Register!$AM$11,S202,MIN(S202,MAX(R203,R192*S202))))</f>
        <v>400530</v>
      </c>
      <c r="T203" s="58" t="n">
        <f aca="false">IF(T$5="A",S203+Inputs_Actuals!T52,IF(Assumptions!T$96&gt;=Project_Register!$AM$11,T202,MIN(T202,MAX(S203,S192*T202))))</f>
        <v>400530</v>
      </c>
      <c r="U203" s="58" t="n">
        <f aca="false">IF(U$5="A",T203+Inputs_Actuals!U52,IF(Assumptions!U$96&gt;=Project_Register!$AM$11,U202,MIN(U202,MAX(T203,T192*U202))))</f>
        <v>400530</v>
      </c>
      <c r="V203" s="58" t="n">
        <f aca="false">IF(V$5="A",U203+Inputs_Actuals!V52,IF(Assumptions!V$96&gt;=Project_Register!$AM$11,V202,MIN(V202,MAX(U203,U192*V202))))</f>
        <v>400530</v>
      </c>
      <c r="W203" s="58" t="n">
        <f aca="false">IF(W$5="A",V203+Inputs_Actuals!W52,IF(Assumptions!W$96&gt;=Project_Register!$AM$11,W202,MIN(W202,MAX(V203,V192*W202))))</f>
        <v>400530</v>
      </c>
      <c r="X203" s="58" t="n">
        <f aca="false">IF(X$5="A",W203+Inputs_Actuals!X52,IF(Assumptions!X$96&gt;=Project_Register!$AM$11,X202,MIN(X202,MAX(W203,W192*X202))))</f>
        <v>400530</v>
      </c>
      <c r="Y203" s="58" t="n">
        <f aca="false">IF(Y$5="A",X203+Inputs_Actuals!Y52,IF(Assumptions!Y$96&gt;=Project_Register!$AM$11,Y202,MIN(Y202,MAX(X203,X192*Y202))))</f>
        <v>400530</v>
      </c>
      <c r="Z203" s="58" t="n">
        <f aca="false">IF(Z$5="A",Y203+Inputs_Actuals!Z52,IF(Assumptions!Z$96&gt;=Project_Register!$AM$11,Z202,MIN(Z202,MAX(Y203,Y192*Z202))))</f>
        <v>400530</v>
      </c>
      <c r="AA203" s="58" t="n">
        <f aca="false">IF(AA$5="A",Z203+Inputs_Actuals!AA52,IF(Assumptions!AA$96&gt;=Project_Register!$AM$11,AA202,MIN(AA202,MAX(Z203,Z192*AA202))))</f>
        <v>400530</v>
      </c>
      <c r="AB203" s="58" t="n">
        <f aca="false">IF(AB$5="A",AA203+Inputs_Actuals!AB52,IF(Assumptions!AB$96&gt;=Project_Register!$AM$11,AB202,MIN(AB202,MAX(AA203,AA192*AB202))))</f>
        <v>400530</v>
      </c>
    </row>
    <row r="204" customFormat="false" ht="15" hidden="false" customHeight="false" outlineLevel="0" collapsed="false">
      <c r="A204" s="27" t="s">
        <v>753</v>
      </c>
      <c r="B204" s="56"/>
      <c r="C204" s="57" t="n">
        <f aca="false">SUM(E204:P204)</f>
        <v>358631.418522515</v>
      </c>
      <c r="D204" s="57" t="n">
        <f aca="false">SUM(Q204:AB204)</f>
        <v>41898.5814774855</v>
      </c>
      <c r="E204" s="58" t="n">
        <f aca="false">E203-Project_Register!$AE$11</f>
        <v>0</v>
      </c>
      <c r="F204" s="70" t="n">
        <f aca="false">F203-E203</f>
        <v>0</v>
      </c>
      <c r="G204" s="70" t="n">
        <f aca="false">G203-F203</f>
        <v>0</v>
      </c>
      <c r="H204" s="70" t="n">
        <f aca="false">H203-G203</f>
        <v>0</v>
      </c>
      <c r="I204" s="70" t="n">
        <f aca="false">I203-H203</f>
        <v>0</v>
      </c>
      <c r="J204" s="70" t="n">
        <f aca="false">J203-I203</f>
        <v>0</v>
      </c>
      <c r="K204" s="70" t="n">
        <f aca="false">K203-J203</f>
        <v>0</v>
      </c>
      <c r="L204" s="70" t="n">
        <f aca="false">L203-K203</f>
        <v>0</v>
      </c>
      <c r="M204" s="70" t="n">
        <f aca="false">M203-L203</f>
        <v>39557.6057324324</v>
      </c>
      <c r="N204" s="70" t="n">
        <f aca="false">N203-M203</f>
        <v>99912.0019847732</v>
      </c>
      <c r="O204" s="70" t="n">
        <f aca="false">O203-N203</f>
        <v>119249.808820536</v>
      </c>
      <c r="P204" s="70" t="n">
        <f aca="false">P203-O203</f>
        <v>99912.0019847732</v>
      </c>
      <c r="Q204" s="70" t="n">
        <f aca="false">Q203-P203</f>
        <v>41898.5814774855</v>
      </c>
      <c r="R204" s="70" t="n">
        <f aca="false">R203-Q203</f>
        <v>0</v>
      </c>
      <c r="S204" s="70" t="n">
        <f aca="false">S203-R203</f>
        <v>0</v>
      </c>
      <c r="T204" s="70" t="n">
        <f aca="false">T203-S203</f>
        <v>0</v>
      </c>
      <c r="U204" s="70" t="n">
        <f aca="false">U203-T203</f>
        <v>0</v>
      </c>
      <c r="V204" s="70" t="n">
        <f aca="false">V203-U203</f>
        <v>0</v>
      </c>
      <c r="W204" s="70" t="n">
        <f aca="false">W203-V203</f>
        <v>0</v>
      </c>
      <c r="X204" s="70" t="n">
        <f aca="false">X203-W203</f>
        <v>0</v>
      </c>
      <c r="Y204" s="70" t="n">
        <f aca="false">Y203-X203</f>
        <v>0</v>
      </c>
      <c r="Z204" s="70" t="n">
        <f aca="false">Z203-Y203</f>
        <v>0</v>
      </c>
      <c r="AA204" s="70" t="n">
        <f aca="false">AA203-Z203</f>
        <v>0</v>
      </c>
      <c r="AB204" s="70" t="n">
        <f aca="false">AB203-AA203</f>
        <v>0</v>
      </c>
    </row>
    <row r="205" customFormat="false" ht="15" hidden="false" customHeight="false" outlineLevel="0" collapsed="false">
      <c r="A205" s="27" t="s">
        <v>754</v>
      </c>
      <c r="B205" s="56" t="s">
        <v>755</v>
      </c>
      <c r="C205" s="57" t="n">
        <f aca="false">P205</f>
        <v>17931.5709261257</v>
      </c>
      <c r="D205" s="57" t="n">
        <f aca="false">AB205</f>
        <v>10013.25</v>
      </c>
      <c r="E205" s="58" t="n">
        <f aca="false">Project_Register!$Q$11*E203*(1-Project_Register!$R$11*(Assumptions!E$96&gt;=Project_Register!$AK$11+1)-(1-Project_Register!$R$11)*(Assumptions!E$96&gt;=Project_Register!$AN$11))</f>
        <v>0</v>
      </c>
      <c r="F205" s="58" t="n">
        <f aca="false">Project_Register!$Q$11*F203*(1-Project_Register!$R$11*(Assumptions!F$96&gt;=Project_Register!$AK$11+1)-(1-Project_Register!$R$11)*(Assumptions!F$96&gt;=Project_Register!$AN$11))</f>
        <v>0</v>
      </c>
      <c r="G205" s="58" t="n">
        <f aca="false">Project_Register!$Q$11*G203*(1-Project_Register!$R$11*(Assumptions!G$96&gt;=Project_Register!$AK$11+1)-(1-Project_Register!$R$11)*(Assumptions!G$96&gt;=Project_Register!$AN$11))</f>
        <v>0</v>
      </c>
      <c r="H205" s="58" t="n">
        <f aca="false">Project_Register!$Q$11*H203*(1-Project_Register!$R$11*(Assumptions!H$96&gt;=Project_Register!$AK$11+1)-(1-Project_Register!$R$11)*(Assumptions!H$96&gt;=Project_Register!$AN$11))</f>
        <v>0</v>
      </c>
      <c r="I205" s="58" t="n">
        <f aca="false">Project_Register!$Q$11*I203*(1-Project_Register!$R$11*(Assumptions!I$96&gt;=Project_Register!$AK$11+1)-(1-Project_Register!$R$11)*(Assumptions!I$96&gt;=Project_Register!$AN$11))</f>
        <v>0</v>
      </c>
      <c r="J205" s="58" t="n">
        <f aca="false">Project_Register!$Q$11*J203*(1-Project_Register!$R$11*(Assumptions!J$96&gt;=Project_Register!$AK$11+1)-(1-Project_Register!$R$11)*(Assumptions!J$96&gt;=Project_Register!$AN$11))</f>
        <v>0</v>
      </c>
      <c r="K205" s="58" t="n">
        <f aca="false">Project_Register!$Q$11*K203*(1-Project_Register!$R$11*(Assumptions!K$96&gt;=Project_Register!$AK$11+1)-(1-Project_Register!$R$11)*(Assumptions!K$96&gt;=Project_Register!$AN$11))</f>
        <v>0</v>
      </c>
      <c r="L205" s="58" t="n">
        <f aca="false">Project_Register!$Q$11*L203*(1-Project_Register!$R$11*(Assumptions!L$96&gt;=Project_Register!$AK$11+1)-(1-Project_Register!$R$11)*(Assumptions!L$96&gt;=Project_Register!$AN$11))</f>
        <v>0</v>
      </c>
      <c r="M205" s="58" t="n">
        <f aca="false">Project_Register!$Q$11*M203*(1-Project_Register!$R$11*(Assumptions!M$96&gt;=Project_Register!$AK$11+1)-(1-Project_Register!$R$11)*(Assumptions!M$96&gt;=Project_Register!$AN$11))</f>
        <v>1977.88028662162</v>
      </c>
      <c r="N205" s="58" t="n">
        <f aca="false">Project_Register!$Q$11*N203*(1-Project_Register!$R$11*(Assumptions!N$96&gt;=Project_Register!$AK$11+1)-(1-Project_Register!$R$11)*(Assumptions!N$96&gt;=Project_Register!$AN$11))</f>
        <v>6973.48038586028</v>
      </c>
      <c r="O205" s="58" t="n">
        <f aca="false">Project_Register!$Q$11*O203*(1-Project_Register!$R$11*(Assumptions!O$96&gt;=Project_Register!$AK$11+1)-(1-Project_Register!$R$11)*(Assumptions!O$96&gt;=Project_Register!$AN$11))</f>
        <v>12935.9708268871</v>
      </c>
      <c r="P205" s="58" t="n">
        <f aca="false">Project_Register!$Q$11*P203*(1-Project_Register!$R$11*(Assumptions!P$96&gt;=Project_Register!$AK$11+1)-(1-Project_Register!$R$11)*(Assumptions!P$96&gt;=Project_Register!$AN$11))</f>
        <v>17931.5709261257</v>
      </c>
      <c r="Q205" s="58" t="n">
        <f aca="false">Project_Register!$Q$11*Q203*(1-Project_Register!$R$11*(Assumptions!Q$96&gt;=Project_Register!$AK$11+1)-(1-Project_Register!$R$11)*(Assumptions!Q$96&gt;=Project_Register!$AN$11))</f>
        <v>10013.25</v>
      </c>
      <c r="R205" s="58" t="n">
        <f aca="false">Project_Register!$Q$11*R203*(1-Project_Register!$R$11*(Assumptions!R$96&gt;=Project_Register!$AK$11+1)-(1-Project_Register!$R$11)*(Assumptions!R$96&gt;=Project_Register!$AN$11))</f>
        <v>10013.25</v>
      </c>
      <c r="S205" s="58" t="n">
        <f aca="false">Project_Register!$Q$11*S203*(1-Project_Register!$R$11*(Assumptions!S$96&gt;=Project_Register!$AK$11+1)-(1-Project_Register!$R$11)*(Assumptions!S$96&gt;=Project_Register!$AN$11))</f>
        <v>10013.25</v>
      </c>
      <c r="T205" s="58" t="n">
        <f aca="false">Project_Register!$Q$11*T203*(1-Project_Register!$R$11*(Assumptions!T$96&gt;=Project_Register!$AK$11+1)-(1-Project_Register!$R$11)*(Assumptions!T$96&gt;=Project_Register!$AN$11))</f>
        <v>10013.25</v>
      </c>
      <c r="U205" s="58" t="n">
        <f aca="false">Project_Register!$Q$11*U203*(1-Project_Register!$R$11*(Assumptions!U$96&gt;=Project_Register!$AK$11+1)-(1-Project_Register!$R$11)*(Assumptions!U$96&gt;=Project_Register!$AN$11))</f>
        <v>10013.25</v>
      </c>
      <c r="V205" s="58" t="n">
        <f aca="false">Project_Register!$Q$11*V203*(1-Project_Register!$R$11*(Assumptions!V$96&gt;=Project_Register!$AK$11+1)-(1-Project_Register!$R$11)*(Assumptions!V$96&gt;=Project_Register!$AN$11))</f>
        <v>10013.25</v>
      </c>
      <c r="W205" s="58" t="n">
        <f aca="false">Project_Register!$Q$11*W203*(1-Project_Register!$R$11*(Assumptions!W$96&gt;=Project_Register!$AK$11+1)-(1-Project_Register!$R$11)*(Assumptions!W$96&gt;=Project_Register!$AN$11))</f>
        <v>10013.25</v>
      </c>
      <c r="X205" s="58" t="n">
        <f aca="false">Project_Register!$Q$11*X203*(1-Project_Register!$R$11*(Assumptions!X$96&gt;=Project_Register!$AK$11+1)-(1-Project_Register!$R$11)*(Assumptions!X$96&gt;=Project_Register!$AN$11))</f>
        <v>10013.25</v>
      </c>
      <c r="Y205" s="58" t="n">
        <f aca="false">Project_Register!$Q$11*Y203*(1-Project_Register!$R$11*(Assumptions!Y$96&gt;=Project_Register!$AK$11+1)-(1-Project_Register!$R$11)*(Assumptions!Y$96&gt;=Project_Register!$AN$11))</f>
        <v>10013.25</v>
      </c>
      <c r="Z205" s="58" t="n">
        <f aca="false">Project_Register!$Q$11*Z203*(1-Project_Register!$R$11*(Assumptions!Z$96&gt;=Project_Register!$AK$11+1)-(1-Project_Register!$R$11)*(Assumptions!Z$96&gt;=Project_Register!$AN$11))</f>
        <v>10013.25</v>
      </c>
      <c r="AA205" s="58" t="n">
        <f aca="false">Project_Register!$Q$11*AA203*(1-Project_Register!$R$11*(Assumptions!AA$96&gt;=Project_Register!$AK$11+1)-(1-Project_Register!$R$11)*(Assumptions!AA$96&gt;=Project_Register!$AN$11))</f>
        <v>10013.25</v>
      </c>
      <c r="AB205" s="58" t="n">
        <f aca="false">Project_Register!$Q$11*AB203*(1-Project_Register!$R$11*(Assumptions!AB$96&gt;=Project_Register!$AK$11+1)-(1-Project_Register!$R$11)*(Assumptions!AB$96&gt;=Project_Register!$AN$11))</f>
        <v>10013.25</v>
      </c>
    </row>
    <row r="206" customFormat="false" ht="15" hidden="false" customHeight="false" outlineLevel="0" collapsed="false">
      <c r="A206" s="27" t="s">
        <v>756</v>
      </c>
      <c r="B206" s="56"/>
      <c r="C206" s="57" t="n">
        <f aca="false">SUM(E206:P206)</f>
        <v>17931.5709261257</v>
      </c>
      <c r="D206" s="57" t="n">
        <f aca="false">SUM(Q206:AB206)</f>
        <v>-7918.32092612573</v>
      </c>
      <c r="E206" s="58" t="n">
        <f aca="false">E205-Project_Register!$AW$11</f>
        <v>0</v>
      </c>
      <c r="F206" s="70" t="n">
        <f aca="false">F205-E205</f>
        <v>0</v>
      </c>
      <c r="G206" s="70" t="n">
        <f aca="false">G205-F205</f>
        <v>0</v>
      </c>
      <c r="H206" s="70" t="n">
        <f aca="false">H205-G205</f>
        <v>0</v>
      </c>
      <c r="I206" s="70" t="n">
        <f aca="false">I205-H205</f>
        <v>0</v>
      </c>
      <c r="J206" s="70" t="n">
        <f aca="false">J205-I205</f>
        <v>0</v>
      </c>
      <c r="K206" s="70" t="n">
        <f aca="false">K205-J205</f>
        <v>0</v>
      </c>
      <c r="L206" s="70" t="n">
        <f aca="false">L205-K205</f>
        <v>0</v>
      </c>
      <c r="M206" s="70" t="n">
        <f aca="false">M205-L205</f>
        <v>1977.88028662162</v>
      </c>
      <c r="N206" s="70" t="n">
        <f aca="false">N205-M205</f>
        <v>4995.60009923866</v>
      </c>
      <c r="O206" s="70" t="n">
        <f aca="false">O205-N205</f>
        <v>5962.49044102679</v>
      </c>
      <c r="P206" s="70" t="n">
        <f aca="false">P205-O205</f>
        <v>4995.60009923866</v>
      </c>
      <c r="Q206" s="70" t="n">
        <f aca="false">Q205-P205</f>
        <v>-7918.32092612573</v>
      </c>
      <c r="R206" s="70" t="n">
        <f aca="false">R205-Q205</f>
        <v>0</v>
      </c>
      <c r="S206" s="70" t="n">
        <f aca="false">S205-R205</f>
        <v>0</v>
      </c>
      <c r="T206" s="70" t="n">
        <f aca="false">T205-S205</f>
        <v>0</v>
      </c>
      <c r="U206" s="70" t="n">
        <f aca="false">U205-T205</f>
        <v>0</v>
      </c>
      <c r="V206" s="70" t="n">
        <f aca="false">V205-U205</f>
        <v>0</v>
      </c>
      <c r="W206" s="70" t="n">
        <f aca="false">W205-V205</f>
        <v>0</v>
      </c>
      <c r="X206" s="70" t="n">
        <f aca="false">X205-W205</f>
        <v>0</v>
      </c>
      <c r="Y206" s="70" t="n">
        <f aca="false">Y205-X205</f>
        <v>0</v>
      </c>
      <c r="Z206" s="70" t="n">
        <f aca="false">Z205-Y205</f>
        <v>0</v>
      </c>
      <c r="AA206" s="70" t="n">
        <f aca="false">AA205-Z205</f>
        <v>0</v>
      </c>
      <c r="AB206" s="70" t="n">
        <f aca="false">AB205-AA205</f>
        <v>0</v>
      </c>
    </row>
    <row r="207" customFormat="false" ht="15" hidden="false" customHeight="false" outlineLevel="0" collapsed="false">
      <c r="A207" s="27" t="s">
        <v>757</v>
      </c>
      <c r="B207" s="56"/>
      <c r="C207" s="57" t="n">
        <f aca="false">SUM(E207:P207)</f>
        <v>340699.847596389</v>
      </c>
      <c r="D207" s="57" t="n">
        <f aca="false">SUM(Q207:AB207)</f>
        <v>49816.9024036112</v>
      </c>
      <c r="E207" s="70" t="n">
        <f aca="false">E204-E206</f>
        <v>0</v>
      </c>
      <c r="F207" s="70" t="n">
        <f aca="false">F204-F206</f>
        <v>0</v>
      </c>
      <c r="G207" s="70" t="n">
        <f aca="false">G204-G206</f>
        <v>0</v>
      </c>
      <c r="H207" s="70" t="n">
        <f aca="false">H204-H206</f>
        <v>0</v>
      </c>
      <c r="I207" s="70" t="n">
        <f aca="false">I204-I206</f>
        <v>0</v>
      </c>
      <c r="J207" s="70" t="n">
        <f aca="false">J204-J206</f>
        <v>0</v>
      </c>
      <c r="K207" s="70" t="n">
        <f aca="false">K204-K206</f>
        <v>0</v>
      </c>
      <c r="L207" s="70" t="n">
        <f aca="false">L204-L206</f>
        <v>0</v>
      </c>
      <c r="M207" s="70" t="n">
        <f aca="false">M204-M206</f>
        <v>37579.7254458108</v>
      </c>
      <c r="N207" s="70" t="n">
        <f aca="false">N204-N206</f>
        <v>94916.4018855346</v>
      </c>
      <c r="O207" s="70" t="n">
        <f aca="false">O204-O206</f>
        <v>113287.318379509</v>
      </c>
      <c r="P207" s="70" t="n">
        <f aca="false">P204-P206</f>
        <v>94916.4018855345</v>
      </c>
      <c r="Q207" s="70" t="n">
        <f aca="false">Q204-Q206</f>
        <v>49816.9024036112</v>
      </c>
      <c r="R207" s="70" t="n">
        <f aca="false">R204-R206</f>
        <v>0</v>
      </c>
      <c r="S207" s="70" t="n">
        <f aca="false">S204-S206</f>
        <v>0</v>
      </c>
      <c r="T207" s="70" t="n">
        <f aca="false">T204-T206</f>
        <v>0</v>
      </c>
      <c r="U207" s="70" t="n">
        <f aca="false">U204-U206</f>
        <v>0</v>
      </c>
      <c r="V207" s="70" t="n">
        <f aca="false">V204-V206</f>
        <v>0</v>
      </c>
      <c r="W207" s="70" t="n">
        <f aca="false">W204-W206</f>
        <v>0</v>
      </c>
      <c r="X207" s="70" t="n">
        <f aca="false">X204-X206</f>
        <v>0</v>
      </c>
      <c r="Y207" s="70" t="n">
        <f aca="false">Y204-Y206</f>
        <v>0</v>
      </c>
      <c r="Z207" s="70" t="n">
        <f aca="false">Z204-Z206</f>
        <v>0</v>
      </c>
      <c r="AA207" s="70" t="n">
        <f aca="false">AA204-AA206</f>
        <v>0</v>
      </c>
      <c r="AB207" s="70" t="n">
        <f aca="false">AB204-AB206</f>
        <v>0</v>
      </c>
    </row>
    <row r="208" customFormat="false" ht="15" hidden="false" customHeight="false" outlineLevel="0" collapsed="false">
      <c r="A208" s="27" t="s">
        <v>758</v>
      </c>
      <c r="B208" s="56" t="s">
        <v>759</v>
      </c>
      <c r="C208" s="57" t="n">
        <f aca="false">SUM(E208:P208)</f>
        <v>45994.4794255125</v>
      </c>
      <c r="D208" s="57" t="n">
        <f aca="false">SUM(Q208:AB208)</f>
        <v>6725.28182448751</v>
      </c>
      <c r="E208" s="58" t="n">
        <f aca="false">E207*Project_Register!$W$11</f>
        <v>0</v>
      </c>
      <c r="F208" s="58" t="n">
        <f aca="false">F207*Project_Register!$W$11</f>
        <v>0</v>
      </c>
      <c r="G208" s="58" t="n">
        <f aca="false">G207*Project_Register!$W$11</f>
        <v>0</v>
      </c>
      <c r="H208" s="58" t="n">
        <f aca="false">H207*Project_Register!$W$11</f>
        <v>0</v>
      </c>
      <c r="I208" s="58" t="n">
        <f aca="false">I207*Project_Register!$W$11</f>
        <v>0</v>
      </c>
      <c r="J208" s="58" t="n">
        <f aca="false">J207*Project_Register!$W$11</f>
        <v>0</v>
      </c>
      <c r="K208" s="58" t="n">
        <f aca="false">K207*Project_Register!$W$11</f>
        <v>0</v>
      </c>
      <c r="L208" s="58" t="n">
        <f aca="false">L207*Project_Register!$W$11</f>
        <v>0</v>
      </c>
      <c r="M208" s="58" t="n">
        <f aca="false">M207*Project_Register!$W$11</f>
        <v>5073.26293518446</v>
      </c>
      <c r="N208" s="58" t="n">
        <f aca="false">N207*Project_Register!$W$11</f>
        <v>12813.7142545472</v>
      </c>
      <c r="O208" s="58" t="n">
        <f aca="false">O207*Project_Register!$W$11</f>
        <v>15293.7879812337</v>
      </c>
      <c r="P208" s="58" t="n">
        <f aca="false">P207*Project_Register!$W$11</f>
        <v>12813.7142545472</v>
      </c>
      <c r="Q208" s="58" t="n">
        <f aca="false">Q207*Project_Register!$W$11</f>
        <v>6725.28182448751</v>
      </c>
      <c r="R208" s="58" t="n">
        <f aca="false">R207*Project_Register!$W$11</f>
        <v>0</v>
      </c>
      <c r="S208" s="58" t="n">
        <f aca="false">S207*Project_Register!$W$11</f>
        <v>0</v>
      </c>
      <c r="T208" s="58" t="n">
        <f aca="false">T207*Project_Register!$W$11</f>
        <v>0</v>
      </c>
      <c r="U208" s="58" t="n">
        <f aca="false">U207*Project_Register!$W$11</f>
        <v>0</v>
      </c>
      <c r="V208" s="58" t="n">
        <f aca="false">V207*Project_Register!$W$11</f>
        <v>0</v>
      </c>
      <c r="W208" s="58" t="n">
        <f aca="false">W207*Project_Register!$W$11</f>
        <v>0</v>
      </c>
      <c r="X208" s="58" t="n">
        <f aca="false">X207*Project_Register!$W$11</f>
        <v>0</v>
      </c>
      <c r="Y208" s="58" t="n">
        <f aca="false">Y207*Project_Register!$W$11</f>
        <v>0</v>
      </c>
      <c r="Z208" s="58" t="n">
        <f aca="false">Z207*Project_Register!$W$11</f>
        <v>0</v>
      </c>
      <c r="AA208" s="58" t="n">
        <f aca="false">AA207*Project_Register!$W$11</f>
        <v>0</v>
      </c>
      <c r="AB208" s="58" t="n">
        <f aca="false">AB207*Project_Register!$W$11</f>
        <v>0</v>
      </c>
    </row>
    <row r="209" customFormat="false" ht="15" hidden="false" customHeight="false" outlineLevel="0" collapsed="false">
      <c r="A209" s="27" t="s">
        <v>760</v>
      </c>
      <c r="B209" s="56"/>
      <c r="C209" s="57" t="n">
        <f aca="false">SUM(E209:P209)</f>
        <v>386694.327021901</v>
      </c>
      <c r="D209" s="57" t="n">
        <f aca="false">SUM(Q209:AB209)</f>
        <v>56542.1842280987</v>
      </c>
      <c r="E209" s="70" t="n">
        <f aca="false">E207+E208</f>
        <v>0</v>
      </c>
      <c r="F209" s="70" t="n">
        <f aca="false">F207+F208</f>
        <v>0</v>
      </c>
      <c r="G209" s="70" t="n">
        <f aca="false">G207+G208</f>
        <v>0</v>
      </c>
      <c r="H209" s="70" t="n">
        <f aca="false">H207+H208</f>
        <v>0</v>
      </c>
      <c r="I209" s="70" t="n">
        <f aca="false">I207+I208</f>
        <v>0</v>
      </c>
      <c r="J209" s="70" t="n">
        <f aca="false">J207+J208</f>
        <v>0</v>
      </c>
      <c r="K209" s="70" t="n">
        <f aca="false">K207+K208</f>
        <v>0</v>
      </c>
      <c r="L209" s="70" t="n">
        <f aca="false">L207+L208</f>
        <v>0</v>
      </c>
      <c r="M209" s="70" t="n">
        <f aca="false">M207+M208</f>
        <v>42652.9883809953</v>
      </c>
      <c r="N209" s="70" t="n">
        <f aca="false">N207+N208</f>
        <v>107730.116140082</v>
      </c>
      <c r="O209" s="70" t="n">
        <f aca="false">O207+O208</f>
        <v>128581.106360743</v>
      </c>
      <c r="P209" s="70" t="n">
        <f aca="false">P207+P208</f>
        <v>107730.116140082</v>
      </c>
      <c r="Q209" s="70" t="n">
        <f aca="false">Q207+Q208</f>
        <v>56542.1842280987</v>
      </c>
      <c r="R209" s="70" t="n">
        <f aca="false">R207+R208</f>
        <v>0</v>
      </c>
      <c r="S209" s="70" t="n">
        <f aca="false">S207+S208</f>
        <v>0</v>
      </c>
      <c r="T209" s="70" t="n">
        <f aca="false">T207+T208</f>
        <v>0</v>
      </c>
      <c r="U209" s="70" t="n">
        <f aca="false">U207+U208</f>
        <v>0</v>
      </c>
      <c r="V209" s="70" t="n">
        <f aca="false">V207+V208</f>
        <v>0</v>
      </c>
      <c r="W209" s="70" t="n">
        <f aca="false">W207+W208</f>
        <v>0</v>
      </c>
      <c r="X209" s="70" t="n">
        <f aca="false">X207+X208</f>
        <v>0</v>
      </c>
      <c r="Y209" s="70" t="n">
        <f aca="false">Y207+Y208</f>
        <v>0</v>
      </c>
      <c r="Z209" s="70" t="n">
        <f aca="false">Z207+Z208</f>
        <v>0</v>
      </c>
      <c r="AA209" s="70" t="n">
        <f aca="false">AA207+AA208</f>
        <v>0</v>
      </c>
      <c r="AB209" s="70" t="n">
        <f aca="false">AB207+AB208</f>
        <v>0</v>
      </c>
    </row>
    <row r="210" customFormat="false" ht="15" hidden="false" customHeight="false" outlineLevel="0" collapsed="false">
      <c r="A210" s="27" t="s">
        <v>761</v>
      </c>
      <c r="B210" s="56" t="s">
        <v>762</v>
      </c>
      <c r="C210" s="57" t="n">
        <f aca="false">SUM(E210:P210)</f>
        <v>278964.21088182</v>
      </c>
      <c r="D210" s="57" t="n">
        <f aca="false">SUM(Q210:AB210)</f>
        <v>164272.30036818</v>
      </c>
      <c r="E210" s="58" t="n">
        <f aca="false">IF(E$5="A",Inputs_Actuals!E53,Project_Register!$AF$11+E209-(E209*MIN(1,Project_Register!$AY$11/30)+0*MIN(1,MAX(0,(Project_Register!$AY$11-30)/30))))</f>
        <v>0</v>
      </c>
      <c r="F210" s="58" t="n">
        <f aca="false">IF(F$5="A",Inputs_Actuals!F53,E211+F209-(F209*MIN(1,Project_Register!$AY$11/30)+E209*MIN(1,MAX(0,(Project_Register!$AY$11-30)/30))))</f>
        <v>0</v>
      </c>
      <c r="G210" s="58" t="n">
        <f aca="false">IF(G$5="A",Inputs_Actuals!G53,F211+G209-(G209*MIN(1,Project_Register!$AY$11/30)+F209*MIN(1,MAX(0,(Project_Register!$AY$11-30)/30))))</f>
        <v>0</v>
      </c>
      <c r="H210" s="58" t="n">
        <f aca="false">IF(H$5="A",Inputs_Actuals!H53,G211+H209-(H209*MIN(1,Project_Register!$AY$11/30)+G209*MIN(1,MAX(0,(Project_Register!$AY$11-30)/30))))</f>
        <v>0</v>
      </c>
      <c r="I210" s="58" t="n">
        <f aca="false">IF(I$5="A",Inputs_Actuals!I53,H211+I209-(I209*MIN(1,Project_Register!$AY$11/30)+H209*MIN(1,MAX(0,(Project_Register!$AY$11-30)/30))))</f>
        <v>0</v>
      </c>
      <c r="J210" s="58" t="n">
        <f aca="false">IF(J$5="A",Inputs_Actuals!J53,I211+J209-(J209*MIN(1,Project_Register!$AY$11/30)+I209*MIN(1,MAX(0,(Project_Register!$AY$11-30)/30))))</f>
        <v>0</v>
      </c>
      <c r="K210" s="58" t="n">
        <f aca="false">IF(K$5="A",Inputs_Actuals!K53,J211+K209-(K209*MIN(1,Project_Register!$AY$11/30)+J209*MIN(1,MAX(0,(Project_Register!$AY$11-30)/30))))</f>
        <v>0</v>
      </c>
      <c r="L210" s="58" t="n">
        <f aca="false">IF(L$5="A",Inputs_Actuals!L53,K211+L209-(L209*MIN(1,Project_Register!$AY$11/30)+K209*MIN(1,MAX(0,(Project_Register!$AY$11-30)/30))))</f>
        <v>0</v>
      </c>
      <c r="M210" s="58" t="n">
        <f aca="false">IF(M$5="A",Inputs_Actuals!M53,L211+M209-(M209*MIN(1,Project_Register!$AY$11/30)+L209*MIN(1,MAX(0,(Project_Register!$AY$11-30)/30))))</f>
        <v>0</v>
      </c>
      <c r="N210" s="58" t="n">
        <f aca="false">IF(N$5="A",Inputs_Actuals!N53,M211+N209-(N209*MIN(1,Project_Register!$AY$11/30)+M209*MIN(1,MAX(0,(Project_Register!$AY$11-30)/30))))</f>
        <v>42652.9883809953</v>
      </c>
      <c r="O210" s="58" t="n">
        <f aca="false">IF(O$5="A",Inputs_Actuals!O53,N211+O209-(O209*MIN(1,Project_Register!$AY$11/30)+N209*MIN(1,MAX(0,(Project_Register!$AY$11-30)/30))))</f>
        <v>107730.116140082</v>
      </c>
      <c r="P210" s="58" t="n">
        <f aca="false">IF(P$5="A",Inputs_Actuals!P53,O211+P209-(P209*MIN(1,Project_Register!$AY$11/30)+O209*MIN(1,MAX(0,(Project_Register!$AY$11-30)/30))))</f>
        <v>128581.106360743</v>
      </c>
      <c r="Q210" s="58" t="n">
        <f aca="false">IF(Q$5="A",Inputs_Actuals!Q53,P211+Q209-(Q209*MIN(1,Project_Register!$AY$11/30)+P209*MIN(1,MAX(0,(Project_Register!$AY$11-30)/30))))</f>
        <v>107730.116140082</v>
      </c>
      <c r="R210" s="58" t="n">
        <f aca="false">IF(R$5="A",Inputs_Actuals!R53,Q211+R209-(R209*MIN(1,Project_Register!$AY$11/30)+Q209*MIN(1,MAX(0,(Project_Register!$AY$11-30)/30))))</f>
        <v>56542.1842280987</v>
      </c>
      <c r="S210" s="58" t="n">
        <f aca="false">IF(S$5="A",Inputs_Actuals!S53,R211+S209-(S209*MIN(1,Project_Register!$AY$11/30)+R209*MIN(1,MAX(0,(Project_Register!$AY$11-30)/30))))</f>
        <v>0</v>
      </c>
      <c r="T210" s="58" t="n">
        <f aca="false">IF(T$5="A",Inputs_Actuals!T53,S211+T209-(T209*MIN(1,Project_Register!$AY$11/30)+S209*MIN(1,MAX(0,(Project_Register!$AY$11-30)/30))))</f>
        <v>0</v>
      </c>
      <c r="U210" s="58" t="n">
        <f aca="false">IF(U$5="A",Inputs_Actuals!U53,T211+U209-(U209*MIN(1,Project_Register!$AY$11/30)+T209*MIN(1,MAX(0,(Project_Register!$AY$11-30)/30))))</f>
        <v>0</v>
      </c>
      <c r="V210" s="58" t="n">
        <f aca="false">IF(V$5="A",Inputs_Actuals!V53,U211+V209-(V209*MIN(1,Project_Register!$AY$11/30)+U209*MIN(1,MAX(0,(Project_Register!$AY$11-30)/30))))</f>
        <v>0</v>
      </c>
      <c r="W210" s="58" t="n">
        <f aca="false">IF(W$5="A",Inputs_Actuals!W53,V211+W209-(W209*MIN(1,Project_Register!$AY$11/30)+V209*MIN(1,MAX(0,(Project_Register!$AY$11-30)/30))))</f>
        <v>0</v>
      </c>
      <c r="X210" s="58" t="n">
        <f aca="false">IF(X$5="A",Inputs_Actuals!X53,W211+X209-(X209*MIN(1,Project_Register!$AY$11/30)+W209*MIN(1,MAX(0,(Project_Register!$AY$11-30)/30))))</f>
        <v>0</v>
      </c>
      <c r="Y210" s="58" t="n">
        <f aca="false">IF(Y$5="A",Inputs_Actuals!Y53,X211+Y209-(Y209*MIN(1,Project_Register!$AY$11/30)+X209*MIN(1,MAX(0,(Project_Register!$AY$11-30)/30))))</f>
        <v>0</v>
      </c>
      <c r="Z210" s="58" t="n">
        <f aca="false">IF(Z$5="A",Inputs_Actuals!Z53,Y211+Z209-(Z209*MIN(1,Project_Register!$AY$11/30)+Y209*MIN(1,MAX(0,(Project_Register!$AY$11-30)/30))))</f>
        <v>0</v>
      </c>
      <c r="AA210" s="58" t="n">
        <f aca="false">IF(AA$5="A",Inputs_Actuals!AA53,Z211+AA209-(AA209*MIN(1,Project_Register!$AY$11/30)+Z209*MIN(1,MAX(0,(Project_Register!$AY$11-30)/30))))</f>
        <v>0</v>
      </c>
      <c r="AB210" s="58" t="n">
        <f aca="false">IF(AB$5="A",Inputs_Actuals!AB53,AA211+AB209-(AB209*MIN(1,Project_Register!$AY$11/30)+AA209*MIN(1,MAX(0,(Project_Register!$AY$11-30)/30))))</f>
        <v>0</v>
      </c>
    </row>
    <row r="211" customFormat="false" ht="15" hidden="false" customHeight="false" outlineLevel="0" collapsed="false">
      <c r="A211" s="27" t="s">
        <v>763</v>
      </c>
      <c r="B211" s="56" t="s">
        <v>764</v>
      </c>
      <c r="C211" s="57" t="n">
        <f aca="false">P211</f>
        <v>107730.116140082</v>
      </c>
      <c r="D211" s="57" t="n">
        <f aca="false">AB211</f>
        <v>0</v>
      </c>
      <c r="E211" s="58" t="n">
        <f aca="false">Project_Register!$AF$11+E209-E210</f>
        <v>0</v>
      </c>
      <c r="F211" s="70" t="n">
        <f aca="false">E211+F209-F210</f>
        <v>0</v>
      </c>
      <c r="G211" s="70" t="n">
        <f aca="false">F211+G209-G210</f>
        <v>0</v>
      </c>
      <c r="H211" s="70" t="n">
        <f aca="false">G211+H209-H210</f>
        <v>0</v>
      </c>
      <c r="I211" s="70" t="n">
        <f aca="false">H211+I209-I210</f>
        <v>0</v>
      </c>
      <c r="J211" s="70" t="n">
        <f aca="false">I211+J209-J210</f>
        <v>0</v>
      </c>
      <c r="K211" s="70" t="n">
        <f aca="false">J211+K209-K210</f>
        <v>0</v>
      </c>
      <c r="L211" s="70" t="n">
        <f aca="false">K211+L209-L210</f>
        <v>0</v>
      </c>
      <c r="M211" s="70" t="n">
        <f aca="false">L211+M209-M210</f>
        <v>42652.9883809953</v>
      </c>
      <c r="N211" s="70" t="n">
        <f aca="false">M211+N209-N210</f>
        <v>107730.116140082</v>
      </c>
      <c r="O211" s="70" t="n">
        <f aca="false">N211+O209-O210</f>
        <v>128581.106360743</v>
      </c>
      <c r="P211" s="70" t="n">
        <f aca="false">O211+P209-P210</f>
        <v>107730.116140082</v>
      </c>
      <c r="Q211" s="70" t="n">
        <f aca="false">P211+Q209-Q210</f>
        <v>56542.1842280987</v>
      </c>
      <c r="R211" s="70" t="n">
        <f aca="false">Q211+R209-R210</f>
        <v>0</v>
      </c>
      <c r="S211" s="70" t="n">
        <f aca="false">R211+S209-S210</f>
        <v>0</v>
      </c>
      <c r="T211" s="70" t="n">
        <f aca="false">S211+T209-T210</f>
        <v>0</v>
      </c>
      <c r="U211" s="70" t="n">
        <f aca="false">T211+U209-U210</f>
        <v>0</v>
      </c>
      <c r="V211" s="70" t="n">
        <f aca="false">U211+V209-V210</f>
        <v>0</v>
      </c>
      <c r="W211" s="70" t="n">
        <f aca="false">V211+W209-W210</f>
        <v>0</v>
      </c>
      <c r="X211" s="70" t="n">
        <f aca="false">W211+X209-X210</f>
        <v>0</v>
      </c>
      <c r="Y211" s="70" t="n">
        <f aca="false">X211+Y209-Y210</f>
        <v>0</v>
      </c>
      <c r="Z211" s="70" t="n">
        <f aca="false">Y211+Z209-Z210</f>
        <v>0</v>
      </c>
      <c r="AA211" s="70" t="n">
        <f aca="false">Z211+AA209-AA210</f>
        <v>0</v>
      </c>
      <c r="AB211" s="70" t="n">
        <f aca="false">AA211+AB209-AB210</f>
        <v>0</v>
      </c>
    </row>
    <row r="212" customFormat="false" ht="15" hidden="false" customHeight="false" outlineLevel="0" collapsed="false">
      <c r="A212" s="27" t="s">
        <v>765</v>
      </c>
      <c r="B212" s="56" t="s">
        <v>766</v>
      </c>
      <c r="C212" s="57" t="n">
        <f aca="false">P212</f>
        <v>41898.5814774855</v>
      </c>
      <c r="D212" s="57" t="n">
        <f aca="false">AB212</f>
        <v>0</v>
      </c>
      <c r="E212" s="70" t="n">
        <f aca="false">E197-E203</f>
        <v>0</v>
      </c>
      <c r="F212" s="70" t="n">
        <f aca="false">F197-F203</f>
        <v>0</v>
      </c>
      <c r="G212" s="70" t="n">
        <f aca="false">G197-G203</f>
        <v>0</v>
      </c>
      <c r="H212" s="70" t="n">
        <f aca="false">H197-H203</f>
        <v>0</v>
      </c>
      <c r="I212" s="70" t="n">
        <f aca="false">I197-I203</f>
        <v>0</v>
      </c>
      <c r="J212" s="70" t="n">
        <f aca="false">J197-J203</f>
        <v>0</v>
      </c>
      <c r="K212" s="70" t="n">
        <f aca="false">K197-K203</f>
        <v>0</v>
      </c>
      <c r="L212" s="70" t="n">
        <f aca="false">L197-L203</f>
        <v>39317.61</v>
      </c>
      <c r="M212" s="70" t="n">
        <f aca="false">M197-M203</f>
        <v>99912.0019847732</v>
      </c>
      <c r="N212" s="70" t="n">
        <f aca="false">N197-N203</f>
        <v>119249.808820536</v>
      </c>
      <c r="O212" s="70" t="n">
        <f aca="false">O197-O203</f>
        <v>99912.0019847732</v>
      </c>
      <c r="P212" s="70" t="n">
        <f aca="false">P197-P203</f>
        <v>41898.5814774855</v>
      </c>
      <c r="Q212" s="70" t="n">
        <f aca="false">Q197-Q203</f>
        <v>0</v>
      </c>
      <c r="R212" s="70" t="n">
        <f aca="false">R197-R203</f>
        <v>0</v>
      </c>
      <c r="S212" s="70" t="n">
        <f aca="false">S197-S203</f>
        <v>0</v>
      </c>
      <c r="T212" s="70" t="n">
        <f aca="false">T197-T203</f>
        <v>0</v>
      </c>
      <c r="U212" s="70" t="n">
        <f aca="false">U197-U203</f>
        <v>0</v>
      </c>
      <c r="V212" s="70" t="n">
        <f aca="false">V197-V203</f>
        <v>0</v>
      </c>
      <c r="W212" s="70" t="n">
        <f aca="false">W197-W203</f>
        <v>0</v>
      </c>
      <c r="X212" s="70" t="n">
        <f aca="false">X197-X203</f>
        <v>0</v>
      </c>
      <c r="Y212" s="70" t="n">
        <f aca="false">Y197-Y203</f>
        <v>0</v>
      </c>
      <c r="Z212" s="70" t="n">
        <f aca="false">Z197-Z203</f>
        <v>0</v>
      </c>
      <c r="AA212" s="70" t="n">
        <f aca="false">AA197-AA203</f>
        <v>0</v>
      </c>
      <c r="AB212" s="70" t="n">
        <f aca="false">AB197-AB203</f>
        <v>0</v>
      </c>
    </row>
    <row r="213" customFormat="false" ht="15" hidden="false" customHeight="false" outlineLevel="0" collapsed="false">
      <c r="A213" s="27" t="s">
        <v>767</v>
      </c>
      <c r="B213" s="56"/>
      <c r="C213" s="57" t="n">
        <f aca="false">P213</f>
        <v>41898.5814774855</v>
      </c>
      <c r="D213" s="57" t="n">
        <f aca="false">AB213</f>
        <v>0</v>
      </c>
      <c r="E213" s="70" t="n">
        <f aca="false">MAX(0,E212)</f>
        <v>0</v>
      </c>
      <c r="F213" s="70" t="n">
        <f aca="false">MAX(0,F212)</f>
        <v>0</v>
      </c>
      <c r="G213" s="70" t="n">
        <f aca="false">MAX(0,G212)</f>
        <v>0</v>
      </c>
      <c r="H213" s="70" t="n">
        <f aca="false">MAX(0,H212)</f>
        <v>0</v>
      </c>
      <c r="I213" s="70" t="n">
        <f aca="false">MAX(0,I212)</f>
        <v>0</v>
      </c>
      <c r="J213" s="70" t="n">
        <f aca="false">MAX(0,J212)</f>
        <v>0</v>
      </c>
      <c r="K213" s="70" t="n">
        <f aca="false">MAX(0,K212)</f>
        <v>0</v>
      </c>
      <c r="L213" s="70" t="n">
        <f aca="false">MAX(0,L212)</f>
        <v>39317.61</v>
      </c>
      <c r="M213" s="70" t="n">
        <f aca="false">MAX(0,M212)</f>
        <v>99912.0019847732</v>
      </c>
      <c r="N213" s="70" t="n">
        <f aca="false">MAX(0,N212)</f>
        <v>119249.808820536</v>
      </c>
      <c r="O213" s="70" t="n">
        <f aca="false">MAX(0,O212)</f>
        <v>99912.0019847732</v>
      </c>
      <c r="P213" s="70" t="n">
        <f aca="false">MAX(0,P212)</f>
        <v>41898.5814774855</v>
      </c>
      <c r="Q213" s="70" t="n">
        <f aca="false">MAX(0,Q212)</f>
        <v>0</v>
      </c>
      <c r="R213" s="70" t="n">
        <f aca="false">MAX(0,R212)</f>
        <v>0</v>
      </c>
      <c r="S213" s="70" t="n">
        <f aca="false">MAX(0,S212)</f>
        <v>0</v>
      </c>
      <c r="T213" s="70" t="n">
        <f aca="false">MAX(0,T212)</f>
        <v>0</v>
      </c>
      <c r="U213" s="70" t="n">
        <f aca="false">MAX(0,U212)</f>
        <v>0</v>
      </c>
      <c r="V213" s="70" t="n">
        <f aca="false">MAX(0,V212)</f>
        <v>0</v>
      </c>
      <c r="W213" s="70" t="n">
        <f aca="false">MAX(0,W212)</f>
        <v>0</v>
      </c>
      <c r="X213" s="70" t="n">
        <f aca="false">MAX(0,X212)</f>
        <v>0</v>
      </c>
      <c r="Y213" s="70" t="n">
        <f aca="false">MAX(0,Y212)</f>
        <v>0</v>
      </c>
      <c r="Z213" s="70" t="n">
        <f aca="false">MAX(0,Z212)</f>
        <v>0</v>
      </c>
      <c r="AA213" s="70" t="n">
        <f aca="false">MAX(0,AA212)</f>
        <v>0</v>
      </c>
      <c r="AB213" s="70" t="n">
        <f aca="false">MAX(0,AB212)</f>
        <v>0</v>
      </c>
    </row>
    <row r="214" customFormat="false" ht="15" hidden="false" customHeight="false" outlineLevel="0" collapsed="false">
      <c r="A214" s="27" t="s">
        <v>768</v>
      </c>
      <c r="B214" s="56"/>
      <c r="C214" s="57" t="n">
        <f aca="false">P214</f>
        <v>0</v>
      </c>
      <c r="D214" s="57" t="n">
        <f aca="false">AB214</f>
        <v>-0</v>
      </c>
      <c r="E214" s="70" t="n">
        <f aca="false">MAX(0,-E212)</f>
        <v>-0</v>
      </c>
      <c r="F214" s="70" t="n">
        <f aca="false">MAX(0,-F212)</f>
        <v>-0</v>
      </c>
      <c r="G214" s="70" t="n">
        <f aca="false">MAX(0,-G212)</f>
        <v>-0</v>
      </c>
      <c r="H214" s="70" t="n">
        <f aca="false">MAX(0,-H212)</f>
        <v>-0</v>
      </c>
      <c r="I214" s="70" t="n">
        <f aca="false">MAX(0,-I212)</f>
        <v>-0</v>
      </c>
      <c r="J214" s="70" t="n">
        <f aca="false">MAX(0,-J212)</f>
        <v>-0</v>
      </c>
      <c r="K214" s="70" t="n">
        <f aca="false">MAX(0,-K212)</f>
        <v>-0</v>
      </c>
      <c r="L214" s="70" t="n">
        <f aca="false">MAX(0,-L212)</f>
        <v>0</v>
      </c>
      <c r="M214" s="70" t="n">
        <f aca="false">MAX(0,-M212)</f>
        <v>0</v>
      </c>
      <c r="N214" s="70" t="n">
        <f aca="false">MAX(0,-N212)</f>
        <v>0</v>
      </c>
      <c r="O214" s="70" t="n">
        <f aca="false">MAX(0,-O212)</f>
        <v>0</v>
      </c>
      <c r="P214" s="70" t="n">
        <f aca="false">MAX(0,-P212)</f>
        <v>0</v>
      </c>
      <c r="Q214" s="70" t="n">
        <f aca="false">MAX(0,-Q212)</f>
        <v>-0</v>
      </c>
      <c r="R214" s="70" t="n">
        <f aca="false">MAX(0,-R212)</f>
        <v>-0</v>
      </c>
      <c r="S214" s="70" t="n">
        <f aca="false">MAX(0,-S212)</f>
        <v>-0</v>
      </c>
      <c r="T214" s="70" t="n">
        <f aca="false">MAX(0,-T212)</f>
        <v>-0</v>
      </c>
      <c r="U214" s="70" t="n">
        <f aca="false">MAX(0,-U212)</f>
        <v>-0</v>
      </c>
      <c r="V214" s="70" t="n">
        <f aca="false">MAX(0,-V212)</f>
        <v>-0</v>
      </c>
      <c r="W214" s="70" t="n">
        <f aca="false">MAX(0,-W212)</f>
        <v>-0</v>
      </c>
      <c r="X214" s="70" t="n">
        <f aca="false">MAX(0,-X212)</f>
        <v>-0</v>
      </c>
      <c r="Y214" s="70" t="n">
        <f aca="false">MAX(0,-Y212)</f>
        <v>-0</v>
      </c>
      <c r="Z214" s="70" t="n">
        <f aca="false">MAX(0,-Z212)</f>
        <v>-0</v>
      </c>
      <c r="AA214" s="70" t="n">
        <f aca="false">MAX(0,-AA212)</f>
        <v>-0</v>
      </c>
      <c r="AB214" s="70" t="n">
        <f aca="false">MAX(0,-AB212)</f>
        <v>-0</v>
      </c>
    </row>
    <row r="215" customFormat="false" ht="15" hidden="false" customHeight="false" outlineLevel="0" collapsed="false">
      <c r="A215" s="27" t="s">
        <v>769</v>
      </c>
      <c r="B215" s="56"/>
      <c r="C215" s="57" t="n">
        <f aca="false">P215</f>
        <v>166191.005</v>
      </c>
      <c r="D215" s="57" t="n">
        <f aca="false">AB215</f>
        <v>166191.005</v>
      </c>
      <c r="E215" s="58" t="n">
        <f aca="false">Project_Register!$AG$11+E185</f>
        <v>0</v>
      </c>
      <c r="F215" s="70" t="n">
        <f aca="false">E215+F185</f>
        <v>0</v>
      </c>
      <c r="G215" s="70" t="n">
        <f aca="false">F215+G185</f>
        <v>0</v>
      </c>
      <c r="H215" s="70" t="n">
        <f aca="false">G215+H185</f>
        <v>0</v>
      </c>
      <c r="I215" s="70" t="n">
        <f aca="false">H215+I185</f>
        <v>0</v>
      </c>
      <c r="J215" s="70" t="n">
        <f aca="false">I215+J185</f>
        <v>0</v>
      </c>
      <c r="K215" s="70" t="n">
        <f aca="false">J215+K185</f>
        <v>0</v>
      </c>
      <c r="L215" s="70" t="n">
        <f aca="false">K215+L185</f>
        <v>16135.07</v>
      </c>
      <c r="M215" s="70" t="n">
        <f aca="false">L215+M185</f>
        <v>57668.4091517857</v>
      </c>
      <c r="N215" s="70" t="n">
        <f aca="false">M215+N185</f>
        <v>107240.459107143</v>
      </c>
      <c r="O215" s="70" t="n">
        <f aca="false">N215+O185</f>
        <v>148773.798258929</v>
      </c>
      <c r="P215" s="70" t="n">
        <f aca="false">O215+P185</f>
        <v>166191.005</v>
      </c>
      <c r="Q215" s="70" t="n">
        <f aca="false">P215+Q185</f>
        <v>166191.005</v>
      </c>
      <c r="R215" s="70" t="n">
        <f aca="false">Q215+R185</f>
        <v>166191.005</v>
      </c>
      <c r="S215" s="70" t="n">
        <f aca="false">R215+S185</f>
        <v>166191.005</v>
      </c>
      <c r="T215" s="70" t="n">
        <f aca="false">S215+T185</f>
        <v>166191.005</v>
      </c>
      <c r="U215" s="70" t="n">
        <f aca="false">T215+U185</f>
        <v>166191.005</v>
      </c>
      <c r="V215" s="70" t="n">
        <f aca="false">U215+V185</f>
        <v>166191.005</v>
      </c>
      <c r="W215" s="70" t="n">
        <f aca="false">V215+W185</f>
        <v>166191.005</v>
      </c>
      <c r="X215" s="70" t="n">
        <f aca="false">W215+X185</f>
        <v>166191.005</v>
      </c>
      <c r="Y215" s="70" t="n">
        <f aca="false">X215+Y185</f>
        <v>166191.005</v>
      </c>
      <c r="Z215" s="70" t="n">
        <f aca="false">Y215+Z185</f>
        <v>166191.005</v>
      </c>
      <c r="AA215" s="70" t="n">
        <f aca="false">Z215+AA185</f>
        <v>166191.005</v>
      </c>
      <c r="AB215" s="70" t="n">
        <f aca="false">AA215+AB185</f>
        <v>166191.005</v>
      </c>
    </row>
    <row r="216" customFormat="false" ht="15" hidden="false" customHeight="false" outlineLevel="0" collapsed="false">
      <c r="A216" s="27" t="s">
        <v>770</v>
      </c>
      <c r="B216" s="56"/>
      <c r="C216" s="57" t="n">
        <f aca="false">P216</f>
        <v>8309.55025</v>
      </c>
      <c r="D216" s="57" t="n">
        <f aca="false">AB216</f>
        <v>4154.775125</v>
      </c>
      <c r="E216" s="58" t="n">
        <f aca="false">Project_Register!$U$11*E215*(1-Project_Register!$R$11*(Assumptions!E$96&gt;=Project_Register!$AK$11+1)-(1-Project_Register!$R$11)*(Assumptions!E$96&gt;=Project_Register!$AN$11))</f>
        <v>0</v>
      </c>
      <c r="F216" s="58" t="n">
        <f aca="false">Project_Register!$U$11*F215*(1-Project_Register!$R$11*(Assumptions!F$96&gt;=Project_Register!$AK$11+1)-(1-Project_Register!$R$11)*(Assumptions!F$96&gt;=Project_Register!$AN$11))</f>
        <v>0</v>
      </c>
      <c r="G216" s="58" t="n">
        <f aca="false">Project_Register!$U$11*G215*(1-Project_Register!$R$11*(Assumptions!G$96&gt;=Project_Register!$AK$11+1)-(1-Project_Register!$R$11)*(Assumptions!G$96&gt;=Project_Register!$AN$11))</f>
        <v>0</v>
      </c>
      <c r="H216" s="58" t="n">
        <f aca="false">Project_Register!$U$11*H215*(1-Project_Register!$R$11*(Assumptions!H$96&gt;=Project_Register!$AK$11+1)-(1-Project_Register!$R$11)*(Assumptions!H$96&gt;=Project_Register!$AN$11))</f>
        <v>0</v>
      </c>
      <c r="I216" s="58" t="n">
        <f aca="false">Project_Register!$U$11*I215*(1-Project_Register!$R$11*(Assumptions!I$96&gt;=Project_Register!$AK$11+1)-(1-Project_Register!$R$11)*(Assumptions!I$96&gt;=Project_Register!$AN$11))</f>
        <v>0</v>
      </c>
      <c r="J216" s="58" t="n">
        <f aca="false">Project_Register!$U$11*J215*(1-Project_Register!$R$11*(Assumptions!J$96&gt;=Project_Register!$AK$11+1)-(1-Project_Register!$R$11)*(Assumptions!J$96&gt;=Project_Register!$AN$11))</f>
        <v>0</v>
      </c>
      <c r="K216" s="58" t="n">
        <f aca="false">Project_Register!$U$11*K215*(1-Project_Register!$R$11*(Assumptions!K$96&gt;=Project_Register!$AK$11+1)-(1-Project_Register!$R$11)*(Assumptions!K$96&gt;=Project_Register!$AN$11))</f>
        <v>0</v>
      </c>
      <c r="L216" s="58" t="n">
        <f aca="false">Project_Register!$U$11*L215*(1-Project_Register!$R$11*(Assumptions!L$96&gt;=Project_Register!$AK$11+1)-(1-Project_Register!$R$11)*(Assumptions!L$96&gt;=Project_Register!$AN$11))</f>
        <v>806.7535</v>
      </c>
      <c r="M216" s="58" t="n">
        <f aca="false">Project_Register!$U$11*M215*(1-Project_Register!$R$11*(Assumptions!M$96&gt;=Project_Register!$AK$11+1)-(1-Project_Register!$R$11)*(Assumptions!M$96&gt;=Project_Register!$AN$11))</f>
        <v>2883.42045758929</v>
      </c>
      <c r="N216" s="58" t="n">
        <f aca="false">Project_Register!$U$11*N215*(1-Project_Register!$R$11*(Assumptions!N$96&gt;=Project_Register!$AK$11+1)-(1-Project_Register!$R$11)*(Assumptions!N$96&gt;=Project_Register!$AN$11))</f>
        <v>5362.02295535714</v>
      </c>
      <c r="O216" s="58" t="n">
        <f aca="false">Project_Register!$U$11*O215*(1-Project_Register!$R$11*(Assumptions!O$96&gt;=Project_Register!$AK$11+1)-(1-Project_Register!$R$11)*(Assumptions!O$96&gt;=Project_Register!$AN$11))</f>
        <v>7438.68991294643</v>
      </c>
      <c r="P216" s="58" t="n">
        <f aca="false">Project_Register!$U$11*P215*(1-Project_Register!$R$11*(Assumptions!P$96&gt;=Project_Register!$AK$11+1)-(1-Project_Register!$R$11)*(Assumptions!P$96&gt;=Project_Register!$AN$11))</f>
        <v>8309.55025</v>
      </c>
      <c r="Q216" s="58" t="n">
        <f aca="false">Project_Register!$U$11*Q215*(1-Project_Register!$R$11*(Assumptions!Q$96&gt;=Project_Register!$AK$11+1)-(1-Project_Register!$R$11)*(Assumptions!Q$96&gt;=Project_Register!$AN$11))</f>
        <v>4154.775125</v>
      </c>
      <c r="R216" s="58" t="n">
        <f aca="false">Project_Register!$U$11*R215*(1-Project_Register!$R$11*(Assumptions!R$96&gt;=Project_Register!$AK$11+1)-(1-Project_Register!$R$11)*(Assumptions!R$96&gt;=Project_Register!$AN$11))</f>
        <v>4154.775125</v>
      </c>
      <c r="S216" s="58" t="n">
        <f aca="false">Project_Register!$U$11*S215*(1-Project_Register!$R$11*(Assumptions!S$96&gt;=Project_Register!$AK$11+1)-(1-Project_Register!$R$11)*(Assumptions!S$96&gt;=Project_Register!$AN$11))</f>
        <v>4154.775125</v>
      </c>
      <c r="T216" s="58" t="n">
        <f aca="false">Project_Register!$U$11*T215*(1-Project_Register!$R$11*(Assumptions!T$96&gt;=Project_Register!$AK$11+1)-(1-Project_Register!$R$11)*(Assumptions!T$96&gt;=Project_Register!$AN$11))</f>
        <v>4154.775125</v>
      </c>
      <c r="U216" s="58" t="n">
        <f aca="false">Project_Register!$U$11*U215*(1-Project_Register!$R$11*(Assumptions!U$96&gt;=Project_Register!$AK$11+1)-(1-Project_Register!$R$11)*(Assumptions!U$96&gt;=Project_Register!$AN$11))</f>
        <v>4154.775125</v>
      </c>
      <c r="V216" s="58" t="n">
        <f aca="false">Project_Register!$U$11*V215*(1-Project_Register!$R$11*(Assumptions!V$96&gt;=Project_Register!$AK$11+1)-(1-Project_Register!$R$11)*(Assumptions!V$96&gt;=Project_Register!$AN$11))</f>
        <v>4154.775125</v>
      </c>
      <c r="W216" s="58" t="n">
        <f aca="false">Project_Register!$U$11*W215*(1-Project_Register!$R$11*(Assumptions!W$96&gt;=Project_Register!$AK$11+1)-(1-Project_Register!$R$11)*(Assumptions!W$96&gt;=Project_Register!$AN$11))</f>
        <v>4154.775125</v>
      </c>
      <c r="X216" s="58" t="n">
        <f aca="false">Project_Register!$U$11*X215*(1-Project_Register!$R$11*(Assumptions!X$96&gt;=Project_Register!$AK$11+1)-(1-Project_Register!$R$11)*(Assumptions!X$96&gt;=Project_Register!$AN$11))</f>
        <v>4154.775125</v>
      </c>
      <c r="Y216" s="58" t="n">
        <f aca="false">Project_Register!$U$11*Y215*(1-Project_Register!$R$11*(Assumptions!Y$96&gt;=Project_Register!$AK$11+1)-(1-Project_Register!$R$11)*(Assumptions!Y$96&gt;=Project_Register!$AN$11))</f>
        <v>4154.775125</v>
      </c>
      <c r="Z216" s="58" t="n">
        <f aca="false">Project_Register!$U$11*Z215*(1-Project_Register!$R$11*(Assumptions!Z$96&gt;=Project_Register!$AK$11+1)-(1-Project_Register!$R$11)*(Assumptions!Z$96&gt;=Project_Register!$AN$11))</f>
        <v>4154.775125</v>
      </c>
      <c r="AA216" s="58" t="n">
        <f aca="false">Project_Register!$U$11*AA215*(1-Project_Register!$R$11*(Assumptions!AA$96&gt;=Project_Register!$AK$11+1)-(1-Project_Register!$R$11)*(Assumptions!AA$96&gt;=Project_Register!$AN$11))</f>
        <v>4154.775125</v>
      </c>
      <c r="AB216" s="58" t="n">
        <f aca="false">Project_Register!$U$11*AB215*(1-Project_Register!$R$11*(Assumptions!AB$96&gt;=Project_Register!$AK$11+1)-(1-Project_Register!$R$11)*(Assumptions!AB$96&gt;=Project_Register!$AN$11))</f>
        <v>4154.775125</v>
      </c>
    </row>
    <row r="217" customFormat="false" ht="15" hidden="false" customHeight="false" outlineLevel="0" collapsed="false">
      <c r="A217" s="27" t="s">
        <v>771</v>
      </c>
      <c r="B217" s="56"/>
      <c r="C217" s="57" t="n">
        <f aca="false">SUM(E217:P217)</f>
        <v>8309.55025</v>
      </c>
      <c r="D217" s="57" t="n">
        <f aca="false">SUM(Q217:AB217)</f>
        <v>-4154.775125</v>
      </c>
      <c r="E217" s="58" t="n">
        <f aca="false">E216-Project_Register!$AX$11</f>
        <v>0</v>
      </c>
      <c r="F217" s="70" t="n">
        <f aca="false">F216-E216</f>
        <v>0</v>
      </c>
      <c r="G217" s="70" t="n">
        <f aca="false">G216-F216</f>
        <v>0</v>
      </c>
      <c r="H217" s="70" t="n">
        <f aca="false">H216-G216</f>
        <v>0</v>
      </c>
      <c r="I217" s="70" t="n">
        <f aca="false">I216-H216</f>
        <v>0</v>
      </c>
      <c r="J217" s="70" t="n">
        <f aca="false">J216-I216</f>
        <v>0</v>
      </c>
      <c r="K217" s="70" t="n">
        <f aca="false">K216-J216</f>
        <v>0</v>
      </c>
      <c r="L217" s="70" t="n">
        <f aca="false">L216-K216</f>
        <v>806.7535</v>
      </c>
      <c r="M217" s="70" t="n">
        <f aca="false">M216-L216</f>
        <v>2076.66695758929</v>
      </c>
      <c r="N217" s="70" t="n">
        <f aca="false">N216-M216</f>
        <v>2478.60249776786</v>
      </c>
      <c r="O217" s="70" t="n">
        <f aca="false">O216-N216</f>
        <v>2076.66695758928</v>
      </c>
      <c r="P217" s="70" t="n">
        <f aca="false">P216-O216</f>
        <v>870.860337053571</v>
      </c>
      <c r="Q217" s="70" t="n">
        <f aca="false">Q216-P216</f>
        <v>-4154.775125</v>
      </c>
      <c r="R217" s="70" t="n">
        <f aca="false">R216-Q216</f>
        <v>0</v>
      </c>
      <c r="S217" s="70" t="n">
        <f aca="false">S216-R216</f>
        <v>0</v>
      </c>
      <c r="T217" s="70" t="n">
        <f aca="false">T216-S216</f>
        <v>0</v>
      </c>
      <c r="U217" s="70" t="n">
        <f aca="false">U216-T216</f>
        <v>0</v>
      </c>
      <c r="V217" s="70" t="n">
        <f aca="false">V216-U216</f>
        <v>0</v>
      </c>
      <c r="W217" s="70" t="n">
        <f aca="false">W216-V216</f>
        <v>0</v>
      </c>
      <c r="X217" s="70" t="n">
        <f aca="false">X216-W216</f>
        <v>0</v>
      </c>
      <c r="Y217" s="70" t="n">
        <f aca="false">Y216-X216</f>
        <v>0</v>
      </c>
      <c r="Z217" s="70" t="n">
        <f aca="false">Z216-Y216</f>
        <v>0</v>
      </c>
      <c r="AA217" s="70" t="n">
        <f aca="false">AA216-Z216</f>
        <v>0</v>
      </c>
      <c r="AB217" s="70" t="n">
        <f aca="false">AB216-AA216</f>
        <v>0</v>
      </c>
    </row>
    <row r="218" customFormat="false" ht="15" hidden="false" customHeight="false" outlineLevel="0" collapsed="false">
      <c r="A218" s="27" t="s">
        <v>772</v>
      </c>
      <c r="B218" s="56" t="s">
        <v>773</v>
      </c>
      <c r="C218" s="57" t="n">
        <f aca="false">P218</f>
        <v>39000</v>
      </c>
      <c r="D218" s="57" t="n">
        <f aca="false">AB218</f>
        <v>0</v>
      </c>
      <c r="E218" s="58" t="n">
        <f aca="false">Project_Register!$V$11*Project_Register!$AO$11*(Assumptions!E$96&gt;=Project_Register!$AL$11)*(Assumptions!E$96&lt;=Project_Register!$AK$11)</f>
        <v>0</v>
      </c>
      <c r="F218" s="58" t="n">
        <f aca="false">Project_Register!$V$11*Project_Register!$AO$11*(Assumptions!F$96&gt;=Project_Register!$AL$11)*(Assumptions!F$96&lt;=Project_Register!$AK$11)</f>
        <v>0</v>
      </c>
      <c r="G218" s="58" t="n">
        <f aca="false">Project_Register!$V$11*Project_Register!$AO$11*(Assumptions!G$96&gt;=Project_Register!$AL$11)*(Assumptions!G$96&lt;=Project_Register!$AK$11)</f>
        <v>0</v>
      </c>
      <c r="H218" s="58" t="n">
        <f aca="false">Project_Register!$V$11*Project_Register!$AO$11*(Assumptions!H$96&gt;=Project_Register!$AL$11)*(Assumptions!H$96&lt;=Project_Register!$AK$11)</f>
        <v>0</v>
      </c>
      <c r="I218" s="58" t="n">
        <f aca="false">Project_Register!$V$11*Project_Register!$AO$11*(Assumptions!I$96&gt;=Project_Register!$AL$11)*(Assumptions!I$96&lt;=Project_Register!$AK$11)</f>
        <v>0</v>
      </c>
      <c r="J218" s="58" t="n">
        <f aca="false">Project_Register!$V$11*Project_Register!$AO$11*(Assumptions!J$96&gt;=Project_Register!$AL$11)*(Assumptions!J$96&lt;=Project_Register!$AK$11)</f>
        <v>0</v>
      </c>
      <c r="K218" s="58" t="n">
        <f aca="false">Project_Register!$V$11*Project_Register!$AO$11*(Assumptions!K$96&gt;=Project_Register!$AL$11)*(Assumptions!K$96&lt;=Project_Register!$AK$11)</f>
        <v>39000</v>
      </c>
      <c r="L218" s="58" t="n">
        <f aca="false">Project_Register!$V$11*Project_Register!$AO$11*(Assumptions!L$96&gt;=Project_Register!$AL$11)*(Assumptions!L$96&lt;=Project_Register!$AK$11)</f>
        <v>39000</v>
      </c>
      <c r="M218" s="58" t="n">
        <f aca="false">Project_Register!$V$11*Project_Register!$AO$11*(Assumptions!M$96&gt;=Project_Register!$AL$11)*(Assumptions!M$96&lt;=Project_Register!$AK$11)</f>
        <v>39000</v>
      </c>
      <c r="N218" s="58" t="n">
        <f aca="false">Project_Register!$V$11*Project_Register!$AO$11*(Assumptions!N$96&gt;=Project_Register!$AL$11)*(Assumptions!N$96&lt;=Project_Register!$AK$11)</f>
        <v>39000</v>
      </c>
      <c r="O218" s="58" t="n">
        <f aca="false">Project_Register!$V$11*Project_Register!$AO$11*(Assumptions!O$96&gt;=Project_Register!$AL$11)*(Assumptions!O$96&lt;=Project_Register!$AK$11)</f>
        <v>39000</v>
      </c>
      <c r="P218" s="58" t="n">
        <f aca="false">Project_Register!$V$11*Project_Register!$AO$11*(Assumptions!P$96&gt;=Project_Register!$AL$11)*(Assumptions!P$96&lt;=Project_Register!$AK$11)</f>
        <v>39000</v>
      </c>
      <c r="Q218" s="58" t="n">
        <f aca="false">Project_Register!$V$11*Project_Register!$AO$11*(Assumptions!Q$96&gt;=Project_Register!$AL$11)*(Assumptions!Q$96&lt;=Project_Register!$AK$11)</f>
        <v>0</v>
      </c>
      <c r="R218" s="58" t="n">
        <f aca="false">Project_Register!$V$11*Project_Register!$AO$11*(Assumptions!R$96&gt;=Project_Register!$AL$11)*(Assumptions!R$96&lt;=Project_Register!$AK$11)</f>
        <v>0</v>
      </c>
      <c r="S218" s="58" t="n">
        <f aca="false">Project_Register!$V$11*Project_Register!$AO$11*(Assumptions!S$96&gt;=Project_Register!$AL$11)*(Assumptions!S$96&lt;=Project_Register!$AK$11)</f>
        <v>0</v>
      </c>
      <c r="T218" s="58" t="n">
        <f aca="false">Project_Register!$V$11*Project_Register!$AO$11*(Assumptions!T$96&gt;=Project_Register!$AL$11)*(Assumptions!T$96&lt;=Project_Register!$AK$11)</f>
        <v>0</v>
      </c>
      <c r="U218" s="58" t="n">
        <f aca="false">Project_Register!$V$11*Project_Register!$AO$11*(Assumptions!U$96&gt;=Project_Register!$AL$11)*(Assumptions!U$96&lt;=Project_Register!$AK$11)</f>
        <v>0</v>
      </c>
      <c r="V218" s="58" t="n">
        <f aca="false">Project_Register!$V$11*Project_Register!$AO$11*(Assumptions!V$96&gt;=Project_Register!$AL$11)*(Assumptions!V$96&lt;=Project_Register!$AK$11)</f>
        <v>0</v>
      </c>
      <c r="W218" s="58" t="n">
        <f aca="false">Project_Register!$V$11*Project_Register!$AO$11*(Assumptions!W$96&gt;=Project_Register!$AL$11)*(Assumptions!W$96&lt;=Project_Register!$AK$11)</f>
        <v>0</v>
      </c>
      <c r="X218" s="58" t="n">
        <f aca="false">Project_Register!$V$11*Project_Register!$AO$11*(Assumptions!X$96&gt;=Project_Register!$AL$11)*(Assumptions!X$96&lt;=Project_Register!$AK$11)</f>
        <v>0</v>
      </c>
      <c r="Y218" s="58" t="n">
        <f aca="false">Project_Register!$V$11*Project_Register!$AO$11*(Assumptions!Y$96&gt;=Project_Register!$AL$11)*(Assumptions!Y$96&lt;=Project_Register!$AK$11)</f>
        <v>0</v>
      </c>
      <c r="Z218" s="58" t="n">
        <f aca="false">Project_Register!$V$11*Project_Register!$AO$11*(Assumptions!Z$96&gt;=Project_Register!$AL$11)*(Assumptions!Z$96&lt;=Project_Register!$AK$11)</f>
        <v>0</v>
      </c>
      <c r="AA218" s="58" t="n">
        <f aca="false">Project_Register!$V$11*Project_Register!$AO$11*(Assumptions!AA$96&gt;=Project_Register!$AL$11)*(Assumptions!AA$96&lt;=Project_Register!$AK$11)</f>
        <v>0</v>
      </c>
      <c r="AB218" s="58" t="n">
        <f aca="false">Project_Register!$V$11*Project_Register!$AO$11*(Assumptions!AB$96&gt;=Project_Register!$AL$11)*(Assumptions!AB$96&lt;=Project_Register!$AK$11)</f>
        <v>0</v>
      </c>
    </row>
    <row r="219" customFormat="false" ht="15" hidden="false" customHeight="false" outlineLevel="0" collapsed="false">
      <c r="A219" s="27" t="s">
        <v>774</v>
      </c>
      <c r="B219" s="56"/>
      <c r="C219" s="57" t="n">
        <f aca="false">P219</f>
        <v>0</v>
      </c>
      <c r="D219" s="57" t="n">
        <f aca="false">AB219</f>
        <v>0</v>
      </c>
      <c r="E219" s="58" t="n">
        <f aca="false">IF(OR(Project_Register!$E$11="Pipeline",Assumptions!E$96&gt;=Project_Register!$AL$11),MAX(0,E196-E197),0)</f>
        <v>0</v>
      </c>
      <c r="F219" s="58" t="n">
        <f aca="false">IF(OR(Project_Register!$E$11="Pipeline",Assumptions!F$96&gt;=Project_Register!$AL$11),MAX(0,F196-F197),0)</f>
        <v>0</v>
      </c>
      <c r="G219" s="58" t="n">
        <f aca="false">IF(OR(Project_Register!$E$11="Pipeline",Assumptions!G$96&gt;=Project_Register!$AL$11),MAX(0,G196-G197),0)</f>
        <v>0</v>
      </c>
      <c r="H219" s="58" t="n">
        <f aca="false">IF(OR(Project_Register!$E$11="Pipeline",Assumptions!H$96&gt;=Project_Register!$AL$11),MAX(0,H196-H197),0)</f>
        <v>0</v>
      </c>
      <c r="I219" s="58" t="n">
        <f aca="false">IF(OR(Project_Register!$E$11="Pipeline",Assumptions!I$96&gt;=Project_Register!$AL$11),MAX(0,I196-I197),0)</f>
        <v>0</v>
      </c>
      <c r="J219" s="58" t="n">
        <f aca="false">IF(OR(Project_Register!$E$11="Pipeline",Assumptions!J$96&gt;=Project_Register!$AL$11),MAX(0,J196-J197),0)</f>
        <v>0</v>
      </c>
      <c r="K219" s="58" t="n">
        <f aca="false">IF(OR(Project_Register!$E$11="Pipeline",Assumptions!K$96&gt;=Project_Register!$AL$11),MAX(0,K196-K197),0)</f>
        <v>390000</v>
      </c>
      <c r="L219" s="58" t="n">
        <f aca="false">IF(OR(Project_Register!$E$11="Pipeline",Assumptions!L$96&gt;=Project_Register!$AL$11),MAX(0,L196-L197),0)</f>
        <v>358782.39</v>
      </c>
      <c r="M219" s="58" t="n">
        <f aca="false">IF(OR(Project_Register!$E$11="Pipeline",Assumptions!M$96&gt;=Project_Register!$AL$11),MAX(0,M196-M197),0)</f>
        <v>261060.392282794</v>
      </c>
      <c r="N219" s="58" t="n">
        <f aca="false">IF(OR(Project_Register!$E$11="Pipeline",Assumptions!N$96&gt;=Project_Register!$AL$11),MAX(0,N196-N197),0)</f>
        <v>141810.583462259</v>
      </c>
      <c r="O219" s="58" t="n">
        <f aca="false">IF(OR(Project_Register!$E$11="Pipeline",Assumptions!O$96&gt;=Project_Register!$AL$11),MAX(0,O196-O197),0)</f>
        <v>41898.5814774855</v>
      </c>
      <c r="P219" s="58" t="n">
        <f aca="false">IF(OR(Project_Register!$E$11="Pipeline",Assumptions!P$96&gt;=Project_Register!$AL$11),MAX(0,P196-P197),0)</f>
        <v>0</v>
      </c>
      <c r="Q219" s="58" t="n">
        <f aca="false">IF(OR(Project_Register!$E$11="Pipeline",Assumptions!Q$96&gt;=Project_Register!$AL$11),MAX(0,Q196-Q197),0)</f>
        <v>0</v>
      </c>
      <c r="R219" s="58" t="n">
        <f aca="false">IF(OR(Project_Register!$E$11="Pipeline",Assumptions!R$96&gt;=Project_Register!$AL$11),MAX(0,R196-R197),0)</f>
        <v>0</v>
      </c>
      <c r="S219" s="58" t="n">
        <f aca="false">IF(OR(Project_Register!$E$11="Pipeline",Assumptions!S$96&gt;=Project_Register!$AL$11),MAX(0,S196-S197),0)</f>
        <v>0</v>
      </c>
      <c r="T219" s="58" t="n">
        <f aca="false">IF(OR(Project_Register!$E$11="Pipeline",Assumptions!T$96&gt;=Project_Register!$AL$11),MAX(0,T196-T197),0)</f>
        <v>0</v>
      </c>
      <c r="U219" s="58" t="n">
        <f aca="false">IF(OR(Project_Register!$E$11="Pipeline",Assumptions!U$96&gt;=Project_Register!$AL$11),MAX(0,U196-U197),0)</f>
        <v>0</v>
      </c>
      <c r="V219" s="58" t="n">
        <f aca="false">IF(OR(Project_Register!$E$11="Pipeline",Assumptions!V$96&gt;=Project_Register!$AL$11),MAX(0,V196-V197),0)</f>
        <v>0</v>
      </c>
      <c r="W219" s="58" t="n">
        <f aca="false">IF(OR(Project_Register!$E$11="Pipeline",Assumptions!W$96&gt;=Project_Register!$AL$11),MAX(0,W196-W197),0)</f>
        <v>0</v>
      </c>
      <c r="X219" s="58" t="n">
        <f aca="false">IF(OR(Project_Register!$E$11="Pipeline",Assumptions!X$96&gt;=Project_Register!$AL$11),MAX(0,X196-X197),0)</f>
        <v>0</v>
      </c>
      <c r="Y219" s="58" t="n">
        <f aca="false">IF(OR(Project_Register!$E$11="Pipeline",Assumptions!Y$96&gt;=Project_Register!$AL$11),MAX(0,Y196-Y197),0)</f>
        <v>0</v>
      </c>
      <c r="Z219" s="58" t="n">
        <f aca="false">IF(OR(Project_Register!$E$11="Pipeline",Assumptions!Z$96&gt;=Project_Register!$AL$11),MAX(0,Z196-Z197),0)</f>
        <v>0</v>
      </c>
      <c r="AA219" s="58" t="n">
        <f aca="false">IF(OR(Project_Register!$E$11="Pipeline",Assumptions!AA$96&gt;=Project_Register!$AL$11),MAX(0,AA196-AA197),0)</f>
        <v>0</v>
      </c>
      <c r="AB219" s="58" t="n">
        <f aca="false">IF(OR(Project_Register!$E$11="Pipeline",Assumptions!AB$96&gt;=Project_Register!$AL$11),MAX(0,AB196-AB197),0)</f>
        <v>0</v>
      </c>
    </row>
    <row r="220" customFormat="false" ht="15" hidden="false" customHeight="false" outlineLevel="0" collapsed="false">
      <c r="A220" s="27" t="s">
        <v>775</v>
      </c>
      <c r="B220" s="56"/>
      <c r="C220" s="57" t="n">
        <f aca="false">SUM(E220:P220)</f>
        <v>390000</v>
      </c>
      <c r="D220" s="57" t="n">
        <f aca="false">SUM(Q220:AB220)</f>
        <v>0</v>
      </c>
      <c r="E220" s="58" t="n">
        <f aca="false">IF(Assumptions!E$96=Project_Register!$AL$11,Project_Register!$AO$11,0)</f>
        <v>0</v>
      </c>
      <c r="F220" s="58" t="n">
        <f aca="false">IF(Assumptions!F$96=Project_Register!$AL$11,Project_Register!$AO$11,0)</f>
        <v>0</v>
      </c>
      <c r="G220" s="58" t="n">
        <f aca="false">IF(Assumptions!G$96=Project_Register!$AL$11,Project_Register!$AO$11,0)</f>
        <v>0</v>
      </c>
      <c r="H220" s="58" t="n">
        <f aca="false">IF(Assumptions!H$96=Project_Register!$AL$11,Project_Register!$AO$11,0)</f>
        <v>0</v>
      </c>
      <c r="I220" s="58" t="n">
        <f aca="false">IF(Assumptions!I$96=Project_Register!$AL$11,Project_Register!$AO$11,0)</f>
        <v>0</v>
      </c>
      <c r="J220" s="58" t="n">
        <f aca="false">IF(Assumptions!J$96=Project_Register!$AL$11,Project_Register!$AO$11,0)</f>
        <v>0</v>
      </c>
      <c r="K220" s="58" t="n">
        <f aca="false">IF(Assumptions!K$96=Project_Register!$AL$11,Project_Register!$AO$11,0)</f>
        <v>390000</v>
      </c>
      <c r="L220" s="58" t="n">
        <f aca="false">IF(Assumptions!L$96=Project_Register!$AL$11,Project_Register!$AO$11,0)</f>
        <v>0</v>
      </c>
      <c r="M220" s="58" t="n">
        <f aca="false">IF(Assumptions!M$96=Project_Register!$AL$11,Project_Register!$AO$11,0)</f>
        <v>0</v>
      </c>
      <c r="N220" s="58" t="n">
        <f aca="false">IF(Assumptions!N$96=Project_Register!$AL$11,Project_Register!$AO$11,0)</f>
        <v>0</v>
      </c>
      <c r="O220" s="58" t="n">
        <f aca="false">IF(Assumptions!O$96=Project_Register!$AL$11,Project_Register!$AO$11,0)</f>
        <v>0</v>
      </c>
      <c r="P220" s="58" t="n">
        <f aca="false">IF(Assumptions!P$96=Project_Register!$AL$11,Project_Register!$AO$11,0)</f>
        <v>0</v>
      </c>
      <c r="Q220" s="58" t="n">
        <f aca="false">IF(Assumptions!Q$96=Project_Register!$AL$11,Project_Register!$AO$11,0)</f>
        <v>0</v>
      </c>
      <c r="R220" s="58" t="n">
        <f aca="false">IF(Assumptions!R$96=Project_Register!$AL$11,Project_Register!$AO$11,0)</f>
        <v>0</v>
      </c>
      <c r="S220" s="58" t="n">
        <f aca="false">IF(Assumptions!S$96=Project_Register!$AL$11,Project_Register!$AO$11,0)</f>
        <v>0</v>
      </c>
      <c r="T220" s="58" t="n">
        <f aca="false">IF(Assumptions!T$96=Project_Register!$AL$11,Project_Register!$AO$11,0)</f>
        <v>0</v>
      </c>
      <c r="U220" s="58" t="n">
        <f aca="false">IF(Assumptions!U$96=Project_Register!$AL$11,Project_Register!$AO$11,0)</f>
        <v>0</v>
      </c>
      <c r="V220" s="58" t="n">
        <f aca="false">IF(Assumptions!V$96=Project_Register!$AL$11,Project_Register!$AO$11,0)</f>
        <v>0</v>
      </c>
      <c r="W220" s="58" t="n">
        <f aca="false">IF(Assumptions!W$96=Project_Register!$AL$11,Project_Register!$AO$11,0)</f>
        <v>0</v>
      </c>
      <c r="X220" s="58" t="n">
        <f aca="false">IF(Assumptions!X$96=Project_Register!$AL$11,Project_Register!$AO$11,0)</f>
        <v>0</v>
      </c>
      <c r="Y220" s="58" t="n">
        <f aca="false">IF(Assumptions!Y$96=Project_Register!$AL$11,Project_Register!$AO$11,0)</f>
        <v>0</v>
      </c>
      <c r="Z220" s="58" t="n">
        <f aca="false">IF(Assumptions!Z$96=Project_Register!$AL$11,Project_Register!$AO$11,0)</f>
        <v>0</v>
      </c>
      <c r="AA220" s="58" t="n">
        <f aca="false">IF(Assumptions!AA$96=Project_Register!$AL$11,Project_Register!$AO$11,0)</f>
        <v>0</v>
      </c>
      <c r="AB220" s="58" t="n">
        <f aca="false">IF(Assumptions!AB$96=Project_Register!$AL$11,Project_Register!$AO$11,0)</f>
        <v>0</v>
      </c>
    </row>
    <row r="221" customFormat="false" ht="15" hidden="false" customHeight="false" outlineLevel="0" collapsed="false">
      <c r="A221" s="27" t="s">
        <v>776</v>
      </c>
      <c r="B221" s="56" t="s">
        <v>777</v>
      </c>
      <c r="E221" s="70" t="n">
        <f aca="false">IF(E$5="A",ROUND(E197-E192*E196,0),0)</f>
        <v>0</v>
      </c>
      <c r="F221" s="70" t="n">
        <f aca="false">IF(F$5="A",ROUND(F197-F192*F196,0),0)</f>
        <v>0</v>
      </c>
      <c r="G221" s="70" t="n">
        <f aca="false">IF(G$5="A",ROUND(G197-G192*G196,0),0)</f>
        <v>0</v>
      </c>
      <c r="H221" s="70" t="n">
        <f aca="false">IF(H$5="A",ROUND(H197-H192*H196,0),0)</f>
        <v>0</v>
      </c>
      <c r="I221" s="70" t="n">
        <f aca="false">IF(I$5="A",ROUND(I197-I192*I196,0),0)</f>
        <v>0</v>
      </c>
      <c r="J221" s="70" t="n">
        <f aca="false">IF(J$5="A",ROUND(J197-J192*J196,0),0)</f>
        <v>0</v>
      </c>
      <c r="K221" s="70" t="n">
        <f aca="false">IF(K$5="A",ROUND(K197-K192*K196,0),0)</f>
        <v>0</v>
      </c>
      <c r="L221" s="70" t="n">
        <f aca="false">IF(L$5="A",ROUND(L197-L192*L196,0),0)</f>
        <v>-0</v>
      </c>
      <c r="M221" s="70" t="n">
        <f aca="false">IF(M$5="A",ROUND(M197-M192*M196,0),0)</f>
        <v>0</v>
      </c>
      <c r="N221" s="70" t="n">
        <f aca="false">IF(N$5="A",ROUND(N197-N192*N196,0),0)</f>
        <v>0</v>
      </c>
      <c r="O221" s="70" t="n">
        <f aca="false">IF(O$5="A",ROUND(O197-O192*O196,0),0)</f>
        <v>0</v>
      </c>
      <c r="P221" s="70" t="n">
        <f aca="false">IF(P$5="A",ROUND(P197-P192*P196,0),0)</f>
        <v>0</v>
      </c>
      <c r="Q221" s="70" t="n">
        <f aca="false">IF(Q$5="A",ROUND(Q197-Q192*Q196,0),0)</f>
        <v>0</v>
      </c>
      <c r="R221" s="70" t="n">
        <f aca="false">IF(R$5="A",ROUND(R197-R192*R196,0),0)</f>
        <v>0</v>
      </c>
      <c r="S221" s="70" t="n">
        <f aca="false">IF(S$5="A",ROUND(S197-S192*S196,0),0)</f>
        <v>0</v>
      </c>
      <c r="T221" s="70" t="n">
        <f aca="false">IF(T$5="A",ROUND(T197-T192*T196,0),0)</f>
        <v>0</v>
      </c>
      <c r="U221" s="70" t="n">
        <f aca="false">IF(U$5="A",ROUND(U197-U192*U196,0),0)</f>
        <v>0</v>
      </c>
      <c r="V221" s="70" t="n">
        <f aca="false">IF(V$5="A",ROUND(V197-V192*V196,0),0)</f>
        <v>0</v>
      </c>
      <c r="W221" s="70" t="n">
        <f aca="false">IF(W$5="A",ROUND(W197-W192*W196,0),0)</f>
        <v>0</v>
      </c>
      <c r="X221" s="70" t="n">
        <f aca="false">IF(X$5="A",ROUND(X197-X192*X196,0),0)</f>
        <v>0</v>
      </c>
      <c r="Y221" s="70" t="n">
        <f aca="false">IF(Y$5="A",ROUND(Y197-Y192*Y196,0),0)</f>
        <v>0</v>
      </c>
      <c r="Z221" s="70" t="n">
        <f aca="false">IF(Z$5="A",ROUND(Z197-Z192*Z196,0),0)</f>
        <v>0</v>
      </c>
      <c r="AA221" s="70" t="n">
        <f aca="false">IF(AA$5="A",ROUND(AA197-AA192*AA196,0),0)</f>
        <v>0</v>
      </c>
      <c r="AB221" s="70" t="n">
        <f aca="false">IF(AB$5="A",ROUND(AB197-AB192*AB196,0),0)</f>
        <v>0</v>
      </c>
    </row>
    <row r="223" customFormat="false" ht="15" hidden="false" customHeight="false" outlineLevel="0" collapsed="false">
      <c r="A223" s="21" t="s">
        <v>782</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row>
    <row r="224" customFormat="false" ht="15" hidden="false" customHeight="false" outlineLevel="0" collapsed="false">
      <c r="A224" s="27" t="s">
        <v>716</v>
      </c>
      <c r="B224" s="56" t="s">
        <v>717</v>
      </c>
      <c r="E224" s="104" t="n">
        <f aca="false">MIN(1,MAX(0,(Assumptions!E$96-Project_Register!$AJ$12+1)/(Project_Register!$AK$12-Project_Register!$AJ$12+1)))</f>
        <v>0</v>
      </c>
      <c r="F224" s="104" t="n">
        <f aca="false">MIN(1,MAX(0,(Assumptions!F$96-Project_Register!$AJ$12+1)/(Project_Register!$AK$12-Project_Register!$AJ$12+1)))</f>
        <v>0</v>
      </c>
      <c r="G224" s="104" t="n">
        <f aca="false">MIN(1,MAX(0,(Assumptions!G$96-Project_Register!$AJ$12+1)/(Project_Register!$AK$12-Project_Register!$AJ$12+1)))</f>
        <v>0</v>
      </c>
      <c r="H224" s="104" t="n">
        <f aca="false">MIN(1,MAX(0,(Assumptions!H$96-Project_Register!$AJ$12+1)/(Project_Register!$AK$12-Project_Register!$AJ$12+1)))</f>
        <v>0</v>
      </c>
      <c r="I224" s="104" t="n">
        <f aca="false">MIN(1,MAX(0,(Assumptions!I$96-Project_Register!$AJ$12+1)/(Project_Register!$AK$12-Project_Register!$AJ$12+1)))</f>
        <v>0.1</v>
      </c>
      <c r="J224" s="104" t="n">
        <f aca="false">MIN(1,MAX(0,(Assumptions!J$96-Project_Register!$AJ$12+1)/(Project_Register!$AK$12-Project_Register!$AJ$12+1)))</f>
        <v>0.2</v>
      </c>
      <c r="K224" s="104" t="n">
        <f aca="false">MIN(1,MAX(0,(Assumptions!K$96-Project_Register!$AJ$12+1)/(Project_Register!$AK$12-Project_Register!$AJ$12+1)))</f>
        <v>0.3</v>
      </c>
      <c r="L224" s="104" t="n">
        <f aca="false">MIN(1,MAX(0,(Assumptions!L$96-Project_Register!$AJ$12+1)/(Project_Register!$AK$12-Project_Register!$AJ$12+1)))</f>
        <v>0.4</v>
      </c>
      <c r="M224" s="104" t="n">
        <f aca="false">MIN(1,MAX(0,(Assumptions!M$96-Project_Register!$AJ$12+1)/(Project_Register!$AK$12-Project_Register!$AJ$12+1)))</f>
        <v>0.5</v>
      </c>
      <c r="N224" s="104" t="n">
        <f aca="false">MIN(1,MAX(0,(Assumptions!N$96-Project_Register!$AJ$12+1)/(Project_Register!$AK$12-Project_Register!$AJ$12+1)))</f>
        <v>0.6</v>
      </c>
      <c r="O224" s="104" t="n">
        <f aca="false">MIN(1,MAX(0,(Assumptions!O$96-Project_Register!$AJ$12+1)/(Project_Register!$AK$12-Project_Register!$AJ$12+1)))</f>
        <v>0.7</v>
      </c>
      <c r="P224" s="104" t="n">
        <f aca="false">MIN(1,MAX(0,(Assumptions!P$96-Project_Register!$AJ$12+1)/(Project_Register!$AK$12-Project_Register!$AJ$12+1)))</f>
        <v>0.8</v>
      </c>
      <c r="Q224" s="104" t="n">
        <f aca="false">MIN(1,MAX(0,(Assumptions!Q$96-Project_Register!$AJ$12+1)/(Project_Register!$AK$12-Project_Register!$AJ$12+1)))</f>
        <v>0.9</v>
      </c>
      <c r="R224" s="104" t="n">
        <f aca="false">MIN(1,MAX(0,(Assumptions!R$96-Project_Register!$AJ$12+1)/(Project_Register!$AK$12-Project_Register!$AJ$12+1)))</f>
        <v>1</v>
      </c>
      <c r="S224" s="104" t="n">
        <f aca="false">MIN(1,MAX(0,(Assumptions!S$96-Project_Register!$AJ$12+1)/(Project_Register!$AK$12-Project_Register!$AJ$12+1)))</f>
        <v>1</v>
      </c>
      <c r="T224" s="104" t="n">
        <f aca="false">MIN(1,MAX(0,(Assumptions!T$96-Project_Register!$AJ$12+1)/(Project_Register!$AK$12-Project_Register!$AJ$12+1)))</f>
        <v>1</v>
      </c>
      <c r="U224" s="104" t="n">
        <f aca="false">MIN(1,MAX(0,(Assumptions!U$96-Project_Register!$AJ$12+1)/(Project_Register!$AK$12-Project_Register!$AJ$12+1)))</f>
        <v>1</v>
      </c>
      <c r="V224" s="104" t="n">
        <f aca="false">MIN(1,MAX(0,(Assumptions!V$96-Project_Register!$AJ$12+1)/(Project_Register!$AK$12-Project_Register!$AJ$12+1)))</f>
        <v>1</v>
      </c>
      <c r="W224" s="104" t="n">
        <f aca="false">MIN(1,MAX(0,(Assumptions!W$96-Project_Register!$AJ$12+1)/(Project_Register!$AK$12-Project_Register!$AJ$12+1)))</f>
        <v>1</v>
      </c>
      <c r="X224" s="104" t="n">
        <f aca="false">MIN(1,MAX(0,(Assumptions!X$96-Project_Register!$AJ$12+1)/(Project_Register!$AK$12-Project_Register!$AJ$12+1)))</f>
        <v>1</v>
      </c>
      <c r="Y224" s="104" t="n">
        <f aca="false">MIN(1,MAX(0,(Assumptions!Y$96-Project_Register!$AJ$12+1)/(Project_Register!$AK$12-Project_Register!$AJ$12+1)))</f>
        <v>1</v>
      </c>
      <c r="Z224" s="104" t="n">
        <f aca="false">MIN(1,MAX(0,(Assumptions!Z$96-Project_Register!$AJ$12+1)/(Project_Register!$AK$12-Project_Register!$AJ$12+1)))</f>
        <v>1</v>
      </c>
      <c r="AA224" s="104" t="n">
        <f aca="false">MIN(1,MAX(0,(Assumptions!AA$96-Project_Register!$AJ$12+1)/(Project_Register!$AK$12-Project_Register!$AJ$12+1)))</f>
        <v>1</v>
      </c>
      <c r="AB224" s="104" t="n">
        <f aca="false">MIN(1,MAX(0,(Assumptions!AB$96-Project_Register!$AJ$12+1)/(Project_Register!$AK$12-Project_Register!$AJ$12+1)))</f>
        <v>1</v>
      </c>
    </row>
    <row r="225" customFormat="false" ht="15" hidden="false" customHeight="false" outlineLevel="0" collapsed="false">
      <c r="A225" s="27" t="s">
        <v>718</v>
      </c>
      <c r="B225" s="56" t="s">
        <v>719</v>
      </c>
      <c r="E225" s="105" t="n">
        <f aca="false">3*E224^2-2*E224^3</f>
        <v>0</v>
      </c>
      <c r="F225" s="105" t="n">
        <f aca="false">3*F224^2-2*F224^3</f>
        <v>0</v>
      </c>
      <c r="G225" s="105" t="n">
        <f aca="false">3*G224^2-2*G224^3</f>
        <v>0</v>
      </c>
      <c r="H225" s="105" t="n">
        <f aca="false">3*H224^2-2*H224^3</f>
        <v>0</v>
      </c>
      <c r="I225" s="105" t="n">
        <f aca="false">3*I224^2-2*I224^3</f>
        <v>0.028</v>
      </c>
      <c r="J225" s="105" t="n">
        <f aca="false">3*J224^2-2*J224^3</f>
        <v>0.104</v>
      </c>
      <c r="K225" s="105" t="n">
        <f aca="false">3*K224^2-2*K224^3</f>
        <v>0.216</v>
      </c>
      <c r="L225" s="105" t="n">
        <f aca="false">3*L224^2-2*L224^3</f>
        <v>0.352</v>
      </c>
      <c r="M225" s="105" t="n">
        <f aca="false">3*M224^2-2*M224^3</f>
        <v>0.5</v>
      </c>
      <c r="N225" s="105" t="n">
        <f aca="false">3*N224^2-2*N224^3</f>
        <v>0.648</v>
      </c>
      <c r="O225" s="105" t="n">
        <f aca="false">3*O224^2-2*O224^3</f>
        <v>0.784</v>
      </c>
      <c r="P225" s="105" t="n">
        <f aca="false">3*P224^2-2*P224^3</f>
        <v>0.896</v>
      </c>
      <c r="Q225" s="105" t="n">
        <f aca="false">3*Q224^2-2*Q224^3</f>
        <v>0.972</v>
      </c>
      <c r="R225" s="105" t="n">
        <f aca="false">3*R224^2-2*R224^3</f>
        <v>1</v>
      </c>
      <c r="S225" s="105" t="n">
        <f aca="false">3*S224^2-2*S224^3</f>
        <v>1</v>
      </c>
      <c r="T225" s="105" t="n">
        <f aca="false">3*T224^2-2*T224^3</f>
        <v>1</v>
      </c>
      <c r="U225" s="105" t="n">
        <f aca="false">3*U224^2-2*U224^3</f>
        <v>1</v>
      </c>
      <c r="V225" s="105" t="n">
        <f aca="false">3*V224^2-2*V224^3</f>
        <v>1</v>
      </c>
      <c r="W225" s="105" t="n">
        <f aca="false">3*W224^2-2*W224^3</f>
        <v>1</v>
      </c>
      <c r="X225" s="105" t="n">
        <f aca="false">3*X224^2-2*X224^3</f>
        <v>1</v>
      </c>
      <c r="Y225" s="105" t="n">
        <f aca="false">3*Y224^2-2*Y224^3</f>
        <v>1</v>
      </c>
      <c r="Z225" s="105" t="n">
        <f aca="false">3*Z224^2-2*Z224^3</f>
        <v>1</v>
      </c>
      <c r="AA225" s="105" t="n">
        <f aca="false">3*AA224^2-2*AA224^3</f>
        <v>1</v>
      </c>
      <c r="AB225" s="105" t="n">
        <f aca="false">3*AB224^2-2*AB224^3</f>
        <v>1</v>
      </c>
    </row>
    <row r="226" customFormat="false" ht="15" hidden="false" customHeight="false" outlineLevel="0" collapsed="false">
      <c r="A226" s="27" t="s">
        <v>720</v>
      </c>
      <c r="B226" s="56"/>
      <c r="E226" s="104" t="n">
        <f aca="false">3*MIN(1,MAX(0,(Assumptions!E$96-Project_Register!$AJ$12)/(Project_Register!$AK$12-Project_Register!$AJ$12+1)))^2-2*MIN(1,MAX(0,(Assumptions!E$96-Project_Register!$AJ$12)/(Project_Register!$AK$12-Project_Register!$AJ$12+1)))^3</f>
        <v>0</v>
      </c>
      <c r="F226" s="104" t="n">
        <f aca="false">3*MIN(1,MAX(0,(Assumptions!F$96-Project_Register!$AJ$12)/(Project_Register!$AK$12-Project_Register!$AJ$12+1)))^2-2*MIN(1,MAX(0,(Assumptions!F$96-Project_Register!$AJ$12)/(Project_Register!$AK$12-Project_Register!$AJ$12+1)))^3</f>
        <v>0</v>
      </c>
      <c r="G226" s="104" t="n">
        <f aca="false">3*MIN(1,MAX(0,(Assumptions!G$96-Project_Register!$AJ$12)/(Project_Register!$AK$12-Project_Register!$AJ$12+1)))^2-2*MIN(1,MAX(0,(Assumptions!G$96-Project_Register!$AJ$12)/(Project_Register!$AK$12-Project_Register!$AJ$12+1)))^3</f>
        <v>0</v>
      </c>
      <c r="H226" s="104" t="n">
        <f aca="false">3*MIN(1,MAX(0,(Assumptions!H$96-Project_Register!$AJ$12)/(Project_Register!$AK$12-Project_Register!$AJ$12+1)))^2-2*MIN(1,MAX(0,(Assumptions!H$96-Project_Register!$AJ$12)/(Project_Register!$AK$12-Project_Register!$AJ$12+1)))^3</f>
        <v>0</v>
      </c>
      <c r="I226" s="104" t="n">
        <f aca="false">3*MIN(1,MAX(0,(Assumptions!I$96-Project_Register!$AJ$12)/(Project_Register!$AK$12-Project_Register!$AJ$12+1)))^2-2*MIN(1,MAX(0,(Assumptions!I$96-Project_Register!$AJ$12)/(Project_Register!$AK$12-Project_Register!$AJ$12+1)))^3</f>
        <v>0</v>
      </c>
      <c r="J226" s="104" t="n">
        <f aca="false">3*MIN(1,MAX(0,(Assumptions!J$96-Project_Register!$AJ$12)/(Project_Register!$AK$12-Project_Register!$AJ$12+1)))^2-2*MIN(1,MAX(0,(Assumptions!J$96-Project_Register!$AJ$12)/(Project_Register!$AK$12-Project_Register!$AJ$12+1)))^3</f>
        <v>0.028</v>
      </c>
      <c r="K226" s="104" t="n">
        <f aca="false">3*MIN(1,MAX(0,(Assumptions!K$96-Project_Register!$AJ$12)/(Project_Register!$AK$12-Project_Register!$AJ$12+1)))^2-2*MIN(1,MAX(0,(Assumptions!K$96-Project_Register!$AJ$12)/(Project_Register!$AK$12-Project_Register!$AJ$12+1)))^3</f>
        <v>0.104</v>
      </c>
      <c r="L226" s="104" t="n">
        <f aca="false">3*MIN(1,MAX(0,(Assumptions!L$96-Project_Register!$AJ$12)/(Project_Register!$AK$12-Project_Register!$AJ$12+1)))^2-2*MIN(1,MAX(0,(Assumptions!L$96-Project_Register!$AJ$12)/(Project_Register!$AK$12-Project_Register!$AJ$12+1)))^3</f>
        <v>0.216</v>
      </c>
      <c r="M226" s="104" t="n">
        <f aca="false">3*MIN(1,MAX(0,(Assumptions!M$96-Project_Register!$AJ$12)/(Project_Register!$AK$12-Project_Register!$AJ$12+1)))^2-2*MIN(1,MAX(0,(Assumptions!M$96-Project_Register!$AJ$12)/(Project_Register!$AK$12-Project_Register!$AJ$12+1)))^3</f>
        <v>0.352</v>
      </c>
      <c r="N226" s="104" t="n">
        <f aca="false">3*MIN(1,MAX(0,(Assumptions!N$96-Project_Register!$AJ$12)/(Project_Register!$AK$12-Project_Register!$AJ$12+1)))^2-2*MIN(1,MAX(0,(Assumptions!N$96-Project_Register!$AJ$12)/(Project_Register!$AK$12-Project_Register!$AJ$12+1)))^3</f>
        <v>0.5</v>
      </c>
      <c r="O226" s="104" t="n">
        <f aca="false">3*MIN(1,MAX(0,(Assumptions!O$96-Project_Register!$AJ$12)/(Project_Register!$AK$12-Project_Register!$AJ$12+1)))^2-2*MIN(1,MAX(0,(Assumptions!O$96-Project_Register!$AJ$12)/(Project_Register!$AK$12-Project_Register!$AJ$12+1)))^3</f>
        <v>0.648</v>
      </c>
      <c r="P226" s="104" t="n">
        <f aca="false">3*MIN(1,MAX(0,(Assumptions!P$96-Project_Register!$AJ$12)/(Project_Register!$AK$12-Project_Register!$AJ$12+1)))^2-2*MIN(1,MAX(0,(Assumptions!P$96-Project_Register!$AJ$12)/(Project_Register!$AK$12-Project_Register!$AJ$12+1)))^3</f>
        <v>0.784</v>
      </c>
      <c r="Q226" s="104" t="n">
        <f aca="false">3*MIN(1,MAX(0,(Assumptions!Q$96-Project_Register!$AJ$12)/(Project_Register!$AK$12-Project_Register!$AJ$12+1)))^2-2*MIN(1,MAX(0,(Assumptions!Q$96-Project_Register!$AJ$12)/(Project_Register!$AK$12-Project_Register!$AJ$12+1)))^3</f>
        <v>0.896</v>
      </c>
      <c r="R226" s="104" t="n">
        <f aca="false">3*MIN(1,MAX(0,(Assumptions!R$96-Project_Register!$AJ$12)/(Project_Register!$AK$12-Project_Register!$AJ$12+1)))^2-2*MIN(1,MAX(0,(Assumptions!R$96-Project_Register!$AJ$12)/(Project_Register!$AK$12-Project_Register!$AJ$12+1)))^3</f>
        <v>0.972</v>
      </c>
      <c r="S226" s="104" t="n">
        <f aca="false">3*MIN(1,MAX(0,(Assumptions!S$96-Project_Register!$AJ$12)/(Project_Register!$AK$12-Project_Register!$AJ$12+1)))^2-2*MIN(1,MAX(0,(Assumptions!S$96-Project_Register!$AJ$12)/(Project_Register!$AK$12-Project_Register!$AJ$12+1)))^3</f>
        <v>1</v>
      </c>
      <c r="T226" s="104" t="n">
        <f aca="false">3*MIN(1,MAX(0,(Assumptions!T$96-Project_Register!$AJ$12)/(Project_Register!$AK$12-Project_Register!$AJ$12+1)))^2-2*MIN(1,MAX(0,(Assumptions!T$96-Project_Register!$AJ$12)/(Project_Register!$AK$12-Project_Register!$AJ$12+1)))^3</f>
        <v>1</v>
      </c>
      <c r="U226" s="104" t="n">
        <f aca="false">3*MIN(1,MAX(0,(Assumptions!U$96-Project_Register!$AJ$12)/(Project_Register!$AK$12-Project_Register!$AJ$12+1)))^2-2*MIN(1,MAX(0,(Assumptions!U$96-Project_Register!$AJ$12)/(Project_Register!$AK$12-Project_Register!$AJ$12+1)))^3</f>
        <v>1</v>
      </c>
      <c r="V226" s="104" t="n">
        <f aca="false">3*MIN(1,MAX(0,(Assumptions!V$96-Project_Register!$AJ$12)/(Project_Register!$AK$12-Project_Register!$AJ$12+1)))^2-2*MIN(1,MAX(0,(Assumptions!V$96-Project_Register!$AJ$12)/(Project_Register!$AK$12-Project_Register!$AJ$12+1)))^3</f>
        <v>1</v>
      </c>
      <c r="W226" s="104" t="n">
        <f aca="false">3*MIN(1,MAX(0,(Assumptions!W$96-Project_Register!$AJ$12)/(Project_Register!$AK$12-Project_Register!$AJ$12+1)))^2-2*MIN(1,MAX(0,(Assumptions!W$96-Project_Register!$AJ$12)/(Project_Register!$AK$12-Project_Register!$AJ$12+1)))^3</f>
        <v>1</v>
      </c>
      <c r="X226" s="104" t="n">
        <f aca="false">3*MIN(1,MAX(0,(Assumptions!X$96-Project_Register!$AJ$12)/(Project_Register!$AK$12-Project_Register!$AJ$12+1)))^2-2*MIN(1,MAX(0,(Assumptions!X$96-Project_Register!$AJ$12)/(Project_Register!$AK$12-Project_Register!$AJ$12+1)))^3</f>
        <v>1</v>
      </c>
      <c r="Y226" s="104" t="n">
        <f aca="false">3*MIN(1,MAX(0,(Assumptions!Y$96-Project_Register!$AJ$12)/(Project_Register!$AK$12-Project_Register!$AJ$12+1)))^2-2*MIN(1,MAX(0,(Assumptions!Y$96-Project_Register!$AJ$12)/(Project_Register!$AK$12-Project_Register!$AJ$12+1)))^3</f>
        <v>1</v>
      </c>
      <c r="Z226" s="104" t="n">
        <f aca="false">3*MIN(1,MAX(0,(Assumptions!Z$96-Project_Register!$AJ$12)/(Project_Register!$AK$12-Project_Register!$AJ$12+1)))^2-2*MIN(1,MAX(0,(Assumptions!Z$96-Project_Register!$AJ$12)/(Project_Register!$AK$12-Project_Register!$AJ$12+1)))^3</f>
        <v>1</v>
      </c>
      <c r="AA226" s="104" t="n">
        <f aca="false">3*MIN(1,MAX(0,(Assumptions!AA$96-Project_Register!$AJ$12)/(Project_Register!$AK$12-Project_Register!$AJ$12+1)))^2-2*MIN(1,MAX(0,(Assumptions!AA$96-Project_Register!$AJ$12)/(Project_Register!$AK$12-Project_Register!$AJ$12+1)))^3</f>
        <v>1</v>
      </c>
      <c r="AB226" s="104" t="n">
        <f aca="false">3*MIN(1,MAX(0,(Assumptions!AB$96-Project_Register!$AJ$12)/(Project_Register!$AK$12-Project_Register!$AJ$12+1)))^2-2*MIN(1,MAX(0,(Assumptions!AB$96-Project_Register!$AJ$12)/(Project_Register!$AK$12-Project_Register!$AJ$12+1)))^3</f>
        <v>1</v>
      </c>
    </row>
    <row r="227" customFormat="false" ht="15" hidden="false" customHeight="false" outlineLevel="0" collapsed="false">
      <c r="A227" s="27" t="s">
        <v>721</v>
      </c>
      <c r="B227" s="56" t="s">
        <v>722</v>
      </c>
      <c r="C227" s="57" t="n">
        <f aca="false">SUM(E227:P227)</f>
        <v>135866.046745679</v>
      </c>
      <c r="D227" s="57" t="n">
        <f aca="false">SUM(Q227:AB227)</f>
        <v>16075.373054321</v>
      </c>
      <c r="E227" s="58" t="n">
        <f aca="false">IF(E$5="A",Inputs_Actuals!E54,IF((Project_Register!$AT$12-Project_Register!$AQ$12)&lt;=0,0,IF(1-Project_Register!$AV$12&lt;=0.000001,IF(Assumptions!E$96=Assumptions!$C$10+1,(Project_Register!$AT$12-Project_Register!$AQ$12),0),(Project_Register!$AT$12-Project_Register!$AQ$12)*(E225-E226)/(1-Project_Register!$AV$12)))*Project_Register!$X$12)</f>
        <v>0</v>
      </c>
      <c r="F227" s="58" t="n">
        <f aca="false">IF(F$5="A",Inputs_Actuals!F54,IF((Project_Register!$AT$12-Project_Register!$AQ$12)&lt;=0,0,IF(1-Project_Register!$AV$12&lt;=0.000001,IF(Assumptions!F$96=Assumptions!$C$10+1,(Project_Register!$AT$12-Project_Register!$AQ$12),0),(Project_Register!$AT$12-Project_Register!$AQ$12)*(F225-F226)/(1-Project_Register!$AV$12)))*Project_Register!$X$12)</f>
        <v>0</v>
      </c>
      <c r="G227" s="58" t="n">
        <f aca="false">IF(G$5="A",Inputs_Actuals!G54,IF((Project_Register!$AT$12-Project_Register!$AQ$12)&lt;=0,0,IF(1-Project_Register!$AV$12&lt;=0.000001,IF(Assumptions!G$96=Assumptions!$C$10+1,(Project_Register!$AT$12-Project_Register!$AQ$12),0),(Project_Register!$AT$12-Project_Register!$AQ$12)*(G225-G226)/(1-Project_Register!$AV$12)))*Project_Register!$X$12)</f>
        <v>0</v>
      </c>
      <c r="H227" s="58" t="n">
        <f aca="false">IF(H$5="A",Inputs_Actuals!H54,IF((Project_Register!$AT$12-Project_Register!$AQ$12)&lt;=0,0,IF(1-Project_Register!$AV$12&lt;=0.000001,IF(Assumptions!H$96=Assumptions!$C$10+1,(Project_Register!$AT$12-Project_Register!$AQ$12),0),(Project_Register!$AT$12-Project_Register!$AQ$12)*(H225-H226)/(1-Project_Register!$AV$12)))*Project_Register!$X$12)</f>
        <v>0</v>
      </c>
      <c r="I227" s="58" t="n">
        <f aca="false">IF(I$5="A",Inputs_Actuals!I54,IF((Project_Register!$AT$12-Project_Register!$AQ$12)&lt;=0,0,IF(1-Project_Register!$AV$12&lt;=0.000001,IF(Assumptions!I$96=Assumptions!$C$10+1,(Project_Register!$AT$12-Project_Register!$AQ$12),0),(Project_Register!$AT$12-Project_Register!$AQ$12)*(I225-I226)/(1-Project_Register!$AV$12)))*Project_Register!$X$12)</f>
        <v>3765.57</v>
      </c>
      <c r="J227" s="58" t="n">
        <f aca="false">IF(J$5="A",Inputs_Actuals!J54,IF((Project_Register!$AT$12-Project_Register!$AQ$12)&lt;=0,0,IF(1-Project_Register!$AV$12&lt;=0.000001,IF(Assumptions!J$96=Assumptions!$C$10+1,(Project_Register!$AT$12-Project_Register!$AQ$12),0),(Project_Register!$AT$12-Project_Register!$AQ$12)*(J225-J226)/(1-Project_Register!$AV$12)))*Project_Register!$X$12)</f>
        <v>10550.21</v>
      </c>
      <c r="K227" s="58" t="n">
        <f aca="false">IF(K$5="A",Inputs_Actuals!K54,IF((Project_Register!$AT$12-Project_Register!$AQ$12)&lt;=0,0,IF(1-Project_Register!$AV$12&lt;=0.000001,IF(Assumptions!K$96=Assumptions!$C$10+1,(Project_Register!$AT$12-Project_Register!$AQ$12),0),(Project_Register!$AT$12-Project_Register!$AQ$12)*(K225-K226)/(1-Project_Register!$AV$12)))*Project_Register!$X$12)</f>
        <v>15618.82</v>
      </c>
      <c r="L227" s="58" t="n">
        <f aca="false">IF(L$5="A",Inputs_Actuals!L54,IF((Project_Register!$AT$12-Project_Register!$AQ$12)&lt;=0,0,IF(1-Project_Register!$AV$12&lt;=0.000001,IF(Assumptions!L$96=Assumptions!$C$10+1,(Project_Register!$AT$12-Project_Register!$AQ$12),0),(Project_Register!$AT$12-Project_Register!$AQ$12)*(L225-L226)/(1-Project_Register!$AV$12)))*Project_Register!$X$12)</f>
        <v>21844.88</v>
      </c>
      <c r="M227" s="58" t="n">
        <f aca="false">IF(M$5="A",Inputs_Actuals!M54,IF((Project_Register!$AT$12-Project_Register!$AQ$12)&lt;=0,0,IF(1-Project_Register!$AV$12&lt;=0.000001,IF(Assumptions!M$96=Assumptions!$C$10+1,(Project_Register!$AT$12-Project_Register!$AQ$12),0),(Project_Register!$AT$12-Project_Register!$AQ$12)*(M225-M226)/(1-Project_Register!$AV$12)))*Project_Register!$X$12)</f>
        <v>22876.4924234568</v>
      </c>
      <c r="N227" s="58" t="n">
        <f aca="false">IF(N$5="A",Inputs_Actuals!N54,IF((Project_Register!$AT$12-Project_Register!$AQ$12)&lt;=0,0,IF(1-Project_Register!$AV$12&lt;=0.000001,IF(Assumptions!N$96=Assumptions!$C$10+1,(Project_Register!$AT$12-Project_Register!$AQ$12),0),(Project_Register!$AT$12-Project_Register!$AQ$12)*(N225-N226)/(1-Project_Register!$AV$12)))*Project_Register!$X$12)</f>
        <v>22876.4924234568</v>
      </c>
      <c r="O227" s="58" t="n">
        <f aca="false">IF(O$5="A",Inputs_Actuals!O54,IF((Project_Register!$AT$12-Project_Register!$AQ$12)&lt;=0,0,IF(1-Project_Register!$AV$12&lt;=0.000001,IF(Assumptions!O$96=Assumptions!$C$10+1,(Project_Register!$AT$12-Project_Register!$AQ$12),0),(Project_Register!$AT$12-Project_Register!$AQ$12)*(O225-O226)/(1-Project_Register!$AV$12)))*Project_Register!$X$12)</f>
        <v>21021.6416864197</v>
      </c>
      <c r="P227" s="58" t="n">
        <f aca="false">IF(P$5="A",Inputs_Actuals!P54,IF((Project_Register!$AT$12-Project_Register!$AQ$12)&lt;=0,0,IF(1-Project_Register!$AV$12&lt;=0.000001,IF(Assumptions!P$96=Assumptions!$C$10+1,(Project_Register!$AT$12-Project_Register!$AQ$12),0),(Project_Register!$AT$12-Project_Register!$AQ$12)*(P225-P226)/(1-Project_Register!$AV$12)))*Project_Register!$X$12)</f>
        <v>17311.9402123457</v>
      </c>
      <c r="Q227" s="58" t="n">
        <f aca="false">IF(Q$5="A",Inputs_Actuals!Q54,IF((Project_Register!$AT$12-Project_Register!$AQ$12)&lt;=0,0,IF(1-Project_Register!$AV$12&lt;=0.000001,IF(Assumptions!Q$96=Assumptions!$C$10+1,(Project_Register!$AT$12-Project_Register!$AQ$12),0),(Project_Register!$AT$12-Project_Register!$AQ$12)*(Q225-Q226)/(1-Project_Register!$AV$12)))*Project_Register!$X$12)</f>
        <v>11747.3880012345</v>
      </c>
      <c r="R227" s="58" t="n">
        <f aca="false">IF(R$5="A",Inputs_Actuals!R54,IF((Project_Register!$AT$12-Project_Register!$AQ$12)&lt;=0,0,IF(1-Project_Register!$AV$12&lt;=0.000001,IF(Assumptions!R$96=Assumptions!$C$10+1,(Project_Register!$AT$12-Project_Register!$AQ$12),0),(Project_Register!$AT$12-Project_Register!$AQ$12)*(R225-R226)/(1-Project_Register!$AV$12)))*Project_Register!$X$12)</f>
        <v>4327.98505308642</v>
      </c>
      <c r="S227" s="58" t="n">
        <f aca="false">IF(S$5="A",Inputs_Actuals!S54,IF((Project_Register!$AT$12-Project_Register!$AQ$12)&lt;=0,0,IF(1-Project_Register!$AV$12&lt;=0.000001,IF(Assumptions!S$96=Assumptions!$C$10+1,(Project_Register!$AT$12-Project_Register!$AQ$12),0),(Project_Register!$AT$12-Project_Register!$AQ$12)*(S225-S226)/(1-Project_Register!$AV$12)))*Project_Register!$X$12)</f>
        <v>0</v>
      </c>
      <c r="T227" s="58" t="n">
        <f aca="false">IF(T$5="A",Inputs_Actuals!T54,IF((Project_Register!$AT$12-Project_Register!$AQ$12)&lt;=0,0,IF(1-Project_Register!$AV$12&lt;=0.000001,IF(Assumptions!T$96=Assumptions!$C$10+1,(Project_Register!$AT$12-Project_Register!$AQ$12),0),(Project_Register!$AT$12-Project_Register!$AQ$12)*(T225-T226)/(1-Project_Register!$AV$12)))*Project_Register!$X$12)</f>
        <v>0</v>
      </c>
      <c r="U227" s="58" t="n">
        <f aca="false">IF(U$5="A",Inputs_Actuals!U54,IF((Project_Register!$AT$12-Project_Register!$AQ$12)&lt;=0,0,IF(1-Project_Register!$AV$12&lt;=0.000001,IF(Assumptions!U$96=Assumptions!$C$10+1,(Project_Register!$AT$12-Project_Register!$AQ$12),0),(Project_Register!$AT$12-Project_Register!$AQ$12)*(U225-U226)/(1-Project_Register!$AV$12)))*Project_Register!$X$12)</f>
        <v>0</v>
      </c>
      <c r="V227" s="58" t="n">
        <f aca="false">IF(V$5="A",Inputs_Actuals!V54,IF((Project_Register!$AT$12-Project_Register!$AQ$12)&lt;=0,0,IF(1-Project_Register!$AV$12&lt;=0.000001,IF(Assumptions!V$96=Assumptions!$C$10+1,(Project_Register!$AT$12-Project_Register!$AQ$12),0),(Project_Register!$AT$12-Project_Register!$AQ$12)*(V225-V226)/(1-Project_Register!$AV$12)))*Project_Register!$X$12)</f>
        <v>0</v>
      </c>
      <c r="W227" s="58" t="n">
        <f aca="false">IF(W$5="A",Inputs_Actuals!W54,IF((Project_Register!$AT$12-Project_Register!$AQ$12)&lt;=0,0,IF(1-Project_Register!$AV$12&lt;=0.000001,IF(Assumptions!W$96=Assumptions!$C$10+1,(Project_Register!$AT$12-Project_Register!$AQ$12),0),(Project_Register!$AT$12-Project_Register!$AQ$12)*(W225-W226)/(1-Project_Register!$AV$12)))*Project_Register!$X$12)</f>
        <v>0</v>
      </c>
      <c r="X227" s="58" t="n">
        <f aca="false">IF(X$5="A",Inputs_Actuals!X54,IF((Project_Register!$AT$12-Project_Register!$AQ$12)&lt;=0,0,IF(1-Project_Register!$AV$12&lt;=0.000001,IF(Assumptions!X$96=Assumptions!$C$10+1,(Project_Register!$AT$12-Project_Register!$AQ$12),0),(Project_Register!$AT$12-Project_Register!$AQ$12)*(X225-X226)/(1-Project_Register!$AV$12)))*Project_Register!$X$12)</f>
        <v>0</v>
      </c>
      <c r="Y227" s="58" t="n">
        <f aca="false">IF(Y$5="A",Inputs_Actuals!Y54,IF((Project_Register!$AT$12-Project_Register!$AQ$12)&lt;=0,0,IF(1-Project_Register!$AV$12&lt;=0.000001,IF(Assumptions!Y$96=Assumptions!$C$10+1,(Project_Register!$AT$12-Project_Register!$AQ$12),0),(Project_Register!$AT$12-Project_Register!$AQ$12)*(Y225-Y226)/(1-Project_Register!$AV$12)))*Project_Register!$X$12)</f>
        <v>0</v>
      </c>
      <c r="Z227" s="58" t="n">
        <f aca="false">IF(Z$5="A",Inputs_Actuals!Z54,IF((Project_Register!$AT$12-Project_Register!$AQ$12)&lt;=0,0,IF(1-Project_Register!$AV$12&lt;=0.000001,IF(Assumptions!Z$96=Assumptions!$C$10+1,(Project_Register!$AT$12-Project_Register!$AQ$12),0),(Project_Register!$AT$12-Project_Register!$AQ$12)*(Z225-Z226)/(1-Project_Register!$AV$12)))*Project_Register!$X$12)</f>
        <v>0</v>
      </c>
      <c r="AA227" s="58" t="n">
        <f aca="false">IF(AA$5="A",Inputs_Actuals!AA54,IF((Project_Register!$AT$12-Project_Register!$AQ$12)&lt;=0,0,IF(1-Project_Register!$AV$12&lt;=0.000001,IF(Assumptions!AA$96=Assumptions!$C$10+1,(Project_Register!$AT$12-Project_Register!$AQ$12),0),(Project_Register!$AT$12-Project_Register!$AQ$12)*(AA225-AA226)/(1-Project_Register!$AV$12)))*Project_Register!$X$12)</f>
        <v>0</v>
      </c>
      <c r="AB227" s="58" t="n">
        <f aca="false">IF(AB$5="A",Inputs_Actuals!AB54,IF((Project_Register!$AT$12-Project_Register!$AQ$12)&lt;=0,0,IF(1-Project_Register!$AV$12&lt;=0.000001,IF(Assumptions!AB$96=Assumptions!$C$10+1,(Project_Register!$AT$12-Project_Register!$AQ$12),0),(Project_Register!$AT$12-Project_Register!$AQ$12)*(AB225-AB226)/(1-Project_Register!$AV$12)))*Project_Register!$X$12)</f>
        <v>0</v>
      </c>
    </row>
    <row r="228" customFormat="false" ht="15" hidden="false" customHeight="false" outlineLevel="0" collapsed="false">
      <c r="A228" s="27" t="s">
        <v>723</v>
      </c>
      <c r="B228" s="56" t="s">
        <v>722</v>
      </c>
      <c r="C228" s="57" t="n">
        <f aca="false">SUM(E228:P228)</f>
        <v>582836.006750617</v>
      </c>
      <c r="D228" s="57" t="n">
        <f aca="false">SUM(Q228:AB228)</f>
        <v>69247.7608493826</v>
      </c>
      <c r="E228" s="58" t="n">
        <f aca="false">IF(E$5="A",Inputs_Actuals!E55,IF((Project_Register!$AT$12-Project_Register!$AQ$12)&lt;=0,0,IF(1-Project_Register!$AV$12&lt;=0.000001,IF(Assumptions!E$96=Assumptions!$C$10+1,(Project_Register!$AT$12-Project_Register!$AQ$12),0),(Project_Register!$AT$12-Project_Register!$AQ$12)*(E225-E226)/(1-Project_Register!$AV$12)))*Project_Register!$Y$12)</f>
        <v>0</v>
      </c>
      <c r="F228" s="58" t="n">
        <f aca="false">IF(F$5="A",Inputs_Actuals!F55,IF((Project_Register!$AT$12-Project_Register!$AQ$12)&lt;=0,0,IF(1-Project_Register!$AV$12&lt;=0.000001,IF(Assumptions!F$96=Assumptions!$C$10+1,(Project_Register!$AT$12-Project_Register!$AQ$12),0),(Project_Register!$AT$12-Project_Register!$AQ$12)*(F225-F226)/(1-Project_Register!$AV$12)))*Project_Register!$Y$12)</f>
        <v>0</v>
      </c>
      <c r="G228" s="58" t="n">
        <f aca="false">IF(G$5="A",Inputs_Actuals!G55,IF((Project_Register!$AT$12-Project_Register!$AQ$12)&lt;=0,0,IF(1-Project_Register!$AV$12&lt;=0.000001,IF(Assumptions!G$96=Assumptions!$C$10+1,(Project_Register!$AT$12-Project_Register!$AQ$12),0),(Project_Register!$AT$12-Project_Register!$AQ$12)*(G225-G226)/(1-Project_Register!$AV$12)))*Project_Register!$Y$12)</f>
        <v>0</v>
      </c>
      <c r="H228" s="58" t="n">
        <f aca="false">IF(H$5="A",Inputs_Actuals!H55,IF((Project_Register!$AT$12-Project_Register!$AQ$12)&lt;=0,0,IF(1-Project_Register!$AV$12&lt;=0.000001,IF(Assumptions!H$96=Assumptions!$C$10+1,(Project_Register!$AT$12-Project_Register!$AQ$12),0),(Project_Register!$AT$12-Project_Register!$AQ$12)*(H225-H226)/(1-Project_Register!$AV$12)))*Project_Register!$Y$12)</f>
        <v>0</v>
      </c>
      <c r="I228" s="58" t="n">
        <f aca="false">IF(I$5="A",Inputs_Actuals!I55,IF((Project_Register!$AT$12-Project_Register!$AQ$12)&lt;=0,0,IF(1-Project_Register!$AV$12&lt;=0.000001,IF(Assumptions!I$96=Assumptions!$C$10+1,(Project_Register!$AT$12-Project_Register!$AQ$12),0),(Project_Register!$AT$12-Project_Register!$AQ$12)*(I225-I226)/(1-Project_Register!$AV$12)))*Project_Register!$Y$12)</f>
        <v>16519.7</v>
      </c>
      <c r="J228" s="58" t="n">
        <f aca="false">IF(J$5="A",Inputs_Actuals!J55,IF((Project_Register!$AT$12-Project_Register!$AQ$12)&lt;=0,0,IF(1-Project_Register!$AV$12&lt;=0.000001,IF(Assumptions!J$96=Assumptions!$C$10+1,(Project_Register!$AT$12-Project_Register!$AQ$12),0),(Project_Register!$AT$12-Project_Register!$AQ$12)*(J225-J226)/(1-Project_Register!$AV$12)))*Project_Register!$Y$12)</f>
        <v>46285.24</v>
      </c>
      <c r="K228" s="58" t="n">
        <f aca="false">IF(K$5="A",Inputs_Actuals!K55,IF((Project_Register!$AT$12-Project_Register!$AQ$12)&lt;=0,0,IF(1-Project_Register!$AV$12&lt;=0.000001,IF(Assumptions!K$96=Assumptions!$C$10+1,(Project_Register!$AT$12-Project_Register!$AQ$12),0),(Project_Register!$AT$12-Project_Register!$AQ$12)*(K225-K226)/(1-Project_Register!$AV$12)))*Project_Register!$Y$12)</f>
        <v>75715.48</v>
      </c>
      <c r="L228" s="58" t="n">
        <f aca="false">IF(L$5="A",Inputs_Actuals!L55,IF((Project_Register!$AT$12-Project_Register!$AQ$12)&lt;=0,0,IF(1-Project_Register!$AV$12&lt;=0.000001,IF(Assumptions!L$96=Assumptions!$C$10+1,(Project_Register!$AT$12-Project_Register!$AQ$12),0),(Project_Register!$AT$12-Project_Register!$AQ$12)*(L225-L226)/(1-Project_Register!$AV$12)))*Project_Register!$Y$12)</f>
        <v>82096.53</v>
      </c>
      <c r="M228" s="58" t="n">
        <f aca="false">IF(M$5="A",Inputs_Actuals!M55,IF((Project_Register!$AT$12-Project_Register!$AQ$12)&lt;=0,0,IF(1-Project_Register!$AV$12&lt;=0.000001,IF(Assumptions!M$96=Assumptions!$C$10+1,(Project_Register!$AT$12-Project_Register!$AQ$12),0),(Project_Register!$AT$12-Project_Register!$AQ$12)*(M225-M226)/(1-Project_Register!$AV$12)))*Project_Register!$Y$12)</f>
        <v>98544.8904395061</v>
      </c>
      <c r="N228" s="58" t="n">
        <f aca="false">IF(N$5="A",Inputs_Actuals!N55,IF((Project_Register!$AT$12-Project_Register!$AQ$12)&lt;=0,0,IF(1-Project_Register!$AV$12&lt;=0.000001,IF(Assumptions!N$96=Assumptions!$C$10+1,(Project_Register!$AT$12-Project_Register!$AQ$12),0),(Project_Register!$AT$12-Project_Register!$AQ$12)*(N225-N226)/(1-Project_Register!$AV$12)))*Project_Register!$Y$12)</f>
        <v>98544.8904395063</v>
      </c>
      <c r="O228" s="58" t="n">
        <f aca="false">IF(O$5="A",Inputs_Actuals!O55,IF((Project_Register!$AT$12-Project_Register!$AQ$12)&lt;=0,0,IF(1-Project_Register!$AV$12&lt;=0.000001,IF(Assumptions!O$96=Assumptions!$C$10+1,(Project_Register!$AT$12-Project_Register!$AQ$12),0),(Project_Register!$AT$12-Project_Register!$AQ$12)*(O225-O226)/(1-Project_Register!$AV$12)))*Project_Register!$Y$12)</f>
        <v>90554.7641876542</v>
      </c>
      <c r="P228" s="58" t="n">
        <f aca="false">IF(P$5="A",Inputs_Actuals!P55,IF((Project_Register!$AT$12-Project_Register!$AQ$12)&lt;=0,0,IF(1-Project_Register!$AV$12&lt;=0.000001,IF(Assumptions!P$96=Assumptions!$C$10+1,(Project_Register!$AT$12-Project_Register!$AQ$12),0),(Project_Register!$AT$12-Project_Register!$AQ$12)*(P225-P226)/(1-Project_Register!$AV$12)))*Project_Register!$Y$12)</f>
        <v>74574.5116839508</v>
      </c>
      <c r="Q228" s="58" t="n">
        <f aca="false">IF(Q$5="A",Inputs_Actuals!Q55,IF((Project_Register!$AT$12-Project_Register!$AQ$12)&lt;=0,0,IF(1-Project_Register!$AV$12&lt;=0.000001,IF(Assumptions!Q$96=Assumptions!$C$10+1,(Project_Register!$AT$12-Project_Register!$AQ$12),0),(Project_Register!$AT$12-Project_Register!$AQ$12)*(Q225-Q226)/(1-Project_Register!$AV$12)))*Project_Register!$Y$12)</f>
        <v>50604.132928395</v>
      </c>
      <c r="R228" s="58" t="n">
        <f aca="false">IF(R$5="A",Inputs_Actuals!R55,IF((Project_Register!$AT$12-Project_Register!$AQ$12)&lt;=0,0,IF(1-Project_Register!$AV$12&lt;=0.000001,IF(Assumptions!R$96=Assumptions!$C$10+1,(Project_Register!$AT$12-Project_Register!$AQ$12),0),(Project_Register!$AT$12-Project_Register!$AQ$12)*(R225-R226)/(1-Project_Register!$AV$12)))*Project_Register!$Y$12)</f>
        <v>18643.6279209877</v>
      </c>
      <c r="S228" s="58" t="n">
        <f aca="false">IF(S$5="A",Inputs_Actuals!S55,IF((Project_Register!$AT$12-Project_Register!$AQ$12)&lt;=0,0,IF(1-Project_Register!$AV$12&lt;=0.000001,IF(Assumptions!S$96=Assumptions!$C$10+1,(Project_Register!$AT$12-Project_Register!$AQ$12),0),(Project_Register!$AT$12-Project_Register!$AQ$12)*(S225-S226)/(1-Project_Register!$AV$12)))*Project_Register!$Y$12)</f>
        <v>0</v>
      </c>
      <c r="T228" s="58" t="n">
        <f aca="false">IF(T$5="A",Inputs_Actuals!T55,IF((Project_Register!$AT$12-Project_Register!$AQ$12)&lt;=0,0,IF(1-Project_Register!$AV$12&lt;=0.000001,IF(Assumptions!T$96=Assumptions!$C$10+1,(Project_Register!$AT$12-Project_Register!$AQ$12),0),(Project_Register!$AT$12-Project_Register!$AQ$12)*(T225-T226)/(1-Project_Register!$AV$12)))*Project_Register!$Y$12)</f>
        <v>0</v>
      </c>
      <c r="U228" s="58" t="n">
        <f aca="false">IF(U$5="A",Inputs_Actuals!U55,IF((Project_Register!$AT$12-Project_Register!$AQ$12)&lt;=0,0,IF(1-Project_Register!$AV$12&lt;=0.000001,IF(Assumptions!U$96=Assumptions!$C$10+1,(Project_Register!$AT$12-Project_Register!$AQ$12),0),(Project_Register!$AT$12-Project_Register!$AQ$12)*(U225-U226)/(1-Project_Register!$AV$12)))*Project_Register!$Y$12)</f>
        <v>0</v>
      </c>
      <c r="V228" s="58" t="n">
        <f aca="false">IF(V$5="A",Inputs_Actuals!V55,IF((Project_Register!$AT$12-Project_Register!$AQ$12)&lt;=0,0,IF(1-Project_Register!$AV$12&lt;=0.000001,IF(Assumptions!V$96=Assumptions!$C$10+1,(Project_Register!$AT$12-Project_Register!$AQ$12),0),(Project_Register!$AT$12-Project_Register!$AQ$12)*(V225-V226)/(1-Project_Register!$AV$12)))*Project_Register!$Y$12)</f>
        <v>0</v>
      </c>
      <c r="W228" s="58" t="n">
        <f aca="false">IF(W$5="A",Inputs_Actuals!W55,IF((Project_Register!$AT$12-Project_Register!$AQ$12)&lt;=0,0,IF(1-Project_Register!$AV$12&lt;=0.000001,IF(Assumptions!W$96=Assumptions!$C$10+1,(Project_Register!$AT$12-Project_Register!$AQ$12),0),(Project_Register!$AT$12-Project_Register!$AQ$12)*(W225-W226)/(1-Project_Register!$AV$12)))*Project_Register!$Y$12)</f>
        <v>0</v>
      </c>
      <c r="X228" s="58" t="n">
        <f aca="false">IF(X$5="A",Inputs_Actuals!X55,IF((Project_Register!$AT$12-Project_Register!$AQ$12)&lt;=0,0,IF(1-Project_Register!$AV$12&lt;=0.000001,IF(Assumptions!X$96=Assumptions!$C$10+1,(Project_Register!$AT$12-Project_Register!$AQ$12),0),(Project_Register!$AT$12-Project_Register!$AQ$12)*(X225-X226)/(1-Project_Register!$AV$12)))*Project_Register!$Y$12)</f>
        <v>0</v>
      </c>
      <c r="Y228" s="58" t="n">
        <f aca="false">IF(Y$5="A",Inputs_Actuals!Y55,IF((Project_Register!$AT$12-Project_Register!$AQ$12)&lt;=0,0,IF(1-Project_Register!$AV$12&lt;=0.000001,IF(Assumptions!Y$96=Assumptions!$C$10+1,(Project_Register!$AT$12-Project_Register!$AQ$12),0),(Project_Register!$AT$12-Project_Register!$AQ$12)*(Y225-Y226)/(1-Project_Register!$AV$12)))*Project_Register!$Y$12)</f>
        <v>0</v>
      </c>
      <c r="Z228" s="58" t="n">
        <f aca="false">IF(Z$5="A",Inputs_Actuals!Z55,IF((Project_Register!$AT$12-Project_Register!$AQ$12)&lt;=0,0,IF(1-Project_Register!$AV$12&lt;=0.000001,IF(Assumptions!Z$96=Assumptions!$C$10+1,(Project_Register!$AT$12-Project_Register!$AQ$12),0),(Project_Register!$AT$12-Project_Register!$AQ$12)*(Z225-Z226)/(1-Project_Register!$AV$12)))*Project_Register!$Y$12)</f>
        <v>0</v>
      </c>
      <c r="AA228" s="58" t="n">
        <f aca="false">IF(AA$5="A",Inputs_Actuals!AA55,IF((Project_Register!$AT$12-Project_Register!$AQ$12)&lt;=0,0,IF(1-Project_Register!$AV$12&lt;=0.000001,IF(Assumptions!AA$96=Assumptions!$C$10+1,(Project_Register!$AT$12-Project_Register!$AQ$12),0),(Project_Register!$AT$12-Project_Register!$AQ$12)*(AA225-AA226)/(1-Project_Register!$AV$12)))*Project_Register!$Y$12)</f>
        <v>0</v>
      </c>
      <c r="AB228" s="58" t="n">
        <f aca="false">IF(AB$5="A",Inputs_Actuals!AB55,IF((Project_Register!$AT$12-Project_Register!$AQ$12)&lt;=0,0,IF(1-Project_Register!$AV$12&lt;=0.000001,IF(Assumptions!AB$96=Assumptions!$C$10+1,(Project_Register!$AT$12-Project_Register!$AQ$12),0),(Project_Register!$AT$12-Project_Register!$AQ$12)*(AB225-AB226)/(1-Project_Register!$AV$12)))*Project_Register!$Y$12)</f>
        <v>0</v>
      </c>
    </row>
    <row r="229" customFormat="false" ht="15" hidden="false" customHeight="false" outlineLevel="0" collapsed="false">
      <c r="A229" s="27" t="s">
        <v>724</v>
      </c>
      <c r="B229" s="56" t="s">
        <v>722</v>
      </c>
      <c r="C229" s="57" t="n">
        <f aca="false">SUM(E229:P229)</f>
        <v>243419.491165432</v>
      </c>
      <c r="D229" s="57" t="n">
        <f aca="false">SUM(Q229:AB229)</f>
        <v>28441.0446345679</v>
      </c>
      <c r="E229" s="58" t="n">
        <f aca="false">IF(E$5="A",Inputs_Actuals!E56,IF((Project_Register!$AT$12-Project_Register!$AQ$12)&lt;=0,0,IF(1-Project_Register!$AV$12&lt;=0.000001,IF(Assumptions!E$96=Assumptions!$C$10+1,(Project_Register!$AT$12-Project_Register!$AQ$12),0),(Project_Register!$AT$12-Project_Register!$AQ$12)*(E225-E226)/(1-Project_Register!$AV$12)))*Project_Register!$Z$12)</f>
        <v>0</v>
      </c>
      <c r="F229" s="58" t="n">
        <f aca="false">IF(F$5="A",Inputs_Actuals!F56,IF((Project_Register!$AT$12-Project_Register!$AQ$12)&lt;=0,0,IF(1-Project_Register!$AV$12&lt;=0.000001,IF(Assumptions!F$96=Assumptions!$C$10+1,(Project_Register!$AT$12-Project_Register!$AQ$12),0),(Project_Register!$AT$12-Project_Register!$AQ$12)*(F225-F226)/(1-Project_Register!$AV$12)))*Project_Register!$Z$12)</f>
        <v>0</v>
      </c>
      <c r="G229" s="58" t="n">
        <f aca="false">IF(G$5="A",Inputs_Actuals!G56,IF((Project_Register!$AT$12-Project_Register!$AQ$12)&lt;=0,0,IF(1-Project_Register!$AV$12&lt;=0.000001,IF(Assumptions!G$96=Assumptions!$C$10+1,(Project_Register!$AT$12-Project_Register!$AQ$12),0),(Project_Register!$AT$12-Project_Register!$AQ$12)*(G225-G226)/(1-Project_Register!$AV$12)))*Project_Register!$Z$12)</f>
        <v>0</v>
      </c>
      <c r="H229" s="58" t="n">
        <f aca="false">IF(H$5="A",Inputs_Actuals!H56,IF((Project_Register!$AT$12-Project_Register!$AQ$12)&lt;=0,0,IF(1-Project_Register!$AV$12&lt;=0.000001,IF(Assumptions!H$96=Assumptions!$C$10+1,(Project_Register!$AT$12-Project_Register!$AQ$12),0),(Project_Register!$AT$12-Project_Register!$AQ$12)*(H225-H226)/(1-Project_Register!$AV$12)))*Project_Register!$Z$12)</f>
        <v>0</v>
      </c>
      <c r="I229" s="58" t="n">
        <f aca="false">IF(I$5="A",Inputs_Actuals!I56,IF((Project_Register!$AT$12-Project_Register!$AQ$12)&lt;=0,0,IF(1-Project_Register!$AV$12&lt;=0.000001,IF(Assumptions!I$96=Assumptions!$C$10+1,(Project_Register!$AT$12-Project_Register!$AQ$12),0),(Project_Register!$AT$12-Project_Register!$AQ$12)*(I225-I226)/(1-Project_Register!$AV$12)))*Project_Register!$Z$12)</f>
        <v>6470.19</v>
      </c>
      <c r="J229" s="58" t="n">
        <f aca="false">IF(J$5="A",Inputs_Actuals!J56,IF((Project_Register!$AT$12-Project_Register!$AQ$12)&lt;=0,0,IF(1-Project_Register!$AV$12&lt;=0.000001,IF(Assumptions!J$96=Assumptions!$C$10+1,(Project_Register!$AT$12-Project_Register!$AQ$12),0),(Project_Register!$AT$12-Project_Register!$AQ$12)*(J225-J226)/(1-Project_Register!$AV$12)))*Project_Register!$Z$12)</f>
        <v>22278.85</v>
      </c>
      <c r="K229" s="58" t="n">
        <f aca="false">IF(K$5="A",Inputs_Actuals!K56,IF((Project_Register!$AT$12-Project_Register!$AQ$12)&lt;=0,0,IF(1-Project_Register!$AV$12&lt;=0.000001,IF(Assumptions!K$96=Assumptions!$C$10+1,(Project_Register!$AT$12-Project_Register!$AQ$12),0),(Project_Register!$AT$12-Project_Register!$AQ$12)*(K225-K226)/(1-Project_Register!$AV$12)))*Project_Register!$Z$12)</f>
        <v>29929.2</v>
      </c>
      <c r="L229" s="58" t="n">
        <f aca="false">IF(L$5="A",Inputs_Actuals!L56,IF((Project_Register!$AT$12-Project_Register!$AQ$12)&lt;=0,0,IF(1-Project_Register!$AV$12&lt;=0.000001,IF(Assumptions!L$96=Assumptions!$C$10+1,(Project_Register!$AT$12-Project_Register!$AQ$12),0),(Project_Register!$AT$12-Project_Register!$AQ$12)*(L225-L226)/(1-Project_Register!$AV$12)))*Project_Register!$Z$12)</f>
        <v>35972.71</v>
      </c>
      <c r="M229" s="58" t="n">
        <f aca="false">IF(M$5="A",Inputs_Actuals!M56,IF((Project_Register!$AT$12-Project_Register!$AQ$12)&lt;=0,0,IF(1-Project_Register!$AV$12&lt;=0.000001,IF(Assumptions!M$96=Assumptions!$C$10+1,(Project_Register!$AT$12-Project_Register!$AQ$12),0),(Project_Register!$AT$12-Project_Register!$AQ$12)*(M225-M226)/(1-Project_Register!$AV$12)))*Project_Register!$Z$12)</f>
        <v>40473.7942876543</v>
      </c>
      <c r="N229" s="58" t="n">
        <f aca="false">IF(N$5="A",Inputs_Actuals!N56,IF((Project_Register!$AT$12-Project_Register!$AQ$12)&lt;=0,0,IF(1-Project_Register!$AV$12&lt;=0.000001,IF(Assumptions!N$96=Assumptions!$C$10+1,(Project_Register!$AT$12-Project_Register!$AQ$12),0),(Project_Register!$AT$12-Project_Register!$AQ$12)*(N225-N226)/(1-Project_Register!$AV$12)))*Project_Register!$Z$12)</f>
        <v>40473.7942876544</v>
      </c>
      <c r="O229" s="58" t="n">
        <f aca="false">IF(O$5="A",Inputs_Actuals!O56,IF((Project_Register!$AT$12-Project_Register!$AQ$12)&lt;=0,0,IF(1-Project_Register!$AV$12&lt;=0.000001,IF(Assumptions!O$96=Assumptions!$C$10+1,(Project_Register!$AT$12-Project_Register!$AQ$12),0),(Project_Register!$AT$12-Project_Register!$AQ$12)*(O225-O226)/(1-Project_Register!$AV$12)))*Project_Register!$Z$12)</f>
        <v>37192.135291358</v>
      </c>
      <c r="P229" s="58" t="n">
        <f aca="false">IF(P$5="A",Inputs_Actuals!P56,IF((Project_Register!$AT$12-Project_Register!$AQ$12)&lt;=0,0,IF(1-Project_Register!$AV$12&lt;=0.000001,IF(Assumptions!P$96=Assumptions!$C$10+1,(Project_Register!$AT$12-Project_Register!$AQ$12),0),(Project_Register!$AT$12-Project_Register!$AQ$12)*(P225-P226)/(1-Project_Register!$AV$12)))*Project_Register!$Z$12)</f>
        <v>30628.8172987655</v>
      </c>
      <c r="Q229" s="58" t="n">
        <f aca="false">IF(Q$5="A",Inputs_Actuals!Q56,IF((Project_Register!$AT$12-Project_Register!$AQ$12)&lt;=0,0,IF(1-Project_Register!$AV$12&lt;=0.000001,IF(Assumptions!Q$96=Assumptions!$C$10+1,(Project_Register!$AT$12-Project_Register!$AQ$12),0),(Project_Register!$AT$12-Project_Register!$AQ$12)*(Q225-Q226)/(1-Project_Register!$AV$12)))*Project_Register!$Z$12)</f>
        <v>20783.8403098765</v>
      </c>
      <c r="R229" s="58" t="n">
        <f aca="false">IF(R$5="A",Inputs_Actuals!R56,IF((Project_Register!$AT$12-Project_Register!$AQ$12)&lt;=0,0,IF(1-Project_Register!$AV$12&lt;=0.000001,IF(Assumptions!R$96=Assumptions!$C$10+1,(Project_Register!$AT$12-Project_Register!$AQ$12),0),(Project_Register!$AT$12-Project_Register!$AQ$12)*(R225-R226)/(1-Project_Register!$AV$12)))*Project_Register!$Z$12)</f>
        <v>7657.20432469137</v>
      </c>
      <c r="S229" s="58" t="n">
        <f aca="false">IF(S$5="A",Inputs_Actuals!S56,IF((Project_Register!$AT$12-Project_Register!$AQ$12)&lt;=0,0,IF(1-Project_Register!$AV$12&lt;=0.000001,IF(Assumptions!S$96=Assumptions!$C$10+1,(Project_Register!$AT$12-Project_Register!$AQ$12),0),(Project_Register!$AT$12-Project_Register!$AQ$12)*(S225-S226)/(1-Project_Register!$AV$12)))*Project_Register!$Z$12)</f>
        <v>0</v>
      </c>
      <c r="T229" s="58" t="n">
        <f aca="false">IF(T$5="A",Inputs_Actuals!T56,IF((Project_Register!$AT$12-Project_Register!$AQ$12)&lt;=0,0,IF(1-Project_Register!$AV$12&lt;=0.000001,IF(Assumptions!T$96=Assumptions!$C$10+1,(Project_Register!$AT$12-Project_Register!$AQ$12),0),(Project_Register!$AT$12-Project_Register!$AQ$12)*(T225-T226)/(1-Project_Register!$AV$12)))*Project_Register!$Z$12)</f>
        <v>0</v>
      </c>
      <c r="U229" s="58" t="n">
        <f aca="false">IF(U$5="A",Inputs_Actuals!U56,IF((Project_Register!$AT$12-Project_Register!$AQ$12)&lt;=0,0,IF(1-Project_Register!$AV$12&lt;=0.000001,IF(Assumptions!U$96=Assumptions!$C$10+1,(Project_Register!$AT$12-Project_Register!$AQ$12),0),(Project_Register!$AT$12-Project_Register!$AQ$12)*(U225-U226)/(1-Project_Register!$AV$12)))*Project_Register!$Z$12)</f>
        <v>0</v>
      </c>
      <c r="V229" s="58" t="n">
        <f aca="false">IF(V$5="A",Inputs_Actuals!V56,IF((Project_Register!$AT$12-Project_Register!$AQ$12)&lt;=0,0,IF(1-Project_Register!$AV$12&lt;=0.000001,IF(Assumptions!V$96=Assumptions!$C$10+1,(Project_Register!$AT$12-Project_Register!$AQ$12),0),(Project_Register!$AT$12-Project_Register!$AQ$12)*(V225-V226)/(1-Project_Register!$AV$12)))*Project_Register!$Z$12)</f>
        <v>0</v>
      </c>
      <c r="W229" s="58" t="n">
        <f aca="false">IF(W$5="A",Inputs_Actuals!W56,IF((Project_Register!$AT$12-Project_Register!$AQ$12)&lt;=0,0,IF(1-Project_Register!$AV$12&lt;=0.000001,IF(Assumptions!W$96=Assumptions!$C$10+1,(Project_Register!$AT$12-Project_Register!$AQ$12),0),(Project_Register!$AT$12-Project_Register!$AQ$12)*(W225-W226)/(1-Project_Register!$AV$12)))*Project_Register!$Z$12)</f>
        <v>0</v>
      </c>
      <c r="X229" s="58" t="n">
        <f aca="false">IF(X$5="A",Inputs_Actuals!X56,IF((Project_Register!$AT$12-Project_Register!$AQ$12)&lt;=0,0,IF(1-Project_Register!$AV$12&lt;=0.000001,IF(Assumptions!X$96=Assumptions!$C$10+1,(Project_Register!$AT$12-Project_Register!$AQ$12),0),(Project_Register!$AT$12-Project_Register!$AQ$12)*(X225-X226)/(1-Project_Register!$AV$12)))*Project_Register!$Z$12)</f>
        <v>0</v>
      </c>
      <c r="Y229" s="58" t="n">
        <f aca="false">IF(Y$5="A",Inputs_Actuals!Y56,IF((Project_Register!$AT$12-Project_Register!$AQ$12)&lt;=0,0,IF(1-Project_Register!$AV$12&lt;=0.000001,IF(Assumptions!Y$96=Assumptions!$C$10+1,(Project_Register!$AT$12-Project_Register!$AQ$12),0),(Project_Register!$AT$12-Project_Register!$AQ$12)*(Y225-Y226)/(1-Project_Register!$AV$12)))*Project_Register!$Z$12)</f>
        <v>0</v>
      </c>
      <c r="Z229" s="58" t="n">
        <f aca="false">IF(Z$5="A",Inputs_Actuals!Z56,IF((Project_Register!$AT$12-Project_Register!$AQ$12)&lt;=0,0,IF(1-Project_Register!$AV$12&lt;=0.000001,IF(Assumptions!Z$96=Assumptions!$C$10+1,(Project_Register!$AT$12-Project_Register!$AQ$12),0),(Project_Register!$AT$12-Project_Register!$AQ$12)*(Z225-Z226)/(1-Project_Register!$AV$12)))*Project_Register!$Z$12)</f>
        <v>0</v>
      </c>
      <c r="AA229" s="58" t="n">
        <f aca="false">IF(AA$5="A",Inputs_Actuals!AA56,IF((Project_Register!$AT$12-Project_Register!$AQ$12)&lt;=0,0,IF(1-Project_Register!$AV$12&lt;=0.000001,IF(Assumptions!AA$96=Assumptions!$C$10+1,(Project_Register!$AT$12-Project_Register!$AQ$12),0),(Project_Register!$AT$12-Project_Register!$AQ$12)*(AA225-AA226)/(1-Project_Register!$AV$12)))*Project_Register!$Z$12)</f>
        <v>0</v>
      </c>
      <c r="AB229" s="58" t="n">
        <f aca="false">IF(AB$5="A",Inputs_Actuals!AB56,IF((Project_Register!$AT$12-Project_Register!$AQ$12)&lt;=0,0,IF(1-Project_Register!$AV$12&lt;=0.000001,IF(Assumptions!AB$96=Assumptions!$C$10+1,(Project_Register!$AT$12-Project_Register!$AQ$12),0),(Project_Register!$AT$12-Project_Register!$AQ$12)*(AB225-AB226)/(1-Project_Register!$AV$12)))*Project_Register!$Z$12)</f>
        <v>0</v>
      </c>
    </row>
    <row r="230" customFormat="false" ht="15" hidden="false" customHeight="false" outlineLevel="0" collapsed="false">
      <c r="A230" s="27" t="s">
        <v>725</v>
      </c>
      <c r="B230" s="56" t="s">
        <v>722</v>
      </c>
      <c r="C230" s="57" t="n">
        <f aca="false">SUM(E230:P230)</f>
        <v>31556.8223259259</v>
      </c>
      <c r="D230" s="57" t="n">
        <f aca="false">SUM(Q230:AB230)</f>
        <v>3709.70147407407</v>
      </c>
      <c r="E230" s="58" t="n">
        <f aca="false">IF(E$5="A",Inputs_Actuals!E57,IF((Project_Register!$AT$12-Project_Register!$AQ$12)&lt;=0,0,IF(1-Project_Register!$AV$12&lt;=0.000001,IF(Assumptions!E$96=Assumptions!$C$10+1,(Project_Register!$AT$12-Project_Register!$AQ$12),0),(Project_Register!$AT$12-Project_Register!$AQ$12)*(E225-E226)/(1-Project_Register!$AV$12)))*Project_Register!$AA$12)</f>
        <v>0</v>
      </c>
      <c r="F230" s="58" t="n">
        <f aca="false">IF(F$5="A",Inputs_Actuals!F57,IF((Project_Register!$AT$12-Project_Register!$AQ$12)&lt;=0,0,IF(1-Project_Register!$AV$12&lt;=0.000001,IF(Assumptions!F$96=Assumptions!$C$10+1,(Project_Register!$AT$12-Project_Register!$AQ$12),0),(Project_Register!$AT$12-Project_Register!$AQ$12)*(F225-F226)/(1-Project_Register!$AV$12)))*Project_Register!$AA$12)</f>
        <v>0</v>
      </c>
      <c r="G230" s="58" t="n">
        <f aca="false">IF(G$5="A",Inputs_Actuals!G57,IF((Project_Register!$AT$12-Project_Register!$AQ$12)&lt;=0,0,IF(1-Project_Register!$AV$12&lt;=0.000001,IF(Assumptions!G$96=Assumptions!$C$10+1,(Project_Register!$AT$12-Project_Register!$AQ$12),0),(Project_Register!$AT$12-Project_Register!$AQ$12)*(G225-G226)/(1-Project_Register!$AV$12)))*Project_Register!$AA$12)</f>
        <v>0</v>
      </c>
      <c r="H230" s="58" t="n">
        <f aca="false">IF(H$5="A",Inputs_Actuals!H57,IF((Project_Register!$AT$12-Project_Register!$AQ$12)&lt;=0,0,IF(1-Project_Register!$AV$12&lt;=0.000001,IF(Assumptions!H$96=Assumptions!$C$10+1,(Project_Register!$AT$12-Project_Register!$AQ$12),0),(Project_Register!$AT$12-Project_Register!$AQ$12)*(H225-H226)/(1-Project_Register!$AV$12)))*Project_Register!$AA$12)</f>
        <v>0</v>
      </c>
      <c r="I230" s="58" t="n">
        <f aca="false">IF(I$5="A",Inputs_Actuals!I57,IF((Project_Register!$AT$12-Project_Register!$AQ$12)&lt;=0,0,IF(1-Project_Register!$AV$12&lt;=0.000001,IF(Assumptions!I$96=Assumptions!$C$10+1,(Project_Register!$AT$12-Project_Register!$AQ$12),0),(Project_Register!$AT$12-Project_Register!$AQ$12)*(I225-I226)/(1-Project_Register!$AV$12)))*Project_Register!$AA$12)</f>
        <v>914.62</v>
      </c>
      <c r="J230" s="58" t="n">
        <f aca="false">IF(J$5="A",Inputs_Actuals!J57,IF((Project_Register!$AT$12-Project_Register!$AQ$12)&lt;=0,0,IF(1-Project_Register!$AV$12&lt;=0.000001,IF(Assumptions!J$96=Assumptions!$C$10+1,(Project_Register!$AT$12-Project_Register!$AQ$12),0),(Project_Register!$AT$12-Project_Register!$AQ$12)*(J225-J226)/(1-Project_Register!$AV$12)))*Project_Register!$AA$12)</f>
        <v>2460.24</v>
      </c>
      <c r="K230" s="58" t="n">
        <f aca="false">IF(K$5="A",Inputs_Actuals!K57,IF((Project_Register!$AT$12-Project_Register!$AQ$12)&lt;=0,0,IF(1-Project_Register!$AV$12&lt;=0.000001,IF(Assumptions!K$96=Assumptions!$C$10+1,(Project_Register!$AT$12-Project_Register!$AQ$12),0),(Project_Register!$AT$12-Project_Register!$AQ$12)*(K225-K226)/(1-Project_Register!$AV$12)))*Project_Register!$AA$12)</f>
        <v>4183.21</v>
      </c>
      <c r="L230" s="58" t="n">
        <f aca="false">IF(L$5="A",Inputs_Actuals!L57,IF((Project_Register!$AT$12-Project_Register!$AQ$12)&lt;=0,0,IF(1-Project_Register!$AV$12&lt;=0.000001,IF(Assumptions!L$96=Assumptions!$C$10+1,(Project_Register!$AT$12-Project_Register!$AQ$12),0),(Project_Register!$AT$12-Project_Register!$AQ$12)*(L225-L226)/(1-Project_Register!$AV$12)))*Project_Register!$AA$12)</f>
        <v>4594.16</v>
      </c>
      <c r="M230" s="58" t="n">
        <f aca="false">IF(M$5="A",Inputs_Actuals!M57,IF((Project_Register!$AT$12-Project_Register!$AQ$12)&lt;=0,0,IF(1-Project_Register!$AV$12&lt;=0.000001,IF(Assumptions!M$96=Assumptions!$C$10+1,(Project_Register!$AT$12-Project_Register!$AQ$12),0),(Project_Register!$AT$12-Project_Register!$AQ$12)*(M225-M226)/(1-Project_Register!$AV$12)))*Project_Register!$AA$12)</f>
        <v>5279.19055925926</v>
      </c>
      <c r="N230" s="58" t="n">
        <f aca="false">IF(N$5="A",Inputs_Actuals!N57,IF((Project_Register!$AT$12-Project_Register!$AQ$12)&lt;=0,0,IF(1-Project_Register!$AV$12&lt;=0.000001,IF(Assumptions!N$96=Assumptions!$C$10+1,(Project_Register!$AT$12-Project_Register!$AQ$12),0),(Project_Register!$AT$12-Project_Register!$AQ$12)*(N225-N226)/(1-Project_Register!$AV$12)))*Project_Register!$AA$12)</f>
        <v>5279.19055925926</v>
      </c>
      <c r="O230" s="58" t="n">
        <f aca="false">IF(O$5="A",Inputs_Actuals!O57,IF((Project_Register!$AT$12-Project_Register!$AQ$12)&lt;=0,0,IF(1-Project_Register!$AV$12&lt;=0.000001,IF(Assumptions!O$96=Assumptions!$C$10+1,(Project_Register!$AT$12-Project_Register!$AQ$12),0),(Project_Register!$AT$12-Project_Register!$AQ$12)*(O225-O226)/(1-Project_Register!$AV$12)))*Project_Register!$AA$12)</f>
        <v>4851.14808148148</v>
      </c>
      <c r="P230" s="58" t="n">
        <f aca="false">IF(P$5="A",Inputs_Actuals!P57,IF((Project_Register!$AT$12-Project_Register!$AQ$12)&lt;=0,0,IF(1-Project_Register!$AV$12&lt;=0.000001,IF(Assumptions!P$96=Assumptions!$C$10+1,(Project_Register!$AT$12-Project_Register!$AQ$12),0),(Project_Register!$AT$12-Project_Register!$AQ$12)*(P225-P226)/(1-Project_Register!$AV$12)))*Project_Register!$AA$12)</f>
        <v>3995.06312592593</v>
      </c>
      <c r="Q230" s="58" t="n">
        <f aca="false">IF(Q$5="A",Inputs_Actuals!Q57,IF((Project_Register!$AT$12-Project_Register!$AQ$12)&lt;=0,0,IF(1-Project_Register!$AV$12&lt;=0.000001,IF(Assumptions!Q$96=Assumptions!$C$10+1,(Project_Register!$AT$12-Project_Register!$AQ$12),0),(Project_Register!$AT$12-Project_Register!$AQ$12)*(Q225-Q226)/(1-Project_Register!$AV$12)))*Project_Register!$AA$12)</f>
        <v>2710.93569259259</v>
      </c>
      <c r="R230" s="58" t="n">
        <f aca="false">IF(R$5="A",Inputs_Actuals!R57,IF((Project_Register!$AT$12-Project_Register!$AQ$12)&lt;=0,0,IF(1-Project_Register!$AV$12&lt;=0.000001,IF(Assumptions!R$96=Assumptions!$C$10+1,(Project_Register!$AT$12-Project_Register!$AQ$12),0),(Project_Register!$AT$12-Project_Register!$AQ$12)*(R225-R226)/(1-Project_Register!$AV$12)))*Project_Register!$AA$12)</f>
        <v>998.765781481483</v>
      </c>
      <c r="S230" s="58" t="n">
        <f aca="false">IF(S$5="A",Inputs_Actuals!S57,IF((Project_Register!$AT$12-Project_Register!$AQ$12)&lt;=0,0,IF(1-Project_Register!$AV$12&lt;=0.000001,IF(Assumptions!S$96=Assumptions!$C$10+1,(Project_Register!$AT$12-Project_Register!$AQ$12),0),(Project_Register!$AT$12-Project_Register!$AQ$12)*(S225-S226)/(1-Project_Register!$AV$12)))*Project_Register!$AA$12)</f>
        <v>0</v>
      </c>
      <c r="T230" s="58" t="n">
        <f aca="false">IF(T$5="A",Inputs_Actuals!T57,IF((Project_Register!$AT$12-Project_Register!$AQ$12)&lt;=0,0,IF(1-Project_Register!$AV$12&lt;=0.000001,IF(Assumptions!T$96=Assumptions!$C$10+1,(Project_Register!$AT$12-Project_Register!$AQ$12),0),(Project_Register!$AT$12-Project_Register!$AQ$12)*(T225-T226)/(1-Project_Register!$AV$12)))*Project_Register!$AA$12)</f>
        <v>0</v>
      </c>
      <c r="U230" s="58" t="n">
        <f aca="false">IF(U$5="A",Inputs_Actuals!U57,IF((Project_Register!$AT$12-Project_Register!$AQ$12)&lt;=0,0,IF(1-Project_Register!$AV$12&lt;=0.000001,IF(Assumptions!U$96=Assumptions!$C$10+1,(Project_Register!$AT$12-Project_Register!$AQ$12),0),(Project_Register!$AT$12-Project_Register!$AQ$12)*(U225-U226)/(1-Project_Register!$AV$12)))*Project_Register!$AA$12)</f>
        <v>0</v>
      </c>
      <c r="V230" s="58" t="n">
        <f aca="false">IF(V$5="A",Inputs_Actuals!V57,IF((Project_Register!$AT$12-Project_Register!$AQ$12)&lt;=0,0,IF(1-Project_Register!$AV$12&lt;=0.000001,IF(Assumptions!V$96=Assumptions!$C$10+1,(Project_Register!$AT$12-Project_Register!$AQ$12),0),(Project_Register!$AT$12-Project_Register!$AQ$12)*(V225-V226)/(1-Project_Register!$AV$12)))*Project_Register!$AA$12)</f>
        <v>0</v>
      </c>
      <c r="W230" s="58" t="n">
        <f aca="false">IF(W$5="A",Inputs_Actuals!W57,IF((Project_Register!$AT$12-Project_Register!$AQ$12)&lt;=0,0,IF(1-Project_Register!$AV$12&lt;=0.000001,IF(Assumptions!W$96=Assumptions!$C$10+1,(Project_Register!$AT$12-Project_Register!$AQ$12),0),(Project_Register!$AT$12-Project_Register!$AQ$12)*(W225-W226)/(1-Project_Register!$AV$12)))*Project_Register!$AA$12)</f>
        <v>0</v>
      </c>
      <c r="X230" s="58" t="n">
        <f aca="false">IF(X$5="A",Inputs_Actuals!X57,IF((Project_Register!$AT$12-Project_Register!$AQ$12)&lt;=0,0,IF(1-Project_Register!$AV$12&lt;=0.000001,IF(Assumptions!X$96=Assumptions!$C$10+1,(Project_Register!$AT$12-Project_Register!$AQ$12),0),(Project_Register!$AT$12-Project_Register!$AQ$12)*(X225-X226)/(1-Project_Register!$AV$12)))*Project_Register!$AA$12)</f>
        <v>0</v>
      </c>
      <c r="Y230" s="58" t="n">
        <f aca="false">IF(Y$5="A",Inputs_Actuals!Y57,IF((Project_Register!$AT$12-Project_Register!$AQ$12)&lt;=0,0,IF(1-Project_Register!$AV$12&lt;=0.000001,IF(Assumptions!Y$96=Assumptions!$C$10+1,(Project_Register!$AT$12-Project_Register!$AQ$12),0),(Project_Register!$AT$12-Project_Register!$AQ$12)*(Y225-Y226)/(1-Project_Register!$AV$12)))*Project_Register!$AA$12)</f>
        <v>0</v>
      </c>
      <c r="Z230" s="58" t="n">
        <f aca="false">IF(Z$5="A",Inputs_Actuals!Z57,IF((Project_Register!$AT$12-Project_Register!$AQ$12)&lt;=0,0,IF(1-Project_Register!$AV$12&lt;=0.000001,IF(Assumptions!Z$96=Assumptions!$C$10+1,(Project_Register!$AT$12-Project_Register!$AQ$12),0),(Project_Register!$AT$12-Project_Register!$AQ$12)*(Z225-Z226)/(1-Project_Register!$AV$12)))*Project_Register!$AA$12)</f>
        <v>0</v>
      </c>
      <c r="AA230" s="58" t="n">
        <f aca="false">IF(AA$5="A",Inputs_Actuals!AA57,IF((Project_Register!$AT$12-Project_Register!$AQ$12)&lt;=0,0,IF(1-Project_Register!$AV$12&lt;=0.000001,IF(Assumptions!AA$96=Assumptions!$C$10+1,(Project_Register!$AT$12-Project_Register!$AQ$12),0),(Project_Register!$AT$12-Project_Register!$AQ$12)*(AA225-AA226)/(1-Project_Register!$AV$12)))*Project_Register!$AA$12)</f>
        <v>0</v>
      </c>
      <c r="AB230" s="58" t="n">
        <f aca="false">IF(AB$5="A",Inputs_Actuals!AB57,IF((Project_Register!$AT$12-Project_Register!$AQ$12)&lt;=0,0,IF(1-Project_Register!$AV$12&lt;=0.000001,IF(Assumptions!AB$96=Assumptions!$C$10+1,(Project_Register!$AT$12-Project_Register!$AQ$12),0),(Project_Register!$AT$12-Project_Register!$AQ$12)*(AB225-AB226)/(1-Project_Register!$AV$12)))*Project_Register!$AA$12)</f>
        <v>0</v>
      </c>
    </row>
    <row r="231" customFormat="false" ht="15" hidden="false" customHeight="false" outlineLevel="0" collapsed="false">
      <c r="A231" s="27" t="s">
        <v>726</v>
      </c>
      <c r="B231" s="56" t="s">
        <v>722</v>
      </c>
      <c r="C231" s="57" t="n">
        <f aca="false">SUM(E231:P231)</f>
        <v>52664.9172098765</v>
      </c>
      <c r="D231" s="57" t="n">
        <f aca="false">SUM(Q231:AB231)</f>
        <v>6182.83579012344</v>
      </c>
      <c r="E231" s="58" t="n">
        <f aca="false">IF(E$5="A",Inputs_Actuals!E58,IF((Project_Register!$AT$12-Project_Register!$AQ$12)&lt;=0,0,IF(1-Project_Register!$AV$12&lt;=0.000001,IF(Assumptions!E$96=Assumptions!$C$10+1,(Project_Register!$AT$12-Project_Register!$AQ$12),0),(Project_Register!$AT$12-Project_Register!$AQ$12)*(E225-E226)/(1-Project_Register!$AV$12)))*Project_Register!$AB$12)</f>
        <v>0</v>
      </c>
      <c r="F231" s="58" t="n">
        <f aca="false">IF(F$5="A",Inputs_Actuals!F58,IF((Project_Register!$AT$12-Project_Register!$AQ$12)&lt;=0,0,IF(1-Project_Register!$AV$12&lt;=0.000001,IF(Assumptions!F$96=Assumptions!$C$10+1,(Project_Register!$AT$12-Project_Register!$AQ$12),0),(Project_Register!$AT$12-Project_Register!$AQ$12)*(F225-F226)/(1-Project_Register!$AV$12)))*Project_Register!$AB$12)</f>
        <v>0</v>
      </c>
      <c r="G231" s="58" t="n">
        <f aca="false">IF(G$5="A",Inputs_Actuals!G58,IF((Project_Register!$AT$12-Project_Register!$AQ$12)&lt;=0,0,IF(1-Project_Register!$AV$12&lt;=0.000001,IF(Assumptions!G$96=Assumptions!$C$10+1,(Project_Register!$AT$12-Project_Register!$AQ$12),0),(Project_Register!$AT$12-Project_Register!$AQ$12)*(G225-G226)/(1-Project_Register!$AV$12)))*Project_Register!$AB$12)</f>
        <v>0</v>
      </c>
      <c r="H231" s="58" t="n">
        <f aca="false">IF(H$5="A",Inputs_Actuals!H58,IF((Project_Register!$AT$12-Project_Register!$AQ$12)&lt;=0,0,IF(1-Project_Register!$AV$12&lt;=0.000001,IF(Assumptions!H$96=Assumptions!$C$10+1,(Project_Register!$AT$12-Project_Register!$AQ$12),0),(Project_Register!$AT$12-Project_Register!$AQ$12)*(H225-H226)/(1-Project_Register!$AV$12)))*Project_Register!$AB$12)</f>
        <v>0</v>
      </c>
      <c r="I231" s="58" t="n">
        <f aca="false">IF(I$5="A",Inputs_Actuals!I58,IF((Project_Register!$AT$12-Project_Register!$AQ$12)&lt;=0,0,IF(1-Project_Register!$AV$12&lt;=0.000001,IF(Assumptions!I$96=Assumptions!$C$10+1,(Project_Register!$AT$12-Project_Register!$AQ$12),0),(Project_Register!$AT$12-Project_Register!$AQ$12)*(I225-I226)/(1-Project_Register!$AV$12)))*Project_Register!$AB$12)</f>
        <v>1585.13</v>
      </c>
      <c r="J231" s="58" t="n">
        <f aca="false">IF(J$5="A",Inputs_Actuals!J58,IF((Project_Register!$AT$12-Project_Register!$AQ$12)&lt;=0,0,IF(1-Project_Register!$AV$12&lt;=0.000001,IF(Assumptions!J$96=Assumptions!$C$10+1,(Project_Register!$AT$12-Project_Register!$AQ$12),0),(Project_Register!$AT$12-Project_Register!$AQ$12)*(J225-J226)/(1-Project_Register!$AV$12)))*Project_Register!$AB$12)</f>
        <v>4316.22</v>
      </c>
      <c r="K231" s="58" t="n">
        <f aca="false">IF(K$5="A",Inputs_Actuals!K58,IF((Project_Register!$AT$12-Project_Register!$AQ$12)&lt;=0,0,IF(1-Project_Register!$AV$12&lt;=0.000001,IF(Assumptions!K$96=Assumptions!$C$10+1,(Project_Register!$AT$12-Project_Register!$AQ$12),0),(Project_Register!$AT$12-Project_Register!$AQ$12)*(K225-K226)/(1-Project_Register!$AV$12)))*Project_Register!$AB$12)</f>
        <v>6663.73</v>
      </c>
      <c r="L231" s="58" t="n">
        <f aca="false">IF(L$5="A",Inputs_Actuals!L58,IF((Project_Register!$AT$12-Project_Register!$AQ$12)&lt;=0,0,IF(1-Project_Register!$AV$12&lt;=0.000001,IF(Assumptions!L$96=Assumptions!$C$10+1,(Project_Register!$AT$12-Project_Register!$AQ$12),0),(Project_Register!$AT$12-Project_Register!$AQ$12)*(L225-L226)/(1-Project_Register!$AV$12)))*Project_Register!$AB$12)</f>
        <v>7758.85</v>
      </c>
      <c r="M231" s="58" t="n">
        <f aca="false">IF(M$5="A",Inputs_Actuals!M58,IF((Project_Register!$AT$12-Project_Register!$AQ$12)&lt;=0,0,IF(1-Project_Register!$AV$12&lt;=0.000001,IF(Assumptions!M$96=Assumptions!$C$10+1,(Project_Register!$AT$12-Project_Register!$AQ$12),0),(Project_Register!$AT$12-Project_Register!$AQ$12)*(M225-M226)/(1-Project_Register!$AV$12)))*Project_Register!$AB$12)</f>
        <v>8798.65093209875</v>
      </c>
      <c r="N231" s="58" t="n">
        <f aca="false">IF(N$5="A",Inputs_Actuals!N58,IF((Project_Register!$AT$12-Project_Register!$AQ$12)&lt;=0,0,IF(1-Project_Register!$AV$12&lt;=0.000001,IF(Assumptions!N$96=Assumptions!$C$10+1,(Project_Register!$AT$12-Project_Register!$AQ$12),0),(Project_Register!$AT$12-Project_Register!$AQ$12)*(N225-N226)/(1-Project_Register!$AV$12)))*Project_Register!$AB$12)</f>
        <v>8798.65093209876</v>
      </c>
      <c r="O231" s="58" t="n">
        <f aca="false">IF(O$5="A",Inputs_Actuals!O58,IF((Project_Register!$AT$12-Project_Register!$AQ$12)&lt;=0,0,IF(1-Project_Register!$AV$12&lt;=0.000001,IF(Assumptions!O$96=Assumptions!$C$10+1,(Project_Register!$AT$12-Project_Register!$AQ$12),0),(Project_Register!$AT$12-Project_Register!$AQ$12)*(O225-O226)/(1-Project_Register!$AV$12)))*Project_Register!$AB$12)</f>
        <v>8085.24680246911</v>
      </c>
      <c r="P231" s="58" t="n">
        <f aca="false">IF(P$5="A",Inputs_Actuals!P58,IF((Project_Register!$AT$12-Project_Register!$AQ$12)&lt;=0,0,IF(1-Project_Register!$AV$12&lt;=0.000001,IF(Assumptions!P$96=Assumptions!$C$10+1,(Project_Register!$AT$12-Project_Register!$AQ$12),0),(Project_Register!$AT$12-Project_Register!$AQ$12)*(P225-P226)/(1-Project_Register!$AV$12)))*Project_Register!$AB$12)</f>
        <v>6658.43854320988</v>
      </c>
      <c r="Q231" s="58" t="n">
        <f aca="false">IF(Q$5="A",Inputs_Actuals!Q58,IF((Project_Register!$AT$12-Project_Register!$AQ$12)&lt;=0,0,IF(1-Project_Register!$AV$12&lt;=0.000001,IF(Assumptions!Q$96=Assumptions!$C$10+1,(Project_Register!$AT$12-Project_Register!$AQ$12),0),(Project_Register!$AT$12-Project_Register!$AQ$12)*(Q225-Q226)/(1-Project_Register!$AV$12)))*Project_Register!$AB$12)</f>
        <v>4518.22615432097</v>
      </c>
      <c r="R231" s="58" t="n">
        <f aca="false">IF(R$5="A",Inputs_Actuals!R58,IF((Project_Register!$AT$12-Project_Register!$AQ$12)&lt;=0,0,IF(1-Project_Register!$AV$12&lt;=0.000001,IF(Assumptions!R$96=Assumptions!$C$10+1,(Project_Register!$AT$12-Project_Register!$AQ$12),0),(Project_Register!$AT$12-Project_Register!$AQ$12)*(R225-R226)/(1-Project_Register!$AV$12)))*Project_Register!$AB$12)</f>
        <v>1664.60963580247</v>
      </c>
      <c r="S231" s="58" t="n">
        <f aca="false">IF(S$5="A",Inputs_Actuals!S58,IF((Project_Register!$AT$12-Project_Register!$AQ$12)&lt;=0,0,IF(1-Project_Register!$AV$12&lt;=0.000001,IF(Assumptions!S$96=Assumptions!$C$10+1,(Project_Register!$AT$12-Project_Register!$AQ$12),0),(Project_Register!$AT$12-Project_Register!$AQ$12)*(S225-S226)/(1-Project_Register!$AV$12)))*Project_Register!$AB$12)</f>
        <v>0</v>
      </c>
      <c r="T231" s="58" t="n">
        <f aca="false">IF(T$5="A",Inputs_Actuals!T58,IF((Project_Register!$AT$12-Project_Register!$AQ$12)&lt;=0,0,IF(1-Project_Register!$AV$12&lt;=0.000001,IF(Assumptions!T$96=Assumptions!$C$10+1,(Project_Register!$AT$12-Project_Register!$AQ$12),0),(Project_Register!$AT$12-Project_Register!$AQ$12)*(T225-T226)/(1-Project_Register!$AV$12)))*Project_Register!$AB$12)</f>
        <v>0</v>
      </c>
      <c r="U231" s="58" t="n">
        <f aca="false">IF(U$5="A",Inputs_Actuals!U58,IF((Project_Register!$AT$12-Project_Register!$AQ$12)&lt;=0,0,IF(1-Project_Register!$AV$12&lt;=0.000001,IF(Assumptions!U$96=Assumptions!$C$10+1,(Project_Register!$AT$12-Project_Register!$AQ$12),0),(Project_Register!$AT$12-Project_Register!$AQ$12)*(U225-U226)/(1-Project_Register!$AV$12)))*Project_Register!$AB$12)</f>
        <v>0</v>
      </c>
      <c r="V231" s="58" t="n">
        <f aca="false">IF(V$5="A",Inputs_Actuals!V58,IF((Project_Register!$AT$12-Project_Register!$AQ$12)&lt;=0,0,IF(1-Project_Register!$AV$12&lt;=0.000001,IF(Assumptions!V$96=Assumptions!$C$10+1,(Project_Register!$AT$12-Project_Register!$AQ$12),0),(Project_Register!$AT$12-Project_Register!$AQ$12)*(V225-V226)/(1-Project_Register!$AV$12)))*Project_Register!$AB$12)</f>
        <v>0</v>
      </c>
      <c r="W231" s="58" t="n">
        <f aca="false">IF(W$5="A",Inputs_Actuals!W58,IF((Project_Register!$AT$12-Project_Register!$AQ$12)&lt;=0,0,IF(1-Project_Register!$AV$12&lt;=0.000001,IF(Assumptions!W$96=Assumptions!$C$10+1,(Project_Register!$AT$12-Project_Register!$AQ$12),0),(Project_Register!$AT$12-Project_Register!$AQ$12)*(W225-W226)/(1-Project_Register!$AV$12)))*Project_Register!$AB$12)</f>
        <v>0</v>
      </c>
      <c r="X231" s="58" t="n">
        <f aca="false">IF(X$5="A",Inputs_Actuals!X58,IF((Project_Register!$AT$12-Project_Register!$AQ$12)&lt;=0,0,IF(1-Project_Register!$AV$12&lt;=0.000001,IF(Assumptions!X$96=Assumptions!$C$10+1,(Project_Register!$AT$12-Project_Register!$AQ$12),0),(Project_Register!$AT$12-Project_Register!$AQ$12)*(X225-X226)/(1-Project_Register!$AV$12)))*Project_Register!$AB$12)</f>
        <v>0</v>
      </c>
      <c r="Y231" s="58" t="n">
        <f aca="false">IF(Y$5="A",Inputs_Actuals!Y58,IF((Project_Register!$AT$12-Project_Register!$AQ$12)&lt;=0,0,IF(1-Project_Register!$AV$12&lt;=0.000001,IF(Assumptions!Y$96=Assumptions!$C$10+1,(Project_Register!$AT$12-Project_Register!$AQ$12),0),(Project_Register!$AT$12-Project_Register!$AQ$12)*(Y225-Y226)/(1-Project_Register!$AV$12)))*Project_Register!$AB$12)</f>
        <v>0</v>
      </c>
      <c r="Z231" s="58" t="n">
        <f aca="false">IF(Z$5="A",Inputs_Actuals!Z58,IF((Project_Register!$AT$12-Project_Register!$AQ$12)&lt;=0,0,IF(1-Project_Register!$AV$12&lt;=0.000001,IF(Assumptions!Z$96=Assumptions!$C$10+1,(Project_Register!$AT$12-Project_Register!$AQ$12),0),(Project_Register!$AT$12-Project_Register!$AQ$12)*(Z225-Z226)/(1-Project_Register!$AV$12)))*Project_Register!$AB$12)</f>
        <v>0</v>
      </c>
      <c r="AA231" s="58" t="n">
        <f aca="false">IF(AA$5="A",Inputs_Actuals!AA58,IF((Project_Register!$AT$12-Project_Register!$AQ$12)&lt;=0,0,IF(1-Project_Register!$AV$12&lt;=0.000001,IF(Assumptions!AA$96=Assumptions!$C$10+1,(Project_Register!$AT$12-Project_Register!$AQ$12),0),(Project_Register!$AT$12-Project_Register!$AQ$12)*(AA225-AA226)/(1-Project_Register!$AV$12)))*Project_Register!$AB$12)</f>
        <v>0</v>
      </c>
      <c r="AB231" s="58" t="n">
        <f aca="false">IF(AB$5="A",Inputs_Actuals!AB58,IF((Project_Register!$AT$12-Project_Register!$AQ$12)&lt;=0,0,IF(1-Project_Register!$AV$12&lt;=0.000001,IF(Assumptions!AB$96=Assumptions!$C$10+1,(Project_Register!$AT$12-Project_Register!$AQ$12),0),(Project_Register!$AT$12-Project_Register!$AQ$12)*(AB225-AB226)/(1-Project_Register!$AV$12)))*Project_Register!$AB$12)</f>
        <v>0</v>
      </c>
    </row>
    <row r="232" customFormat="false" ht="15" hidden="false" customHeight="false" outlineLevel="0" collapsed="false">
      <c r="A232" s="67" t="s">
        <v>727</v>
      </c>
      <c r="B232" s="68" t="s">
        <v>728</v>
      </c>
      <c r="C232" s="69" t="n">
        <f aca="false">SUM(E232:P232)</f>
        <v>1046343.28419753</v>
      </c>
      <c r="D232" s="69" t="n">
        <f aca="false">SUM(Q232:AB232)</f>
        <v>123656.715802469</v>
      </c>
      <c r="E232" s="69" t="n">
        <f aca="false">SUM(E227:E231)</f>
        <v>0</v>
      </c>
      <c r="F232" s="69" t="n">
        <f aca="false">SUM(F227:F231)</f>
        <v>0</v>
      </c>
      <c r="G232" s="69" t="n">
        <f aca="false">SUM(G227:G231)</f>
        <v>0</v>
      </c>
      <c r="H232" s="69" t="n">
        <f aca="false">SUM(H227:H231)</f>
        <v>0</v>
      </c>
      <c r="I232" s="69" t="n">
        <f aca="false">SUM(I227:I231)</f>
        <v>29255.21</v>
      </c>
      <c r="J232" s="69" t="n">
        <f aca="false">SUM(J227:J231)</f>
        <v>85890.76</v>
      </c>
      <c r="K232" s="69" t="n">
        <f aca="false">SUM(K227:K231)</f>
        <v>132110.44</v>
      </c>
      <c r="L232" s="69" t="n">
        <f aca="false">SUM(L227:L231)</f>
        <v>152267.13</v>
      </c>
      <c r="M232" s="69" t="n">
        <f aca="false">SUM(M227:M231)</f>
        <v>175973.018641975</v>
      </c>
      <c r="N232" s="69" t="n">
        <f aca="false">SUM(N227:N231)</f>
        <v>175973.018641975</v>
      </c>
      <c r="O232" s="69" t="n">
        <f aca="false">SUM(O227:O231)</f>
        <v>161704.936049383</v>
      </c>
      <c r="P232" s="69" t="n">
        <f aca="false">SUM(P227:P231)</f>
        <v>133168.770864198</v>
      </c>
      <c r="Q232" s="69" t="n">
        <f aca="false">SUM(Q227:Q231)</f>
        <v>90364.5230864196</v>
      </c>
      <c r="R232" s="69" t="n">
        <f aca="false">SUM(R227:R231)</f>
        <v>33292.1927160494</v>
      </c>
      <c r="S232" s="69" t="n">
        <f aca="false">SUM(S227:S231)</f>
        <v>0</v>
      </c>
      <c r="T232" s="69" t="n">
        <f aca="false">SUM(T227:T231)</f>
        <v>0</v>
      </c>
      <c r="U232" s="69" t="n">
        <f aca="false">SUM(U227:U231)</f>
        <v>0</v>
      </c>
      <c r="V232" s="69" t="n">
        <f aca="false">SUM(V227:V231)</f>
        <v>0</v>
      </c>
      <c r="W232" s="69" t="n">
        <f aca="false">SUM(W227:W231)</f>
        <v>0</v>
      </c>
      <c r="X232" s="69" t="n">
        <f aca="false">SUM(X227:X231)</f>
        <v>0</v>
      </c>
      <c r="Y232" s="69" t="n">
        <f aca="false">SUM(Y227:Y231)</f>
        <v>0</v>
      </c>
      <c r="Z232" s="69" t="n">
        <f aca="false">SUM(Z227:Z231)</f>
        <v>0</v>
      </c>
      <c r="AA232" s="69" t="n">
        <f aca="false">SUM(AA227:AA231)</f>
        <v>0</v>
      </c>
      <c r="AB232" s="69" t="n">
        <f aca="false">SUM(AB227:AB231)</f>
        <v>0</v>
      </c>
    </row>
    <row r="233" customFormat="false" ht="15" hidden="false" customHeight="false" outlineLevel="0" collapsed="false">
      <c r="A233" s="27" t="s">
        <v>729</v>
      </c>
      <c r="B233" s="56" t="s">
        <v>730</v>
      </c>
      <c r="C233" s="57" t="n">
        <f aca="false">P233</f>
        <v>1046343.28419753</v>
      </c>
      <c r="D233" s="57" t="n">
        <f aca="false">AB233</f>
        <v>1170000</v>
      </c>
      <c r="E233" s="58" t="n">
        <f aca="false">Project_Register!$AC$12+E232</f>
        <v>0</v>
      </c>
      <c r="F233" s="70" t="n">
        <f aca="false">E233+F232</f>
        <v>0</v>
      </c>
      <c r="G233" s="70" t="n">
        <f aca="false">F233+G232</f>
        <v>0</v>
      </c>
      <c r="H233" s="70" t="n">
        <f aca="false">G233+H232</f>
        <v>0</v>
      </c>
      <c r="I233" s="70" t="n">
        <f aca="false">H233+I232</f>
        <v>29255.21</v>
      </c>
      <c r="J233" s="70" t="n">
        <f aca="false">I233+J232</f>
        <v>115145.97</v>
      </c>
      <c r="K233" s="70" t="n">
        <f aca="false">J233+K232</f>
        <v>247256.41</v>
      </c>
      <c r="L233" s="70" t="n">
        <f aca="false">K233+L232</f>
        <v>399523.54</v>
      </c>
      <c r="M233" s="70" t="n">
        <f aca="false">L233+M232</f>
        <v>575496.558641975</v>
      </c>
      <c r="N233" s="70" t="n">
        <f aca="false">M233+N232</f>
        <v>751469.577283951</v>
      </c>
      <c r="O233" s="70" t="n">
        <f aca="false">N233+O232</f>
        <v>913174.513333333</v>
      </c>
      <c r="P233" s="70" t="n">
        <f aca="false">O233+P232</f>
        <v>1046343.28419753</v>
      </c>
      <c r="Q233" s="70" t="n">
        <f aca="false">P233+Q232</f>
        <v>1136707.80728395</v>
      </c>
      <c r="R233" s="70" t="n">
        <f aca="false">Q233+R232</f>
        <v>1170000</v>
      </c>
      <c r="S233" s="70" t="n">
        <f aca="false">R233+S232</f>
        <v>1170000</v>
      </c>
      <c r="T233" s="70" t="n">
        <f aca="false">S233+T232</f>
        <v>1170000</v>
      </c>
      <c r="U233" s="70" t="n">
        <f aca="false">T233+U232</f>
        <v>1170000</v>
      </c>
      <c r="V233" s="70" t="n">
        <f aca="false">U233+V232</f>
        <v>1170000</v>
      </c>
      <c r="W233" s="70" t="n">
        <f aca="false">V233+W232</f>
        <v>1170000</v>
      </c>
      <c r="X233" s="70" t="n">
        <f aca="false">W233+X232</f>
        <v>1170000</v>
      </c>
      <c r="Y233" s="70" t="n">
        <f aca="false">X233+Y232</f>
        <v>1170000</v>
      </c>
      <c r="Z233" s="70" t="n">
        <f aca="false">Y233+Z232</f>
        <v>1170000</v>
      </c>
      <c r="AA233" s="70" t="n">
        <f aca="false">Z233+AA232</f>
        <v>1170000</v>
      </c>
      <c r="AB233" s="70" t="n">
        <f aca="false">AA233+AB232</f>
        <v>1170000</v>
      </c>
    </row>
    <row r="234" customFormat="false" ht="15" hidden="false" customHeight="false" outlineLevel="0" collapsed="false">
      <c r="A234" s="27" t="s">
        <v>731</v>
      </c>
      <c r="B234" s="56" t="s">
        <v>732</v>
      </c>
      <c r="C234" s="57" t="n">
        <f aca="false">P234</f>
        <v>1170000</v>
      </c>
      <c r="D234" s="57" t="n">
        <f aca="false">AB234</f>
        <v>1170000</v>
      </c>
      <c r="E234" s="58" t="n">
        <f aca="false">IF(E$5="A",IF(E233+N(Inputs_Actuals!E59)&lt;=0,Project_Register!$AP$12,E233+N(Inputs_Actuals!E59)),Project_Register!$AT$12)</f>
        <v>1158000</v>
      </c>
      <c r="F234" s="58" t="n">
        <f aca="false">IF(F$5="A",IF(F233+N(Inputs_Actuals!F59)&lt;=0,Project_Register!$AP$12,F233+N(Inputs_Actuals!F59)),Project_Register!$AT$12)</f>
        <v>1158000</v>
      </c>
      <c r="G234" s="58" t="n">
        <f aca="false">IF(G$5="A",IF(G233+N(Inputs_Actuals!G59)&lt;=0,Project_Register!$AP$12,G233+N(Inputs_Actuals!G59)),Project_Register!$AT$12)</f>
        <v>1158000</v>
      </c>
      <c r="H234" s="58" t="n">
        <f aca="false">IF(H$5="A",IF(H233+N(Inputs_Actuals!H59)&lt;=0,Project_Register!$AP$12,H233+N(Inputs_Actuals!H59)),Project_Register!$AT$12)</f>
        <v>1158000</v>
      </c>
      <c r="I234" s="58" t="n">
        <f aca="false">IF(I$5="A",IF(I233+N(Inputs_Actuals!I59)&lt;=0,Project_Register!$AP$12,I233+N(Inputs_Actuals!I59)),Project_Register!$AT$12)</f>
        <v>1158000</v>
      </c>
      <c r="J234" s="58" t="n">
        <f aca="false">IF(J$5="A",IF(J233+N(Inputs_Actuals!J59)&lt;=0,Project_Register!$AP$12,J233+N(Inputs_Actuals!J59)),Project_Register!$AT$12)</f>
        <v>1158000</v>
      </c>
      <c r="K234" s="58" t="n">
        <f aca="false">IF(K$5="A",IF(K233+N(Inputs_Actuals!K59)&lt;=0,Project_Register!$AP$12,K233+N(Inputs_Actuals!K59)),Project_Register!$AT$12)</f>
        <v>1170000</v>
      </c>
      <c r="L234" s="58" t="n">
        <f aca="false">IF(L$5="A",IF(L233+N(Inputs_Actuals!L59)&lt;=0,Project_Register!$AP$12,L233+N(Inputs_Actuals!L59)),Project_Register!$AT$12)</f>
        <v>1170000</v>
      </c>
      <c r="M234" s="58" t="n">
        <f aca="false">IF(M$5="A",IF(M233+N(Inputs_Actuals!M59)&lt;=0,Project_Register!$AP$12,M233+N(Inputs_Actuals!M59)),Project_Register!$AT$12)</f>
        <v>1170000</v>
      </c>
      <c r="N234" s="58" t="n">
        <f aca="false">IF(N$5="A",IF(N233+N(Inputs_Actuals!N59)&lt;=0,Project_Register!$AP$12,N233+N(Inputs_Actuals!N59)),Project_Register!$AT$12)</f>
        <v>1170000</v>
      </c>
      <c r="O234" s="58" t="n">
        <f aca="false">IF(O$5="A",IF(O233+N(Inputs_Actuals!O59)&lt;=0,Project_Register!$AP$12,O233+N(Inputs_Actuals!O59)),Project_Register!$AT$12)</f>
        <v>1170000</v>
      </c>
      <c r="P234" s="58" t="n">
        <f aca="false">IF(P$5="A",IF(P233+N(Inputs_Actuals!P59)&lt;=0,Project_Register!$AP$12,P233+N(Inputs_Actuals!P59)),Project_Register!$AT$12)</f>
        <v>1170000</v>
      </c>
      <c r="Q234" s="58" t="n">
        <f aca="false">IF(Q$5="A",IF(Q233+N(Inputs_Actuals!Q59)&lt;=0,Project_Register!$AP$12,Q233+N(Inputs_Actuals!Q59)),Project_Register!$AT$12)</f>
        <v>1170000</v>
      </c>
      <c r="R234" s="58" t="n">
        <f aca="false">IF(R$5="A",IF(R233+N(Inputs_Actuals!R59)&lt;=0,Project_Register!$AP$12,R233+N(Inputs_Actuals!R59)),Project_Register!$AT$12)</f>
        <v>1170000</v>
      </c>
      <c r="S234" s="58" t="n">
        <f aca="false">IF(S$5="A",IF(S233+N(Inputs_Actuals!S59)&lt;=0,Project_Register!$AP$12,S233+N(Inputs_Actuals!S59)),Project_Register!$AT$12)</f>
        <v>1170000</v>
      </c>
      <c r="T234" s="58" t="n">
        <f aca="false">IF(T$5="A",IF(T233+N(Inputs_Actuals!T59)&lt;=0,Project_Register!$AP$12,T233+N(Inputs_Actuals!T59)),Project_Register!$AT$12)</f>
        <v>1170000</v>
      </c>
      <c r="U234" s="58" t="n">
        <f aca="false">IF(U$5="A",IF(U233+N(Inputs_Actuals!U59)&lt;=0,Project_Register!$AP$12,U233+N(Inputs_Actuals!U59)),Project_Register!$AT$12)</f>
        <v>1170000</v>
      </c>
      <c r="V234" s="58" t="n">
        <f aca="false">IF(V$5="A",IF(V233+N(Inputs_Actuals!V59)&lt;=0,Project_Register!$AP$12,V233+N(Inputs_Actuals!V59)),Project_Register!$AT$12)</f>
        <v>1170000</v>
      </c>
      <c r="W234" s="58" t="n">
        <f aca="false">IF(W$5="A",IF(W233+N(Inputs_Actuals!W59)&lt;=0,Project_Register!$AP$12,W233+N(Inputs_Actuals!W59)),Project_Register!$AT$12)</f>
        <v>1170000</v>
      </c>
      <c r="X234" s="58" t="n">
        <f aca="false">IF(X$5="A",IF(X233+N(Inputs_Actuals!X59)&lt;=0,Project_Register!$AP$12,X233+N(Inputs_Actuals!X59)),Project_Register!$AT$12)</f>
        <v>1170000</v>
      </c>
      <c r="Y234" s="58" t="n">
        <f aca="false">IF(Y$5="A",IF(Y233+N(Inputs_Actuals!Y59)&lt;=0,Project_Register!$AP$12,Y233+N(Inputs_Actuals!Y59)),Project_Register!$AT$12)</f>
        <v>1170000</v>
      </c>
      <c r="Z234" s="58" t="n">
        <f aca="false">IF(Z$5="A",IF(Z233+N(Inputs_Actuals!Z59)&lt;=0,Project_Register!$AP$12,Z233+N(Inputs_Actuals!Z59)),Project_Register!$AT$12)</f>
        <v>1170000</v>
      </c>
      <c r="AA234" s="58" t="n">
        <f aca="false">IF(AA$5="A",IF(AA233+N(Inputs_Actuals!AA59)&lt;=0,Project_Register!$AP$12,AA233+N(Inputs_Actuals!AA59)),Project_Register!$AT$12)</f>
        <v>1170000</v>
      </c>
      <c r="AB234" s="58" t="n">
        <f aca="false">IF(AB$5="A",IF(AB233+N(Inputs_Actuals!AB59)&lt;=0,Project_Register!$AP$12,AB233+N(Inputs_Actuals!AB59)),Project_Register!$AT$12)</f>
        <v>1170000</v>
      </c>
    </row>
    <row r="235" customFormat="false" ht="15" hidden="false" customHeight="false" outlineLevel="0" collapsed="false">
      <c r="A235" s="27" t="s">
        <v>733</v>
      </c>
      <c r="B235" s="56" t="s">
        <v>734</v>
      </c>
      <c r="C235" s="59" t="n">
        <f aca="false">P235</f>
        <v>0.894310499314129</v>
      </c>
      <c r="D235" s="59" t="n">
        <f aca="false">AB235</f>
        <v>1</v>
      </c>
      <c r="E235" s="60" t="n">
        <f aca="false">IF(E234&lt;=0,0,MIN(1,E233/E234))</f>
        <v>0</v>
      </c>
      <c r="F235" s="60" t="n">
        <f aca="false">IF(F234&lt;=0,0,MIN(1,F233/F234))</f>
        <v>0</v>
      </c>
      <c r="G235" s="60" t="n">
        <f aca="false">IF(G234&lt;=0,0,MIN(1,G233/G234))</f>
        <v>0</v>
      </c>
      <c r="H235" s="60" t="n">
        <f aca="false">IF(H234&lt;=0,0,MIN(1,H233/H234))</f>
        <v>0</v>
      </c>
      <c r="I235" s="60" t="n">
        <f aca="false">IF(I234&lt;=0,0,MIN(1,I233/I234))</f>
        <v>0.0252635664939551</v>
      </c>
      <c r="J235" s="60" t="n">
        <f aca="false">IF(J234&lt;=0,0,MIN(1,J233/J234))</f>
        <v>0.099435207253886</v>
      </c>
      <c r="K235" s="60" t="n">
        <f aca="false">IF(K234&lt;=0,0,MIN(1,K233/K234))</f>
        <v>0.211330264957265</v>
      </c>
      <c r="L235" s="60" t="n">
        <f aca="false">IF(L234&lt;=0,0,MIN(1,L233/L234))</f>
        <v>0.341473111111111</v>
      </c>
      <c r="M235" s="60" t="n">
        <f aca="false">IF(M234&lt;=0,0,MIN(1,M233/M234))</f>
        <v>0.491877400548697</v>
      </c>
      <c r="N235" s="60" t="n">
        <f aca="false">IF(N234&lt;=0,0,MIN(1,N233/N234))</f>
        <v>0.642281689986283</v>
      </c>
      <c r="O235" s="60" t="n">
        <f aca="false">IF(O234&lt;=0,0,MIN(1,O233/O234))</f>
        <v>0.780491037037037</v>
      </c>
      <c r="P235" s="60" t="n">
        <f aca="false">IF(P234&lt;=0,0,MIN(1,P233/P234))</f>
        <v>0.894310499314129</v>
      </c>
      <c r="Q235" s="60" t="n">
        <f aca="false">IF(Q234&lt;=0,0,MIN(1,Q233/Q234))</f>
        <v>0.971545134430727</v>
      </c>
      <c r="R235" s="60" t="n">
        <f aca="false">IF(R234&lt;=0,0,MIN(1,R233/R234))</f>
        <v>1</v>
      </c>
      <c r="S235" s="60" t="n">
        <f aca="false">IF(S234&lt;=0,0,MIN(1,S233/S234))</f>
        <v>1</v>
      </c>
      <c r="T235" s="60" t="n">
        <f aca="false">IF(T234&lt;=0,0,MIN(1,T233/T234))</f>
        <v>1</v>
      </c>
      <c r="U235" s="60" t="n">
        <f aca="false">IF(U234&lt;=0,0,MIN(1,U233/U234))</f>
        <v>1</v>
      </c>
      <c r="V235" s="60" t="n">
        <f aca="false">IF(V234&lt;=0,0,MIN(1,V233/V234))</f>
        <v>1</v>
      </c>
      <c r="W235" s="60" t="n">
        <f aca="false">IF(W234&lt;=0,0,MIN(1,W233/W234))</f>
        <v>1</v>
      </c>
      <c r="X235" s="60" t="n">
        <f aca="false">IF(X234&lt;=0,0,MIN(1,X233/X234))</f>
        <v>1</v>
      </c>
      <c r="Y235" s="60" t="n">
        <f aca="false">IF(Y234&lt;=0,0,MIN(1,Y233/Y234))</f>
        <v>1</v>
      </c>
      <c r="Z235" s="60" t="n">
        <f aca="false">IF(Z234&lt;=0,0,MIN(1,Z233/Z234))</f>
        <v>1</v>
      </c>
      <c r="AA235" s="60" t="n">
        <f aca="false">IF(AA234&lt;=0,0,MIN(1,AA233/AA234))</f>
        <v>1</v>
      </c>
      <c r="AB235" s="60" t="n">
        <f aca="false">IF(AB234&lt;=0,0,MIN(1,AB233/AB234))</f>
        <v>1</v>
      </c>
    </row>
    <row r="236" customFormat="false" ht="15" hidden="false" customHeight="false" outlineLevel="0" collapsed="false">
      <c r="A236" s="27" t="s">
        <v>735</v>
      </c>
      <c r="B236" s="56" t="s">
        <v>736</v>
      </c>
      <c r="C236" s="57" t="n">
        <f aca="false">P236</f>
        <v>22100</v>
      </c>
      <c r="D236" s="57" t="n">
        <f aca="false">AB236</f>
        <v>22100</v>
      </c>
      <c r="E236" s="58" t="n">
        <f aca="false">SUMIFS(Variations!$H$6:$H$21,Variations!$B$6:$B$21,"PS-2601",Variations!$F$6:$F$21,"Approved",Variations!$G$6:$G$21,"&lt;="&amp;Assumptions!E$95)</f>
        <v>0</v>
      </c>
      <c r="F236" s="58" t="n">
        <f aca="false">SUMIFS(Variations!$H$6:$H$21,Variations!$B$6:$B$21,"PS-2601",Variations!$F$6:$F$21,"Approved",Variations!$G$6:$G$21,"&lt;="&amp;Assumptions!F$95)</f>
        <v>0</v>
      </c>
      <c r="G236" s="58" t="n">
        <f aca="false">SUMIFS(Variations!$H$6:$H$21,Variations!$B$6:$B$21,"PS-2601",Variations!$F$6:$F$21,"Approved",Variations!$G$6:$G$21,"&lt;="&amp;Assumptions!G$95)</f>
        <v>0</v>
      </c>
      <c r="H236" s="58" t="n">
        <f aca="false">SUMIFS(Variations!$H$6:$H$21,Variations!$B$6:$B$21,"PS-2601",Variations!$F$6:$F$21,"Approved",Variations!$G$6:$G$21,"&lt;="&amp;Assumptions!H$95)</f>
        <v>0</v>
      </c>
      <c r="I236" s="58" t="n">
        <f aca="false">SUMIFS(Variations!$H$6:$H$21,Variations!$B$6:$B$21,"PS-2601",Variations!$F$6:$F$21,"Approved",Variations!$G$6:$G$21,"&lt;="&amp;Assumptions!I$95)</f>
        <v>0</v>
      </c>
      <c r="J236" s="58" t="n">
        <f aca="false">SUMIFS(Variations!$H$6:$H$21,Variations!$B$6:$B$21,"PS-2601",Variations!$F$6:$F$21,"Approved",Variations!$G$6:$G$21,"&lt;="&amp;Assumptions!J$95)</f>
        <v>0</v>
      </c>
      <c r="K236" s="58" t="n">
        <f aca="false">SUMIFS(Variations!$H$6:$H$21,Variations!$B$6:$B$21,"PS-2601",Variations!$F$6:$F$21,"Approved",Variations!$G$6:$G$21,"&lt;="&amp;Assumptions!K$95)</f>
        <v>0</v>
      </c>
      <c r="L236" s="58" t="n">
        <f aca="false">SUMIFS(Variations!$H$6:$H$21,Variations!$B$6:$B$21,"PS-2601",Variations!$F$6:$F$21,"Approved",Variations!$G$6:$G$21,"&lt;="&amp;Assumptions!L$95)</f>
        <v>22100</v>
      </c>
      <c r="M236" s="58" t="n">
        <f aca="false">SUMIFS(Variations!$H$6:$H$21,Variations!$B$6:$B$21,"PS-2601",Variations!$F$6:$F$21,"Approved",Variations!$G$6:$G$21,"&lt;="&amp;Assumptions!M$95)</f>
        <v>22100</v>
      </c>
      <c r="N236" s="58" t="n">
        <f aca="false">SUMIFS(Variations!$H$6:$H$21,Variations!$B$6:$B$21,"PS-2601",Variations!$F$6:$F$21,"Approved",Variations!$G$6:$G$21,"&lt;="&amp;Assumptions!N$95)</f>
        <v>22100</v>
      </c>
      <c r="O236" s="58" t="n">
        <f aca="false">SUMIFS(Variations!$H$6:$H$21,Variations!$B$6:$B$21,"PS-2601",Variations!$F$6:$F$21,"Approved",Variations!$G$6:$G$21,"&lt;="&amp;Assumptions!O$95)</f>
        <v>22100</v>
      </c>
      <c r="P236" s="58" t="n">
        <f aca="false">SUMIFS(Variations!$H$6:$H$21,Variations!$B$6:$B$21,"PS-2601",Variations!$F$6:$F$21,"Approved",Variations!$G$6:$G$21,"&lt;="&amp;Assumptions!P$95)</f>
        <v>22100</v>
      </c>
      <c r="Q236" s="58" t="n">
        <f aca="false">SUMIFS(Variations!$H$6:$H$21,Variations!$B$6:$B$21,"PS-2601",Variations!$F$6:$F$21,"Approved",Variations!$G$6:$G$21,"&lt;="&amp;Assumptions!Q$95)</f>
        <v>22100</v>
      </c>
      <c r="R236" s="58" t="n">
        <f aca="false">SUMIFS(Variations!$H$6:$H$21,Variations!$B$6:$B$21,"PS-2601",Variations!$F$6:$F$21,"Approved",Variations!$G$6:$G$21,"&lt;="&amp;Assumptions!R$95)</f>
        <v>22100</v>
      </c>
      <c r="S236" s="58" t="n">
        <f aca="false">SUMIFS(Variations!$H$6:$H$21,Variations!$B$6:$B$21,"PS-2601",Variations!$F$6:$F$21,"Approved",Variations!$G$6:$G$21,"&lt;="&amp;Assumptions!S$95)</f>
        <v>22100</v>
      </c>
      <c r="T236" s="58" t="n">
        <f aca="false">SUMIFS(Variations!$H$6:$H$21,Variations!$B$6:$B$21,"PS-2601",Variations!$F$6:$F$21,"Approved",Variations!$G$6:$G$21,"&lt;="&amp;Assumptions!T$95)</f>
        <v>22100</v>
      </c>
      <c r="U236" s="58" t="n">
        <f aca="false">SUMIFS(Variations!$H$6:$H$21,Variations!$B$6:$B$21,"PS-2601",Variations!$F$6:$F$21,"Approved",Variations!$G$6:$G$21,"&lt;="&amp;Assumptions!U$95)</f>
        <v>22100</v>
      </c>
      <c r="V236" s="58" t="n">
        <f aca="false">SUMIFS(Variations!$H$6:$H$21,Variations!$B$6:$B$21,"PS-2601",Variations!$F$6:$F$21,"Approved",Variations!$G$6:$G$21,"&lt;="&amp;Assumptions!V$95)</f>
        <v>22100</v>
      </c>
      <c r="W236" s="58" t="n">
        <f aca="false">SUMIFS(Variations!$H$6:$H$21,Variations!$B$6:$B$21,"PS-2601",Variations!$F$6:$F$21,"Approved",Variations!$G$6:$G$21,"&lt;="&amp;Assumptions!W$95)</f>
        <v>22100</v>
      </c>
      <c r="X236" s="58" t="n">
        <f aca="false">SUMIFS(Variations!$H$6:$H$21,Variations!$B$6:$B$21,"PS-2601",Variations!$F$6:$F$21,"Approved",Variations!$G$6:$G$21,"&lt;="&amp;Assumptions!X$95)</f>
        <v>22100</v>
      </c>
      <c r="Y236" s="58" t="n">
        <f aca="false">SUMIFS(Variations!$H$6:$H$21,Variations!$B$6:$B$21,"PS-2601",Variations!$F$6:$F$21,"Approved",Variations!$G$6:$G$21,"&lt;="&amp;Assumptions!Y$95)</f>
        <v>22100</v>
      </c>
      <c r="Z236" s="58" t="n">
        <f aca="false">SUMIFS(Variations!$H$6:$H$21,Variations!$B$6:$B$21,"PS-2601",Variations!$F$6:$F$21,"Approved",Variations!$G$6:$G$21,"&lt;="&amp;Assumptions!Z$95)</f>
        <v>22100</v>
      </c>
      <c r="AA236" s="58" t="n">
        <f aca="false">SUMIFS(Variations!$H$6:$H$21,Variations!$B$6:$B$21,"PS-2601",Variations!$F$6:$F$21,"Approved",Variations!$G$6:$G$21,"&lt;="&amp;Assumptions!AA$95)</f>
        <v>22100</v>
      </c>
      <c r="AB236" s="58" t="n">
        <f aca="false">SUMIFS(Variations!$H$6:$H$21,Variations!$B$6:$B$21,"PS-2601",Variations!$F$6:$F$21,"Approved",Variations!$G$6:$G$21,"&lt;="&amp;Assumptions!AB$95)</f>
        <v>22100</v>
      </c>
    </row>
    <row r="237" customFormat="false" ht="15" hidden="false" customHeight="false" outlineLevel="0" collapsed="false">
      <c r="A237" s="27" t="s">
        <v>737</v>
      </c>
      <c r="B237" s="56"/>
      <c r="C237" s="57" t="n">
        <f aca="false">P237</f>
        <v>0</v>
      </c>
      <c r="D237" s="57" t="n">
        <f aca="false">AB237</f>
        <v>0</v>
      </c>
      <c r="E237" s="58" t="n">
        <f aca="false">SUMIFS(Variations!$E$6:$E$21,Variations!$B$6:$B$21,"PS-2601",Variations!$D$6:$D$21,"&lt;="&amp;Assumptions!E$95,Variations!$G$6:$G$21,"&gt;"&amp;Assumptions!E$95)</f>
        <v>0</v>
      </c>
      <c r="F237" s="58" t="n">
        <f aca="false">SUMIFS(Variations!$E$6:$E$21,Variations!$B$6:$B$21,"PS-2601",Variations!$D$6:$D$21,"&lt;="&amp;Assumptions!F$95,Variations!$G$6:$G$21,"&gt;"&amp;Assumptions!F$95)</f>
        <v>0</v>
      </c>
      <c r="G237" s="58" t="n">
        <f aca="false">SUMIFS(Variations!$E$6:$E$21,Variations!$B$6:$B$21,"PS-2601",Variations!$D$6:$D$21,"&lt;="&amp;Assumptions!G$95,Variations!$G$6:$G$21,"&gt;"&amp;Assumptions!G$95)</f>
        <v>0</v>
      </c>
      <c r="H237" s="58" t="n">
        <f aca="false">SUMIFS(Variations!$E$6:$E$21,Variations!$B$6:$B$21,"PS-2601",Variations!$D$6:$D$21,"&lt;="&amp;Assumptions!H$95,Variations!$G$6:$G$21,"&gt;"&amp;Assumptions!H$95)</f>
        <v>0</v>
      </c>
      <c r="I237" s="58" t="n">
        <f aca="false">SUMIFS(Variations!$E$6:$E$21,Variations!$B$6:$B$21,"PS-2601",Variations!$D$6:$D$21,"&lt;="&amp;Assumptions!I$95,Variations!$G$6:$G$21,"&gt;"&amp;Assumptions!I$95)</f>
        <v>0</v>
      </c>
      <c r="J237" s="58" t="n">
        <f aca="false">SUMIFS(Variations!$E$6:$E$21,Variations!$B$6:$B$21,"PS-2601",Variations!$D$6:$D$21,"&lt;="&amp;Assumptions!J$95,Variations!$G$6:$G$21,"&gt;"&amp;Assumptions!J$95)</f>
        <v>24300</v>
      </c>
      <c r="K237" s="58" t="n">
        <f aca="false">SUMIFS(Variations!$E$6:$E$21,Variations!$B$6:$B$21,"PS-2601",Variations!$D$6:$D$21,"&lt;="&amp;Assumptions!K$95,Variations!$G$6:$G$21,"&gt;"&amp;Assumptions!K$95)</f>
        <v>24300</v>
      </c>
      <c r="L237" s="58" t="n">
        <f aca="false">SUMIFS(Variations!$E$6:$E$21,Variations!$B$6:$B$21,"PS-2601",Variations!$D$6:$D$21,"&lt;="&amp;Assumptions!L$95,Variations!$G$6:$G$21,"&gt;"&amp;Assumptions!L$95)</f>
        <v>14700</v>
      </c>
      <c r="M237" s="58" t="n">
        <f aca="false">SUMIFS(Variations!$E$6:$E$21,Variations!$B$6:$B$21,"PS-2601",Variations!$D$6:$D$21,"&lt;="&amp;Assumptions!M$95,Variations!$G$6:$G$21,"&gt;"&amp;Assumptions!M$95)</f>
        <v>14700</v>
      </c>
      <c r="N237" s="58" t="n">
        <f aca="false">SUMIFS(Variations!$E$6:$E$21,Variations!$B$6:$B$21,"PS-2601",Variations!$D$6:$D$21,"&lt;="&amp;Assumptions!N$95,Variations!$G$6:$G$21,"&gt;"&amp;Assumptions!N$95)</f>
        <v>0</v>
      </c>
      <c r="O237" s="58" t="n">
        <f aca="false">SUMIFS(Variations!$E$6:$E$21,Variations!$B$6:$B$21,"PS-2601",Variations!$D$6:$D$21,"&lt;="&amp;Assumptions!O$95,Variations!$G$6:$G$21,"&gt;"&amp;Assumptions!O$95)</f>
        <v>0</v>
      </c>
      <c r="P237" s="58" t="n">
        <f aca="false">SUMIFS(Variations!$E$6:$E$21,Variations!$B$6:$B$21,"PS-2601",Variations!$D$6:$D$21,"&lt;="&amp;Assumptions!P$95,Variations!$G$6:$G$21,"&gt;"&amp;Assumptions!P$95)</f>
        <v>0</v>
      </c>
      <c r="Q237" s="58" t="n">
        <f aca="false">SUMIFS(Variations!$E$6:$E$21,Variations!$B$6:$B$21,"PS-2601",Variations!$D$6:$D$21,"&lt;="&amp;Assumptions!Q$95,Variations!$G$6:$G$21,"&gt;"&amp;Assumptions!Q$95)</f>
        <v>0</v>
      </c>
      <c r="R237" s="58" t="n">
        <f aca="false">SUMIFS(Variations!$E$6:$E$21,Variations!$B$6:$B$21,"PS-2601",Variations!$D$6:$D$21,"&lt;="&amp;Assumptions!R$95,Variations!$G$6:$G$21,"&gt;"&amp;Assumptions!R$95)</f>
        <v>0</v>
      </c>
      <c r="S237" s="58" t="n">
        <f aca="false">SUMIFS(Variations!$E$6:$E$21,Variations!$B$6:$B$21,"PS-2601",Variations!$D$6:$D$21,"&lt;="&amp;Assumptions!S$95,Variations!$G$6:$G$21,"&gt;"&amp;Assumptions!S$95)</f>
        <v>0</v>
      </c>
      <c r="T237" s="58" t="n">
        <f aca="false">SUMIFS(Variations!$E$6:$E$21,Variations!$B$6:$B$21,"PS-2601",Variations!$D$6:$D$21,"&lt;="&amp;Assumptions!T$95,Variations!$G$6:$G$21,"&gt;"&amp;Assumptions!T$95)</f>
        <v>0</v>
      </c>
      <c r="U237" s="58" t="n">
        <f aca="false">SUMIFS(Variations!$E$6:$E$21,Variations!$B$6:$B$21,"PS-2601",Variations!$D$6:$D$21,"&lt;="&amp;Assumptions!U$95,Variations!$G$6:$G$21,"&gt;"&amp;Assumptions!U$95)</f>
        <v>0</v>
      </c>
      <c r="V237" s="58" t="n">
        <f aca="false">SUMIFS(Variations!$E$6:$E$21,Variations!$B$6:$B$21,"PS-2601",Variations!$D$6:$D$21,"&lt;="&amp;Assumptions!V$95,Variations!$G$6:$G$21,"&gt;"&amp;Assumptions!V$95)</f>
        <v>0</v>
      </c>
      <c r="W237" s="58" t="n">
        <f aca="false">SUMIFS(Variations!$E$6:$E$21,Variations!$B$6:$B$21,"PS-2601",Variations!$D$6:$D$21,"&lt;="&amp;Assumptions!W$95,Variations!$G$6:$G$21,"&gt;"&amp;Assumptions!W$95)</f>
        <v>0</v>
      </c>
      <c r="X237" s="58" t="n">
        <f aca="false">SUMIFS(Variations!$E$6:$E$21,Variations!$B$6:$B$21,"PS-2601",Variations!$D$6:$D$21,"&lt;="&amp;Assumptions!X$95,Variations!$G$6:$G$21,"&gt;"&amp;Assumptions!X$95)</f>
        <v>0</v>
      </c>
      <c r="Y237" s="58" t="n">
        <f aca="false">SUMIFS(Variations!$E$6:$E$21,Variations!$B$6:$B$21,"PS-2601",Variations!$D$6:$D$21,"&lt;="&amp;Assumptions!Y$95,Variations!$G$6:$G$21,"&gt;"&amp;Assumptions!Y$95)</f>
        <v>0</v>
      </c>
      <c r="Z237" s="58" t="n">
        <f aca="false">SUMIFS(Variations!$E$6:$E$21,Variations!$B$6:$B$21,"PS-2601",Variations!$D$6:$D$21,"&lt;="&amp;Assumptions!Z$95,Variations!$G$6:$G$21,"&gt;"&amp;Assumptions!Z$95)</f>
        <v>0</v>
      </c>
      <c r="AA237" s="58" t="n">
        <f aca="false">SUMIFS(Variations!$E$6:$E$21,Variations!$B$6:$B$21,"PS-2601",Variations!$D$6:$D$21,"&lt;="&amp;Assumptions!AA$95,Variations!$G$6:$G$21,"&gt;"&amp;Assumptions!AA$95)</f>
        <v>0</v>
      </c>
      <c r="AB237" s="58" t="n">
        <f aca="false">SUMIFS(Variations!$E$6:$E$21,Variations!$B$6:$B$21,"PS-2601",Variations!$D$6:$D$21,"&lt;="&amp;Assumptions!AB$95,Variations!$G$6:$G$21,"&gt;"&amp;Assumptions!AB$95)</f>
        <v>0</v>
      </c>
    </row>
    <row r="238" customFormat="false" ht="15" hidden="false" customHeight="false" outlineLevel="0" collapsed="false">
      <c r="A238" s="27" t="s">
        <v>738</v>
      </c>
      <c r="B238" s="56"/>
      <c r="C238" s="57" t="n">
        <f aca="false">P238</f>
        <v>14700</v>
      </c>
      <c r="D238" s="57" t="n">
        <f aca="false">AB238</f>
        <v>14700</v>
      </c>
      <c r="E238" s="58" t="n">
        <f aca="false">SUMIFS(Variations!$E$6:$E$21,Variations!$B$6:$B$21,"PS-2601",Variations!$F$6:$F$21,"Pending",Variations!$G$6:$G$21,"&lt;="&amp;Assumptions!E$95)</f>
        <v>0</v>
      </c>
      <c r="F238" s="58" t="n">
        <f aca="false">SUMIFS(Variations!$E$6:$E$21,Variations!$B$6:$B$21,"PS-2601",Variations!$F$6:$F$21,"Pending",Variations!$G$6:$G$21,"&lt;="&amp;Assumptions!F$95)</f>
        <v>0</v>
      </c>
      <c r="G238" s="58" t="n">
        <f aca="false">SUMIFS(Variations!$E$6:$E$21,Variations!$B$6:$B$21,"PS-2601",Variations!$F$6:$F$21,"Pending",Variations!$G$6:$G$21,"&lt;="&amp;Assumptions!G$95)</f>
        <v>0</v>
      </c>
      <c r="H238" s="58" t="n">
        <f aca="false">SUMIFS(Variations!$E$6:$E$21,Variations!$B$6:$B$21,"PS-2601",Variations!$F$6:$F$21,"Pending",Variations!$G$6:$G$21,"&lt;="&amp;Assumptions!H$95)</f>
        <v>0</v>
      </c>
      <c r="I238" s="58" t="n">
        <f aca="false">SUMIFS(Variations!$E$6:$E$21,Variations!$B$6:$B$21,"PS-2601",Variations!$F$6:$F$21,"Pending",Variations!$G$6:$G$21,"&lt;="&amp;Assumptions!I$95)</f>
        <v>0</v>
      </c>
      <c r="J238" s="58" t="n">
        <f aca="false">SUMIFS(Variations!$E$6:$E$21,Variations!$B$6:$B$21,"PS-2601",Variations!$F$6:$F$21,"Pending",Variations!$G$6:$G$21,"&lt;="&amp;Assumptions!J$95)</f>
        <v>0</v>
      </c>
      <c r="K238" s="58" t="n">
        <f aca="false">SUMIFS(Variations!$E$6:$E$21,Variations!$B$6:$B$21,"PS-2601",Variations!$F$6:$F$21,"Pending",Variations!$G$6:$G$21,"&lt;="&amp;Assumptions!K$95)</f>
        <v>0</v>
      </c>
      <c r="L238" s="58" t="n">
        <f aca="false">SUMIFS(Variations!$E$6:$E$21,Variations!$B$6:$B$21,"PS-2601",Variations!$F$6:$F$21,"Pending",Variations!$G$6:$G$21,"&lt;="&amp;Assumptions!L$95)</f>
        <v>0</v>
      </c>
      <c r="M238" s="58" t="n">
        <f aca="false">SUMIFS(Variations!$E$6:$E$21,Variations!$B$6:$B$21,"PS-2601",Variations!$F$6:$F$21,"Pending",Variations!$G$6:$G$21,"&lt;="&amp;Assumptions!M$95)</f>
        <v>0</v>
      </c>
      <c r="N238" s="58" t="n">
        <f aca="false">SUMIFS(Variations!$E$6:$E$21,Variations!$B$6:$B$21,"PS-2601",Variations!$F$6:$F$21,"Pending",Variations!$G$6:$G$21,"&lt;="&amp;Assumptions!N$95)</f>
        <v>14700</v>
      </c>
      <c r="O238" s="58" t="n">
        <f aca="false">SUMIFS(Variations!$E$6:$E$21,Variations!$B$6:$B$21,"PS-2601",Variations!$F$6:$F$21,"Pending",Variations!$G$6:$G$21,"&lt;="&amp;Assumptions!O$95)</f>
        <v>14700</v>
      </c>
      <c r="P238" s="58" t="n">
        <f aca="false">SUMIFS(Variations!$E$6:$E$21,Variations!$B$6:$B$21,"PS-2601",Variations!$F$6:$F$21,"Pending",Variations!$G$6:$G$21,"&lt;="&amp;Assumptions!P$95)</f>
        <v>14700</v>
      </c>
      <c r="Q238" s="58" t="n">
        <f aca="false">SUMIFS(Variations!$E$6:$E$21,Variations!$B$6:$B$21,"PS-2601",Variations!$F$6:$F$21,"Pending",Variations!$G$6:$G$21,"&lt;="&amp;Assumptions!Q$95)</f>
        <v>14700</v>
      </c>
      <c r="R238" s="58" t="n">
        <f aca="false">SUMIFS(Variations!$E$6:$E$21,Variations!$B$6:$B$21,"PS-2601",Variations!$F$6:$F$21,"Pending",Variations!$G$6:$G$21,"&lt;="&amp;Assumptions!R$95)</f>
        <v>14700</v>
      </c>
      <c r="S238" s="58" t="n">
        <f aca="false">SUMIFS(Variations!$E$6:$E$21,Variations!$B$6:$B$21,"PS-2601",Variations!$F$6:$F$21,"Pending",Variations!$G$6:$G$21,"&lt;="&amp;Assumptions!S$95)</f>
        <v>14700</v>
      </c>
      <c r="T238" s="58" t="n">
        <f aca="false">SUMIFS(Variations!$E$6:$E$21,Variations!$B$6:$B$21,"PS-2601",Variations!$F$6:$F$21,"Pending",Variations!$G$6:$G$21,"&lt;="&amp;Assumptions!T$95)</f>
        <v>14700</v>
      </c>
      <c r="U238" s="58" t="n">
        <f aca="false">SUMIFS(Variations!$E$6:$E$21,Variations!$B$6:$B$21,"PS-2601",Variations!$F$6:$F$21,"Pending",Variations!$G$6:$G$21,"&lt;="&amp;Assumptions!U$95)</f>
        <v>14700</v>
      </c>
      <c r="V238" s="58" t="n">
        <f aca="false">SUMIFS(Variations!$E$6:$E$21,Variations!$B$6:$B$21,"PS-2601",Variations!$F$6:$F$21,"Pending",Variations!$G$6:$G$21,"&lt;="&amp;Assumptions!V$95)</f>
        <v>14700</v>
      </c>
      <c r="W238" s="58" t="n">
        <f aca="false">SUMIFS(Variations!$E$6:$E$21,Variations!$B$6:$B$21,"PS-2601",Variations!$F$6:$F$21,"Pending",Variations!$G$6:$G$21,"&lt;="&amp;Assumptions!W$95)</f>
        <v>14700</v>
      </c>
      <c r="X238" s="58" t="n">
        <f aca="false">SUMIFS(Variations!$E$6:$E$21,Variations!$B$6:$B$21,"PS-2601",Variations!$F$6:$F$21,"Pending",Variations!$G$6:$G$21,"&lt;="&amp;Assumptions!X$95)</f>
        <v>14700</v>
      </c>
      <c r="Y238" s="58" t="n">
        <f aca="false">SUMIFS(Variations!$E$6:$E$21,Variations!$B$6:$B$21,"PS-2601",Variations!$F$6:$F$21,"Pending",Variations!$G$6:$G$21,"&lt;="&amp;Assumptions!Y$95)</f>
        <v>14700</v>
      </c>
      <c r="Z238" s="58" t="n">
        <f aca="false">SUMIFS(Variations!$E$6:$E$21,Variations!$B$6:$B$21,"PS-2601",Variations!$F$6:$F$21,"Pending",Variations!$G$6:$G$21,"&lt;="&amp;Assumptions!Z$95)</f>
        <v>14700</v>
      </c>
      <c r="AA238" s="58" t="n">
        <f aca="false">SUMIFS(Variations!$E$6:$E$21,Variations!$B$6:$B$21,"PS-2601",Variations!$F$6:$F$21,"Pending",Variations!$G$6:$G$21,"&lt;="&amp;Assumptions!AA$95)</f>
        <v>14700</v>
      </c>
      <c r="AB238" s="58" t="n">
        <f aca="false">SUMIFS(Variations!$E$6:$E$21,Variations!$B$6:$B$21,"PS-2601",Variations!$F$6:$F$21,"Pending",Variations!$G$6:$G$21,"&lt;="&amp;Assumptions!AB$95)</f>
        <v>14700</v>
      </c>
    </row>
    <row r="239" customFormat="false" ht="15" hidden="false" customHeight="false" outlineLevel="0" collapsed="false">
      <c r="A239" s="27" t="s">
        <v>739</v>
      </c>
      <c r="B239" s="56" t="s">
        <v>740</v>
      </c>
      <c r="C239" s="57" t="n">
        <f aca="false">P239</f>
        <v>1351655</v>
      </c>
      <c r="D239" s="57" t="n">
        <f aca="false">AB239</f>
        <v>1351655</v>
      </c>
      <c r="E239" s="58" t="n">
        <f aca="false">Project_Register!$AO$12+E236+Assumptions!$C$74*E237+Assumptions!$F$121*E238</f>
        <v>1320000</v>
      </c>
      <c r="F239" s="58" t="n">
        <f aca="false">Project_Register!$AO$12+F236+Assumptions!$C$74*F237+Assumptions!$F$121*F238</f>
        <v>1320000</v>
      </c>
      <c r="G239" s="58" t="n">
        <f aca="false">Project_Register!$AO$12+G236+Assumptions!$C$74*G237+Assumptions!$F$121*G238</f>
        <v>1320000</v>
      </c>
      <c r="H239" s="58" t="n">
        <f aca="false">Project_Register!$AO$12+H236+Assumptions!$C$74*H237+Assumptions!$F$121*H238</f>
        <v>1320000</v>
      </c>
      <c r="I239" s="58" t="n">
        <f aca="false">Project_Register!$AO$12+I236+Assumptions!$C$74*I237+Assumptions!$F$121*I238</f>
        <v>1320000</v>
      </c>
      <c r="J239" s="58" t="n">
        <f aca="false">Project_Register!$AO$12+J236+Assumptions!$C$74*J237+Assumptions!$F$121*J238</f>
        <v>1332150</v>
      </c>
      <c r="K239" s="58" t="n">
        <f aca="false">Project_Register!$AO$12+K236+Assumptions!$C$74*K237+Assumptions!$F$121*K238</f>
        <v>1332150</v>
      </c>
      <c r="L239" s="58" t="n">
        <f aca="false">Project_Register!$AO$12+L236+Assumptions!$C$74*L237+Assumptions!$F$121*L238</f>
        <v>1349450</v>
      </c>
      <c r="M239" s="58" t="n">
        <f aca="false">Project_Register!$AO$12+M236+Assumptions!$C$74*M237+Assumptions!$F$121*M238</f>
        <v>1349450</v>
      </c>
      <c r="N239" s="58" t="n">
        <f aca="false">Project_Register!$AO$12+N236+Assumptions!$C$74*N237+Assumptions!$F$121*N238</f>
        <v>1351655</v>
      </c>
      <c r="O239" s="58" t="n">
        <f aca="false">Project_Register!$AO$12+O236+Assumptions!$C$74*O237+Assumptions!$F$121*O238</f>
        <v>1351655</v>
      </c>
      <c r="P239" s="58" t="n">
        <f aca="false">Project_Register!$AO$12+P236+Assumptions!$C$74*P237+Assumptions!$F$121*P238</f>
        <v>1351655</v>
      </c>
      <c r="Q239" s="58" t="n">
        <f aca="false">Project_Register!$AO$12+Q236+Assumptions!$C$74*Q237+Assumptions!$F$121*Q238</f>
        <v>1351655</v>
      </c>
      <c r="R239" s="58" t="n">
        <f aca="false">Project_Register!$AO$12+R236+Assumptions!$C$74*R237+Assumptions!$F$121*R238</f>
        <v>1351655</v>
      </c>
      <c r="S239" s="58" t="n">
        <f aca="false">Project_Register!$AO$12+S236+Assumptions!$C$74*S237+Assumptions!$F$121*S238</f>
        <v>1351655</v>
      </c>
      <c r="T239" s="58" t="n">
        <f aca="false">Project_Register!$AO$12+T236+Assumptions!$C$74*T237+Assumptions!$F$121*T238</f>
        <v>1351655</v>
      </c>
      <c r="U239" s="58" t="n">
        <f aca="false">Project_Register!$AO$12+U236+Assumptions!$C$74*U237+Assumptions!$F$121*U238</f>
        <v>1351655</v>
      </c>
      <c r="V239" s="58" t="n">
        <f aca="false">Project_Register!$AO$12+V236+Assumptions!$C$74*V237+Assumptions!$F$121*V238</f>
        <v>1351655</v>
      </c>
      <c r="W239" s="58" t="n">
        <f aca="false">Project_Register!$AO$12+W236+Assumptions!$C$74*W237+Assumptions!$F$121*W238</f>
        <v>1351655</v>
      </c>
      <c r="X239" s="58" t="n">
        <f aca="false">Project_Register!$AO$12+X236+Assumptions!$C$74*X237+Assumptions!$F$121*X238</f>
        <v>1351655</v>
      </c>
      <c r="Y239" s="58" t="n">
        <f aca="false">Project_Register!$AO$12+Y236+Assumptions!$C$74*Y237+Assumptions!$F$121*Y238</f>
        <v>1351655</v>
      </c>
      <c r="Z239" s="58" t="n">
        <f aca="false">Project_Register!$AO$12+Z236+Assumptions!$C$74*Z237+Assumptions!$F$121*Z238</f>
        <v>1351655</v>
      </c>
      <c r="AA239" s="58" t="n">
        <f aca="false">Project_Register!$AO$12+AA236+Assumptions!$C$74*AA237+Assumptions!$F$121*AA238</f>
        <v>1351655</v>
      </c>
      <c r="AB239" s="58" t="n">
        <f aca="false">Project_Register!$AO$12+AB236+Assumptions!$C$74*AB237+Assumptions!$F$121*AB238</f>
        <v>1351655</v>
      </c>
    </row>
    <row r="240" customFormat="false" ht="15" hidden="false" customHeight="false" outlineLevel="0" collapsed="false">
      <c r="A240" s="27" t="s">
        <v>741</v>
      </c>
      <c r="B240" s="56" t="s">
        <v>742</v>
      </c>
      <c r="C240" s="57" t="n">
        <f aca="false">P240</f>
        <v>1208799.25795044</v>
      </c>
      <c r="D240" s="57" t="n">
        <f aca="false">AB240</f>
        <v>1351655</v>
      </c>
      <c r="E240" s="58" t="n">
        <f aca="false">IF(E$5="A",Project_Register!$AD$12+Inputs_Actuals!E60,E235*E239)</f>
        <v>0</v>
      </c>
      <c r="F240" s="58" t="n">
        <f aca="false">IF(F$5="A",E240+Inputs_Actuals!F60,F235*F239)</f>
        <v>0</v>
      </c>
      <c r="G240" s="58" t="n">
        <f aca="false">IF(G$5="A",F240+Inputs_Actuals!G60,G235*G239)</f>
        <v>0</v>
      </c>
      <c r="H240" s="58" t="n">
        <f aca="false">IF(H$5="A",G240+Inputs_Actuals!H60,H235*H239)</f>
        <v>0</v>
      </c>
      <c r="I240" s="58" t="n">
        <f aca="false">IF(I$5="A",H240+Inputs_Actuals!I60,I235*I239)</f>
        <v>33347.91</v>
      </c>
      <c r="J240" s="58" t="n">
        <f aca="false">IF(J$5="A",I240+Inputs_Actuals!J60,J235*J239)</f>
        <v>132462.61</v>
      </c>
      <c r="K240" s="58" t="n">
        <f aca="false">IF(K$5="A",J240+Inputs_Actuals!K60,K235*K239)</f>
        <v>281523.61</v>
      </c>
      <c r="L240" s="58" t="n">
        <f aca="false">IF(L$5="A",K240+Inputs_Actuals!L60,L235*L239)</f>
        <v>460800.89</v>
      </c>
      <c r="M240" s="58" t="n">
        <f aca="false">IF(M$5="A",L240+Inputs_Actuals!M60,M235*M239)</f>
        <v>663763.958170439</v>
      </c>
      <c r="N240" s="58" t="n">
        <f aca="false">IF(N$5="A",M240+Inputs_Actuals!N60,N235*N239)</f>
        <v>868143.257678409</v>
      </c>
      <c r="O240" s="58" t="n">
        <f aca="false">IF(O$5="A",N240+Inputs_Actuals!O60,O235*O239)</f>
        <v>1054954.6126663</v>
      </c>
      <c r="P240" s="58" t="n">
        <f aca="false">IF(P$5="A",O240+Inputs_Actuals!P60,P235*P239)</f>
        <v>1208799.25795044</v>
      </c>
      <c r="Q240" s="58" t="n">
        <f aca="false">IF(Q$5="A",P240+Inputs_Actuals!Q60,Q235*Q239)</f>
        <v>1313193.83867896</v>
      </c>
      <c r="R240" s="58" t="n">
        <f aca="false">IF(R$5="A",Q240+Inputs_Actuals!R60,R235*R239)</f>
        <v>1351655</v>
      </c>
      <c r="S240" s="58" t="n">
        <f aca="false">IF(S$5="A",R240+Inputs_Actuals!S60,S235*S239)</f>
        <v>1351655</v>
      </c>
      <c r="T240" s="58" t="n">
        <f aca="false">IF(T$5="A",S240+Inputs_Actuals!T60,T235*T239)</f>
        <v>1351655</v>
      </c>
      <c r="U240" s="58" t="n">
        <f aca="false">IF(U$5="A",T240+Inputs_Actuals!U60,U235*U239)</f>
        <v>1351655</v>
      </c>
      <c r="V240" s="58" t="n">
        <f aca="false">IF(V$5="A",U240+Inputs_Actuals!V60,V235*V239)</f>
        <v>1351655</v>
      </c>
      <c r="W240" s="58" t="n">
        <f aca="false">IF(W$5="A",V240+Inputs_Actuals!W60,W235*W239)</f>
        <v>1351655</v>
      </c>
      <c r="X240" s="58" t="n">
        <f aca="false">IF(X$5="A",W240+Inputs_Actuals!X60,X235*X239)</f>
        <v>1351655</v>
      </c>
      <c r="Y240" s="58" t="n">
        <f aca="false">IF(Y$5="A",X240+Inputs_Actuals!Y60,Y235*Y239)</f>
        <v>1351655</v>
      </c>
      <c r="Z240" s="58" t="n">
        <f aca="false">IF(Z$5="A",Y240+Inputs_Actuals!Z60,Z235*Z239)</f>
        <v>1351655</v>
      </c>
      <c r="AA240" s="58" t="n">
        <f aca="false">IF(AA$5="A",Z240+Inputs_Actuals!AA60,AA235*AA239)</f>
        <v>1351655</v>
      </c>
      <c r="AB240" s="58" t="n">
        <f aca="false">IF(AB$5="A",AA240+Inputs_Actuals!AB60,AB235*AB239)</f>
        <v>1351655</v>
      </c>
    </row>
    <row r="241" customFormat="false" ht="15" hidden="false" customHeight="false" outlineLevel="0" collapsed="false">
      <c r="A241" s="67" t="s">
        <v>743</v>
      </c>
      <c r="B241" s="68" t="s">
        <v>744</v>
      </c>
      <c r="C241" s="69" t="n">
        <f aca="false">SUM(E241:P241)</f>
        <v>1208799.25795044</v>
      </c>
      <c r="D241" s="69" t="n">
        <f aca="false">SUM(Q241:AB241)</f>
        <v>142855.742049561</v>
      </c>
      <c r="E241" s="74" t="n">
        <f aca="false">E240-Project_Register!$AD$12</f>
        <v>0</v>
      </c>
      <c r="F241" s="69" t="n">
        <f aca="false">F240-E240</f>
        <v>0</v>
      </c>
      <c r="G241" s="69" t="n">
        <f aca="false">G240-F240</f>
        <v>0</v>
      </c>
      <c r="H241" s="69" t="n">
        <f aca="false">H240-G240</f>
        <v>0</v>
      </c>
      <c r="I241" s="69" t="n">
        <f aca="false">I240-H240</f>
        <v>33347.91</v>
      </c>
      <c r="J241" s="69" t="n">
        <f aca="false">J240-I240</f>
        <v>99114.7</v>
      </c>
      <c r="K241" s="69" t="n">
        <f aca="false">K240-J240</f>
        <v>149061</v>
      </c>
      <c r="L241" s="69" t="n">
        <f aca="false">L240-K240</f>
        <v>179277.28</v>
      </c>
      <c r="M241" s="69" t="n">
        <f aca="false">M240-L240</f>
        <v>202963.068170439</v>
      </c>
      <c r="N241" s="69" t="n">
        <f aca="false">N240-M240</f>
        <v>204379.29950797</v>
      </c>
      <c r="O241" s="69" t="n">
        <f aca="false">O240-N240</f>
        <v>186811.354987887</v>
      </c>
      <c r="P241" s="69" t="n">
        <f aca="false">P240-O240</f>
        <v>153844.645284143</v>
      </c>
      <c r="Q241" s="69" t="n">
        <f aca="false">Q240-P240</f>
        <v>104394.580728525</v>
      </c>
      <c r="R241" s="69" t="n">
        <f aca="false">R240-Q240</f>
        <v>38461.1613210358</v>
      </c>
      <c r="S241" s="69" t="n">
        <f aca="false">S240-R240</f>
        <v>0</v>
      </c>
      <c r="T241" s="69" t="n">
        <f aca="false">T240-S240</f>
        <v>0</v>
      </c>
      <c r="U241" s="69" t="n">
        <f aca="false">U240-T240</f>
        <v>0</v>
      </c>
      <c r="V241" s="69" t="n">
        <f aca="false">V240-U240</f>
        <v>0</v>
      </c>
      <c r="W241" s="69" t="n">
        <f aca="false">W240-V240</f>
        <v>0</v>
      </c>
      <c r="X241" s="69" t="n">
        <f aca="false">X240-W240</f>
        <v>0</v>
      </c>
      <c r="Y241" s="69" t="n">
        <f aca="false">Y240-X240</f>
        <v>0</v>
      </c>
      <c r="Z241" s="69" t="n">
        <f aca="false">Z240-Y240</f>
        <v>0</v>
      </c>
      <c r="AA241" s="69" t="n">
        <f aca="false">AA240-Z240</f>
        <v>0</v>
      </c>
      <c r="AB241" s="69" t="n">
        <f aca="false">AB240-AA240</f>
        <v>0</v>
      </c>
    </row>
    <row r="242" customFormat="false" ht="15" hidden="false" customHeight="false" outlineLevel="0" collapsed="false">
      <c r="A242" s="27" t="s">
        <v>745</v>
      </c>
      <c r="B242" s="56" t="s">
        <v>746</v>
      </c>
      <c r="C242" s="57" t="n">
        <f aca="false">P242</f>
        <v>0</v>
      </c>
      <c r="D242" s="57" t="n">
        <f aca="false">AB242</f>
        <v>0</v>
      </c>
      <c r="E242" s="70" t="n">
        <f aca="false">MAX(0,E234-E239)*(1-E235)</f>
        <v>0</v>
      </c>
      <c r="F242" s="70" t="n">
        <f aca="false">MAX(0,F234-F239)*(1-F235)</f>
        <v>0</v>
      </c>
      <c r="G242" s="70" t="n">
        <f aca="false">MAX(0,G234-G239)*(1-G235)</f>
        <v>0</v>
      </c>
      <c r="H242" s="70" t="n">
        <f aca="false">MAX(0,H234-H239)*(1-H235)</f>
        <v>0</v>
      </c>
      <c r="I242" s="70" t="n">
        <f aca="false">MAX(0,I234-I239)*(1-I235)</f>
        <v>0</v>
      </c>
      <c r="J242" s="70" t="n">
        <f aca="false">MAX(0,J234-J239)*(1-J235)</f>
        <v>0</v>
      </c>
      <c r="K242" s="70" t="n">
        <f aca="false">MAX(0,K234-K239)*(1-K235)</f>
        <v>0</v>
      </c>
      <c r="L242" s="70" t="n">
        <f aca="false">MAX(0,L234-L239)*(1-L235)</f>
        <v>0</v>
      </c>
      <c r="M242" s="70" t="n">
        <f aca="false">MAX(0,M234-M239)*(1-M235)</f>
        <v>0</v>
      </c>
      <c r="N242" s="70" t="n">
        <f aca="false">MAX(0,N234-N239)*(1-N235)</f>
        <v>0</v>
      </c>
      <c r="O242" s="70" t="n">
        <f aca="false">MAX(0,O234-O239)*(1-O235)</f>
        <v>0</v>
      </c>
      <c r="P242" s="70" t="n">
        <f aca="false">MAX(0,P234-P239)*(1-P235)</f>
        <v>0</v>
      </c>
      <c r="Q242" s="70" t="n">
        <f aca="false">MAX(0,Q234-Q239)*(1-Q235)</f>
        <v>0</v>
      </c>
      <c r="R242" s="70" t="n">
        <f aca="false">MAX(0,R234-R239)*(1-R235)</f>
        <v>0</v>
      </c>
      <c r="S242" s="70" t="n">
        <f aca="false">MAX(0,S234-S239)*(1-S235)</f>
        <v>0</v>
      </c>
      <c r="T242" s="70" t="n">
        <f aca="false">MAX(0,T234-T239)*(1-T235)</f>
        <v>0</v>
      </c>
      <c r="U242" s="70" t="n">
        <f aca="false">MAX(0,U234-U239)*(1-U235)</f>
        <v>0</v>
      </c>
      <c r="V242" s="70" t="n">
        <f aca="false">MAX(0,V234-V239)*(1-V235)</f>
        <v>0</v>
      </c>
      <c r="W242" s="70" t="n">
        <f aca="false">MAX(0,W234-W239)*(1-W235)</f>
        <v>0</v>
      </c>
      <c r="X242" s="70" t="n">
        <f aca="false">MAX(0,X234-X239)*(1-X235)</f>
        <v>0</v>
      </c>
      <c r="Y242" s="70" t="n">
        <f aca="false">MAX(0,Y234-Y239)*(1-Y235)</f>
        <v>0</v>
      </c>
      <c r="Z242" s="70" t="n">
        <f aca="false">MAX(0,Z234-Z239)*(1-Z235)</f>
        <v>0</v>
      </c>
      <c r="AA242" s="70" t="n">
        <f aca="false">MAX(0,AA234-AA239)*(1-AA235)</f>
        <v>0</v>
      </c>
      <c r="AB242" s="70" t="n">
        <f aca="false">MAX(0,AB234-AB239)*(1-AB235)</f>
        <v>0</v>
      </c>
    </row>
    <row r="243" customFormat="false" ht="15" hidden="false" customHeight="false" outlineLevel="0" collapsed="false">
      <c r="A243" s="27" t="s">
        <v>747</v>
      </c>
      <c r="B243" s="56"/>
      <c r="C243" s="57" t="n">
        <f aca="false">SUM(E243:P243)</f>
        <v>0</v>
      </c>
      <c r="D243" s="57" t="n">
        <f aca="false">SUM(Q243:AB243)</f>
        <v>0</v>
      </c>
      <c r="E243" s="70" t="n">
        <f aca="false">-(E242-0)</f>
        <v>-0</v>
      </c>
      <c r="F243" s="70" t="n">
        <f aca="false">-(F242-E242)</f>
        <v>-0</v>
      </c>
      <c r="G243" s="70" t="n">
        <f aca="false">-(G242-F242)</f>
        <v>-0</v>
      </c>
      <c r="H243" s="70" t="n">
        <f aca="false">-(H242-G242)</f>
        <v>-0</v>
      </c>
      <c r="I243" s="70" t="n">
        <f aca="false">-(I242-H242)</f>
        <v>-0</v>
      </c>
      <c r="J243" s="70" t="n">
        <f aca="false">-(J242-I242)</f>
        <v>-0</v>
      </c>
      <c r="K243" s="70" t="n">
        <f aca="false">-(K242-J242)</f>
        <v>-0</v>
      </c>
      <c r="L243" s="70" t="n">
        <f aca="false">-(L242-K242)</f>
        <v>-0</v>
      </c>
      <c r="M243" s="70" t="n">
        <f aca="false">-(M242-L242)</f>
        <v>-0</v>
      </c>
      <c r="N243" s="70" t="n">
        <f aca="false">-(N242-M242)</f>
        <v>-0</v>
      </c>
      <c r="O243" s="70" t="n">
        <f aca="false">-(O242-N242)</f>
        <v>-0</v>
      </c>
      <c r="P243" s="70" t="n">
        <f aca="false">-(P242-O242)</f>
        <v>-0</v>
      </c>
      <c r="Q243" s="70" t="n">
        <f aca="false">-(Q242-P242)</f>
        <v>-0</v>
      </c>
      <c r="R243" s="70" t="n">
        <f aca="false">-(R242-Q242)</f>
        <v>-0</v>
      </c>
      <c r="S243" s="70" t="n">
        <f aca="false">-(S242-R242)</f>
        <v>-0</v>
      </c>
      <c r="T243" s="70" t="n">
        <f aca="false">-(T242-S242)</f>
        <v>-0</v>
      </c>
      <c r="U243" s="70" t="n">
        <f aca="false">-(U242-T242)</f>
        <v>-0</v>
      </c>
      <c r="V243" s="70" t="n">
        <f aca="false">-(V242-U242)</f>
        <v>-0</v>
      </c>
      <c r="W243" s="70" t="n">
        <f aca="false">-(W242-V242)</f>
        <v>-0</v>
      </c>
      <c r="X243" s="70" t="n">
        <f aca="false">-(X242-W242)</f>
        <v>-0</v>
      </c>
      <c r="Y243" s="70" t="n">
        <f aca="false">-(Y242-X242)</f>
        <v>-0</v>
      </c>
      <c r="Z243" s="70" t="n">
        <f aca="false">-(Z242-Y242)</f>
        <v>-0</v>
      </c>
      <c r="AA243" s="70" t="n">
        <f aca="false">-(AA242-Z242)</f>
        <v>-0</v>
      </c>
      <c r="AB243" s="70" t="n">
        <f aca="false">-(AB242-AA242)</f>
        <v>-0</v>
      </c>
    </row>
    <row r="244" customFormat="false" ht="15" hidden="false" customHeight="false" outlineLevel="0" collapsed="false">
      <c r="A244" s="67" t="s">
        <v>748</v>
      </c>
      <c r="B244" s="68" t="s">
        <v>749</v>
      </c>
      <c r="C244" s="69" t="n">
        <f aca="false">SUM(E244:P244)</f>
        <v>162455.973752908</v>
      </c>
      <c r="D244" s="69" t="n">
        <f aca="false">SUM(Q244:AB244)</f>
        <v>19199.0262470919</v>
      </c>
      <c r="E244" s="69" t="n">
        <f aca="false">E241-E232+E243</f>
        <v>0</v>
      </c>
      <c r="F244" s="69" t="n">
        <f aca="false">F241-F232+F243</f>
        <v>0</v>
      </c>
      <c r="G244" s="69" t="n">
        <f aca="false">G241-G232+G243</f>
        <v>0</v>
      </c>
      <c r="H244" s="69" t="n">
        <f aca="false">H241-H232+H243</f>
        <v>0</v>
      </c>
      <c r="I244" s="69" t="n">
        <f aca="false">I241-I232+I243</f>
        <v>4092.7</v>
      </c>
      <c r="J244" s="69" t="n">
        <f aca="false">J241-J232+J243</f>
        <v>13223.94</v>
      </c>
      <c r="K244" s="69" t="n">
        <f aca="false">K241-K232+K243</f>
        <v>16950.56</v>
      </c>
      <c r="L244" s="69" t="n">
        <f aca="false">L241-L232+L243</f>
        <v>27010.15</v>
      </c>
      <c r="M244" s="69" t="n">
        <f aca="false">M241-M232+M243</f>
        <v>26990.0495284637</v>
      </c>
      <c r="N244" s="69" t="n">
        <f aca="false">N241-N232+N243</f>
        <v>28406.2808659945</v>
      </c>
      <c r="O244" s="69" t="n">
        <f aca="false">O241-O232+O243</f>
        <v>25106.4189385047</v>
      </c>
      <c r="P244" s="69" t="n">
        <f aca="false">P241-P232+P243</f>
        <v>20675.8744199453</v>
      </c>
      <c r="Q244" s="69" t="n">
        <f aca="false">Q241-Q232+Q243</f>
        <v>14030.0576421055</v>
      </c>
      <c r="R244" s="69" t="n">
        <f aca="false">R241-R232+R243</f>
        <v>5168.9686049864</v>
      </c>
      <c r="S244" s="69" t="n">
        <f aca="false">S241-S232+S243</f>
        <v>0</v>
      </c>
      <c r="T244" s="69" t="n">
        <f aca="false">T241-T232+T243</f>
        <v>0</v>
      </c>
      <c r="U244" s="69" t="n">
        <f aca="false">U241-U232+U243</f>
        <v>0</v>
      </c>
      <c r="V244" s="69" t="n">
        <f aca="false">V241-V232+V243</f>
        <v>0</v>
      </c>
      <c r="W244" s="69" t="n">
        <f aca="false">W241-W232+W243</f>
        <v>0</v>
      </c>
      <c r="X244" s="69" t="n">
        <f aca="false">X241-X232+X243</f>
        <v>0</v>
      </c>
      <c r="Y244" s="69" t="n">
        <f aca="false">Y241-Y232+Y243</f>
        <v>0</v>
      </c>
      <c r="Z244" s="69" t="n">
        <f aca="false">Z241-Z232+Z243</f>
        <v>0</v>
      </c>
      <c r="AA244" s="69" t="n">
        <f aca="false">AA241-AA232+AA243</f>
        <v>0</v>
      </c>
      <c r="AB244" s="69" t="n">
        <f aca="false">AB241-AB232+AB243</f>
        <v>0</v>
      </c>
    </row>
    <row r="245" customFormat="false" ht="15" hidden="false" customHeight="false" outlineLevel="0" collapsed="false">
      <c r="A245" s="27" t="s">
        <v>750</v>
      </c>
      <c r="B245" s="56"/>
      <c r="C245" s="57" t="n">
        <f aca="false">P245</f>
        <v>1351655</v>
      </c>
      <c r="D245" s="57" t="n">
        <f aca="false">AB245</f>
        <v>1351655</v>
      </c>
      <c r="E245" s="58" t="n">
        <f aca="false">Project_Register!$AO$12+E236+Assumptions!$F$121*E238</f>
        <v>1320000</v>
      </c>
      <c r="F245" s="58" t="n">
        <f aca="false">Project_Register!$AO$12+F236+Assumptions!$F$121*F238</f>
        <v>1320000</v>
      </c>
      <c r="G245" s="58" t="n">
        <f aca="false">Project_Register!$AO$12+G236+Assumptions!$F$121*G238</f>
        <v>1320000</v>
      </c>
      <c r="H245" s="58" t="n">
        <f aca="false">Project_Register!$AO$12+H236+Assumptions!$F$121*H238</f>
        <v>1320000</v>
      </c>
      <c r="I245" s="58" t="n">
        <f aca="false">Project_Register!$AO$12+I236+Assumptions!$F$121*I238</f>
        <v>1320000</v>
      </c>
      <c r="J245" s="58" t="n">
        <f aca="false">Project_Register!$AO$12+J236+Assumptions!$F$121*J238</f>
        <v>1320000</v>
      </c>
      <c r="K245" s="58" t="n">
        <f aca="false">Project_Register!$AO$12+K236+Assumptions!$F$121*K238</f>
        <v>1320000</v>
      </c>
      <c r="L245" s="58" t="n">
        <f aca="false">Project_Register!$AO$12+L236+Assumptions!$F$121*L238</f>
        <v>1342100</v>
      </c>
      <c r="M245" s="58" t="n">
        <f aca="false">Project_Register!$AO$12+M236+Assumptions!$F$121*M238</f>
        <v>1342100</v>
      </c>
      <c r="N245" s="58" t="n">
        <f aca="false">Project_Register!$AO$12+N236+Assumptions!$F$121*N238</f>
        <v>1351655</v>
      </c>
      <c r="O245" s="58" t="n">
        <f aca="false">Project_Register!$AO$12+O236+Assumptions!$F$121*O238</f>
        <v>1351655</v>
      </c>
      <c r="P245" s="58" t="n">
        <f aca="false">Project_Register!$AO$12+P236+Assumptions!$F$121*P238</f>
        <v>1351655</v>
      </c>
      <c r="Q245" s="58" t="n">
        <f aca="false">Project_Register!$AO$12+Q236+Assumptions!$F$121*Q238</f>
        <v>1351655</v>
      </c>
      <c r="R245" s="58" t="n">
        <f aca="false">Project_Register!$AO$12+R236+Assumptions!$F$121*R238</f>
        <v>1351655</v>
      </c>
      <c r="S245" s="58" t="n">
        <f aca="false">Project_Register!$AO$12+S236+Assumptions!$F$121*S238</f>
        <v>1351655</v>
      </c>
      <c r="T245" s="58" t="n">
        <f aca="false">Project_Register!$AO$12+T236+Assumptions!$F$121*T238</f>
        <v>1351655</v>
      </c>
      <c r="U245" s="58" t="n">
        <f aca="false">Project_Register!$AO$12+U236+Assumptions!$F$121*U238</f>
        <v>1351655</v>
      </c>
      <c r="V245" s="58" t="n">
        <f aca="false">Project_Register!$AO$12+V236+Assumptions!$F$121*V238</f>
        <v>1351655</v>
      </c>
      <c r="W245" s="58" t="n">
        <f aca="false">Project_Register!$AO$12+W236+Assumptions!$F$121*W238</f>
        <v>1351655</v>
      </c>
      <c r="X245" s="58" t="n">
        <f aca="false">Project_Register!$AO$12+X236+Assumptions!$F$121*X238</f>
        <v>1351655</v>
      </c>
      <c r="Y245" s="58" t="n">
        <f aca="false">Project_Register!$AO$12+Y236+Assumptions!$F$121*Y238</f>
        <v>1351655</v>
      </c>
      <c r="Z245" s="58" t="n">
        <f aca="false">Project_Register!$AO$12+Z236+Assumptions!$F$121*Z238</f>
        <v>1351655</v>
      </c>
      <c r="AA245" s="58" t="n">
        <f aca="false">Project_Register!$AO$12+AA236+Assumptions!$F$121*AA238</f>
        <v>1351655</v>
      </c>
      <c r="AB245" s="58" t="n">
        <f aca="false">Project_Register!$AO$12+AB236+Assumptions!$F$121*AB238</f>
        <v>1351655</v>
      </c>
    </row>
    <row r="246" customFormat="false" ht="15" hidden="false" customHeight="false" outlineLevel="0" collapsed="false">
      <c r="A246" s="27" t="s">
        <v>751</v>
      </c>
      <c r="B246" s="56" t="s">
        <v>752</v>
      </c>
      <c r="C246" s="57" t="n">
        <f aca="false">P246</f>
        <v>1054954.6126663</v>
      </c>
      <c r="D246" s="57" t="n">
        <f aca="false">AB246</f>
        <v>1351655</v>
      </c>
      <c r="E246" s="58" t="n">
        <f aca="false">IF(E$5="A",Project_Register!$AE$12+Inputs_Actuals!E61,IF(Assumptions!E$96&gt;=Project_Register!$AM$12,E245,MIN(E245,MAX(Project_Register!$AE$12,0*E245))))</f>
        <v>0</v>
      </c>
      <c r="F246" s="58" t="n">
        <f aca="false">IF(F$5="A",E246+Inputs_Actuals!F61,IF(Assumptions!F$96&gt;=Project_Register!$AM$12,F245,MIN(F245,MAX(E246,E235*F245))))</f>
        <v>0</v>
      </c>
      <c r="G246" s="58" t="n">
        <f aca="false">IF(G$5="A",F246+Inputs_Actuals!G61,IF(Assumptions!G$96&gt;=Project_Register!$AM$12,G245,MIN(G245,MAX(F246,F235*G245))))</f>
        <v>0</v>
      </c>
      <c r="H246" s="58" t="n">
        <f aca="false">IF(H$5="A",G246+Inputs_Actuals!H61,IF(Assumptions!H$96&gt;=Project_Register!$AM$12,H245,MIN(H245,MAX(G246,G235*H245))))</f>
        <v>0</v>
      </c>
      <c r="I246" s="58" t="n">
        <f aca="false">IF(I$5="A",H246+Inputs_Actuals!I61,IF(Assumptions!I$96&gt;=Project_Register!$AM$12,I245,MIN(I245,MAX(H246,H235*I245))))</f>
        <v>0</v>
      </c>
      <c r="J246" s="58" t="n">
        <f aca="false">IF(J$5="A",I246+Inputs_Actuals!J61,IF(Assumptions!J$96&gt;=Project_Register!$AM$12,J245,MIN(J245,MAX(I246,I235*J245))))</f>
        <v>33347.91</v>
      </c>
      <c r="K246" s="58" t="n">
        <f aca="false">IF(K$5="A",J246+Inputs_Actuals!K61,IF(Assumptions!K$96&gt;=Project_Register!$AM$12,K245,MIN(K245,MAX(J246,J235*K245))))</f>
        <v>131254.47</v>
      </c>
      <c r="L246" s="58" t="n">
        <f aca="false">IF(L$5="A",K246+Inputs_Actuals!L61,IF(Assumptions!L$96&gt;=Project_Register!$AM$12,L245,MIN(L245,MAX(K246,K235*L245))))</f>
        <v>283626.35</v>
      </c>
      <c r="M246" s="58" t="n">
        <f aca="false">IF(M$5="A",L246+Inputs_Actuals!M61,IF(Assumptions!M$96&gt;=Project_Register!$AM$12,M245,MIN(M245,MAX(L246,L235*M245))))</f>
        <v>458291.062422222</v>
      </c>
      <c r="N246" s="58" t="n">
        <f aca="false">IF(N$5="A",M246+Inputs_Actuals!N61,IF(Assumptions!N$96&gt;=Project_Register!$AM$12,N245,MIN(N245,MAX(M246,M235*N245))))</f>
        <v>664848.547838649</v>
      </c>
      <c r="O246" s="58" t="n">
        <f aca="false">IF(O$5="A",N246+Inputs_Actuals!O61,IF(Assumptions!O$96&gt;=Project_Register!$AM$12,O245,MIN(O245,MAX(N246,N235*O245))))</f>
        <v>868143.257678409</v>
      </c>
      <c r="P246" s="58" t="n">
        <f aca="false">IF(P$5="A",O246+Inputs_Actuals!P61,IF(Assumptions!P$96&gt;=Project_Register!$AM$12,P245,MIN(P245,MAX(O246,O235*P245))))</f>
        <v>1054954.6126663</v>
      </c>
      <c r="Q246" s="58" t="n">
        <f aca="false">IF(Q$5="A",P246+Inputs_Actuals!Q61,IF(Assumptions!Q$96&gt;=Project_Register!$AM$12,Q245,MIN(Q245,MAX(P246,P235*Q245))))</f>
        <v>1208799.25795044</v>
      </c>
      <c r="R246" s="58" t="n">
        <f aca="false">IF(R$5="A",Q246+Inputs_Actuals!R61,IF(Assumptions!R$96&gt;=Project_Register!$AM$12,R245,MIN(R245,MAX(Q246,Q235*R245))))</f>
        <v>1313193.83867896</v>
      </c>
      <c r="S246" s="58" t="n">
        <f aca="false">IF(S$5="A",R246+Inputs_Actuals!S61,IF(Assumptions!S$96&gt;=Project_Register!$AM$12,S245,MIN(S245,MAX(R246,R235*S245))))</f>
        <v>1351655</v>
      </c>
      <c r="T246" s="58" t="n">
        <f aca="false">IF(T$5="A",S246+Inputs_Actuals!T61,IF(Assumptions!T$96&gt;=Project_Register!$AM$12,T245,MIN(T245,MAX(S246,S235*T245))))</f>
        <v>1351655</v>
      </c>
      <c r="U246" s="58" t="n">
        <f aca="false">IF(U$5="A",T246+Inputs_Actuals!U61,IF(Assumptions!U$96&gt;=Project_Register!$AM$12,U245,MIN(U245,MAX(T246,T235*U245))))</f>
        <v>1351655</v>
      </c>
      <c r="V246" s="58" t="n">
        <f aca="false">IF(V$5="A",U246+Inputs_Actuals!V61,IF(Assumptions!V$96&gt;=Project_Register!$AM$12,V245,MIN(V245,MAX(U246,U235*V245))))</f>
        <v>1351655</v>
      </c>
      <c r="W246" s="58" t="n">
        <f aca="false">IF(W$5="A",V246+Inputs_Actuals!W61,IF(Assumptions!W$96&gt;=Project_Register!$AM$12,W245,MIN(W245,MAX(V246,V235*W245))))</f>
        <v>1351655</v>
      </c>
      <c r="X246" s="58" t="n">
        <f aca="false">IF(X$5="A",W246+Inputs_Actuals!X61,IF(Assumptions!X$96&gt;=Project_Register!$AM$12,X245,MIN(X245,MAX(W246,W235*X245))))</f>
        <v>1351655</v>
      </c>
      <c r="Y246" s="58" t="n">
        <f aca="false">IF(Y$5="A",X246+Inputs_Actuals!Y61,IF(Assumptions!Y$96&gt;=Project_Register!$AM$12,Y245,MIN(Y245,MAX(X246,X235*Y245))))</f>
        <v>1351655</v>
      </c>
      <c r="Z246" s="58" t="n">
        <f aca="false">IF(Z$5="A",Y246+Inputs_Actuals!Z61,IF(Assumptions!Z$96&gt;=Project_Register!$AM$12,Z245,MIN(Z245,MAX(Y246,Y235*Z245))))</f>
        <v>1351655</v>
      </c>
      <c r="AA246" s="58" t="n">
        <f aca="false">IF(AA$5="A",Z246+Inputs_Actuals!AA61,IF(Assumptions!AA$96&gt;=Project_Register!$AM$12,AA245,MIN(AA245,MAX(Z246,Z235*AA245))))</f>
        <v>1351655</v>
      </c>
      <c r="AB246" s="58" t="n">
        <f aca="false">IF(AB$5="A",AA246+Inputs_Actuals!AB61,IF(Assumptions!AB$96&gt;=Project_Register!$AM$12,AB245,MIN(AB245,MAX(AA246,AA235*AB245))))</f>
        <v>1351655</v>
      </c>
    </row>
    <row r="247" customFormat="false" ht="15" hidden="false" customHeight="false" outlineLevel="0" collapsed="false">
      <c r="A247" s="27" t="s">
        <v>753</v>
      </c>
      <c r="B247" s="56"/>
      <c r="C247" s="57" t="n">
        <f aca="false">SUM(E247:P247)</f>
        <v>1054954.6126663</v>
      </c>
      <c r="D247" s="57" t="n">
        <f aca="false">SUM(Q247:AB247)</f>
        <v>296700.387333704</v>
      </c>
      <c r="E247" s="58" t="n">
        <f aca="false">E246-Project_Register!$AE$12</f>
        <v>0</v>
      </c>
      <c r="F247" s="70" t="n">
        <f aca="false">F246-E246</f>
        <v>0</v>
      </c>
      <c r="G247" s="70" t="n">
        <f aca="false">G246-F246</f>
        <v>0</v>
      </c>
      <c r="H247" s="70" t="n">
        <f aca="false">H246-G246</f>
        <v>0</v>
      </c>
      <c r="I247" s="70" t="n">
        <f aca="false">I246-H246</f>
        <v>0</v>
      </c>
      <c r="J247" s="70" t="n">
        <f aca="false">J246-I246</f>
        <v>33347.91</v>
      </c>
      <c r="K247" s="70" t="n">
        <f aca="false">K246-J246</f>
        <v>97906.56</v>
      </c>
      <c r="L247" s="70" t="n">
        <f aca="false">L246-K246</f>
        <v>152371.88</v>
      </c>
      <c r="M247" s="70" t="n">
        <f aca="false">M246-L246</f>
        <v>174664.712422222</v>
      </c>
      <c r="N247" s="70" t="n">
        <f aca="false">N246-M246</f>
        <v>206557.485416427</v>
      </c>
      <c r="O247" s="70" t="n">
        <f aca="false">O246-N246</f>
        <v>203294.70983976</v>
      </c>
      <c r="P247" s="70" t="n">
        <f aca="false">P246-O246</f>
        <v>186811.354987887</v>
      </c>
      <c r="Q247" s="70" t="n">
        <f aca="false">Q246-P246</f>
        <v>153844.645284143</v>
      </c>
      <c r="R247" s="70" t="n">
        <f aca="false">R246-Q246</f>
        <v>104394.580728525</v>
      </c>
      <c r="S247" s="70" t="n">
        <f aca="false">S246-R246</f>
        <v>38461.1613210358</v>
      </c>
      <c r="T247" s="70" t="n">
        <f aca="false">T246-S246</f>
        <v>0</v>
      </c>
      <c r="U247" s="70" t="n">
        <f aca="false">U246-T246</f>
        <v>0</v>
      </c>
      <c r="V247" s="70" t="n">
        <f aca="false">V246-U246</f>
        <v>0</v>
      </c>
      <c r="W247" s="70" t="n">
        <f aca="false">W246-V246</f>
        <v>0</v>
      </c>
      <c r="X247" s="70" t="n">
        <f aca="false">X246-W246</f>
        <v>0</v>
      </c>
      <c r="Y247" s="70" t="n">
        <f aca="false">Y246-X246</f>
        <v>0</v>
      </c>
      <c r="Z247" s="70" t="n">
        <f aca="false">Z246-Y246</f>
        <v>0</v>
      </c>
      <c r="AA247" s="70" t="n">
        <f aca="false">AA246-Z246</f>
        <v>0</v>
      </c>
      <c r="AB247" s="70" t="n">
        <f aca="false">AB246-AA246</f>
        <v>0</v>
      </c>
    </row>
    <row r="248" customFormat="false" ht="15" hidden="false" customHeight="false" outlineLevel="0" collapsed="false">
      <c r="A248" s="27" t="s">
        <v>754</v>
      </c>
      <c r="B248" s="56" t="s">
        <v>755</v>
      </c>
      <c r="C248" s="57" t="n">
        <f aca="false">P248</f>
        <v>52747.7306333148</v>
      </c>
      <c r="D248" s="57" t="n">
        <f aca="false">AB248</f>
        <v>33791.375</v>
      </c>
      <c r="E248" s="58" t="n">
        <f aca="false">Project_Register!$Q$12*E246*(1-Project_Register!$R$12*(Assumptions!E$96&gt;=Project_Register!$AK$12+1)-(1-Project_Register!$R$12)*(Assumptions!E$96&gt;=Project_Register!$AN$12))</f>
        <v>0</v>
      </c>
      <c r="F248" s="58" t="n">
        <f aca="false">Project_Register!$Q$12*F246*(1-Project_Register!$R$12*(Assumptions!F$96&gt;=Project_Register!$AK$12+1)-(1-Project_Register!$R$12)*(Assumptions!F$96&gt;=Project_Register!$AN$12))</f>
        <v>0</v>
      </c>
      <c r="G248" s="58" t="n">
        <f aca="false">Project_Register!$Q$12*G246*(1-Project_Register!$R$12*(Assumptions!G$96&gt;=Project_Register!$AK$12+1)-(1-Project_Register!$R$12)*(Assumptions!G$96&gt;=Project_Register!$AN$12))</f>
        <v>0</v>
      </c>
      <c r="H248" s="58" t="n">
        <f aca="false">Project_Register!$Q$12*H246*(1-Project_Register!$R$12*(Assumptions!H$96&gt;=Project_Register!$AK$12+1)-(1-Project_Register!$R$12)*(Assumptions!H$96&gt;=Project_Register!$AN$12))</f>
        <v>0</v>
      </c>
      <c r="I248" s="58" t="n">
        <f aca="false">Project_Register!$Q$12*I246*(1-Project_Register!$R$12*(Assumptions!I$96&gt;=Project_Register!$AK$12+1)-(1-Project_Register!$R$12)*(Assumptions!I$96&gt;=Project_Register!$AN$12))</f>
        <v>0</v>
      </c>
      <c r="J248" s="58" t="n">
        <f aca="false">Project_Register!$Q$12*J246*(1-Project_Register!$R$12*(Assumptions!J$96&gt;=Project_Register!$AK$12+1)-(1-Project_Register!$R$12)*(Assumptions!J$96&gt;=Project_Register!$AN$12))</f>
        <v>1667.3955</v>
      </c>
      <c r="K248" s="58" t="n">
        <f aca="false">Project_Register!$Q$12*K246*(1-Project_Register!$R$12*(Assumptions!K$96&gt;=Project_Register!$AK$12+1)-(1-Project_Register!$R$12)*(Assumptions!K$96&gt;=Project_Register!$AN$12))</f>
        <v>6562.7235</v>
      </c>
      <c r="L248" s="58" t="n">
        <f aca="false">Project_Register!$Q$12*L246*(1-Project_Register!$R$12*(Assumptions!L$96&gt;=Project_Register!$AK$12+1)-(1-Project_Register!$R$12)*(Assumptions!L$96&gt;=Project_Register!$AN$12))</f>
        <v>14181.3175</v>
      </c>
      <c r="M248" s="58" t="n">
        <f aca="false">Project_Register!$Q$12*M246*(1-Project_Register!$R$12*(Assumptions!M$96&gt;=Project_Register!$AK$12+1)-(1-Project_Register!$R$12)*(Assumptions!M$96&gt;=Project_Register!$AN$12))</f>
        <v>22914.5531211111</v>
      </c>
      <c r="N248" s="58" t="n">
        <f aca="false">Project_Register!$Q$12*N246*(1-Project_Register!$R$12*(Assumptions!N$96&gt;=Project_Register!$AK$12+1)-(1-Project_Register!$R$12)*(Assumptions!N$96&gt;=Project_Register!$AN$12))</f>
        <v>33242.4273919324</v>
      </c>
      <c r="O248" s="58" t="n">
        <f aca="false">Project_Register!$Q$12*O246*(1-Project_Register!$R$12*(Assumptions!O$96&gt;=Project_Register!$AK$12+1)-(1-Project_Register!$R$12)*(Assumptions!O$96&gt;=Project_Register!$AN$12))</f>
        <v>43407.1628839205</v>
      </c>
      <c r="P248" s="58" t="n">
        <f aca="false">Project_Register!$Q$12*P246*(1-Project_Register!$R$12*(Assumptions!P$96&gt;=Project_Register!$AK$12+1)-(1-Project_Register!$R$12)*(Assumptions!P$96&gt;=Project_Register!$AN$12))</f>
        <v>52747.7306333148</v>
      </c>
      <c r="Q248" s="58" t="n">
        <f aca="false">Project_Register!$Q$12*Q246*(1-Project_Register!$R$12*(Assumptions!Q$96&gt;=Project_Register!$AK$12+1)-(1-Project_Register!$R$12)*(Assumptions!Q$96&gt;=Project_Register!$AN$12))</f>
        <v>60439.962897522</v>
      </c>
      <c r="R248" s="58" t="n">
        <f aca="false">Project_Register!$Q$12*R246*(1-Project_Register!$R$12*(Assumptions!R$96&gt;=Project_Register!$AK$12+1)-(1-Project_Register!$R$12)*(Assumptions!R$96&gt;=Project_Register!$AN$12))</f>
        <v>65659.6919339482</v>
      </c>
      <c r="S248" s="58" t="n">
        <f aca="false">Project_Register!$Q$12*S246*(1-Project_Register!$R$12*(Assumptions!S$96&gt;=Project_Register!$AK$12+1)-(1-Project_Register!$R$12)*(Assumptions!S$96&gt;=Project_Register!$AN$12))</f>
        <v>33791.375</v>
      </c>
      <c r="T248" s="58" t="n">
        <f aca="false">Project_Register!$Q$12*T246*(1-Project_Register!$R$12*(Assumptions!T$96&gt;=Project_Register!$AK$12+1)-(1-Project_Register!$R$12)*(Assumptions!T$96&gt;=Project_Register!$AN$12))</f>
        <v>33791.375</v>
      </c>
      <c r="U248" s="58" t="n">
        <f aca="false">Project_Register!$Q$12*U246*(1-Project_Register!$R$12*(Assumptions!U$96&gt;=Project_Register!$AK$12+1)-(1-Project_Register!$R$12)*(Assumptions!U$96&gt;=Project_Register!$AN$12))</f>
        <v>33791.375</v>
      </c>
      <c r="V248" s="58" t="n">
        <f aca="false">Project_Register!$Q$12*V246*(1-Project_Register!$R$12*(Assumptions!V$96&gt;=Project_Register!$AK$12+1)-(1-Project_Register!$R$12)*(Assumptions!V$96&gt;=Project_Register!$AN$12))</f>
        <v>33791.375</v>
      </c>
      <c r="W248" s="58" t="n">
        <f aca="false">Project_Register!$Q$12*W246*(1-Project_Register!$R$12*(Assumptions!W$96&gt;=Project_Register!$AK$12+1)-(1-Project_Register!$R$12)*(Assumptions!W$96&gt;=Project_Register!$AN$12))</f>
        <v>33791.375</v>
      </c>
      <c r="X248" s="58" t="n">
        <f aca="false">Project_Register!$Q$12*X246*(1-Project_Register!$R$12*(Assumptions!X$96&gt;=Project_Register!$AK$12+1)-(1-Project_Register!$R$12)*(Assumptions!X$96&gt;=Project_Register!$AN$12))</f>
        <v>33791.375</v>
      </c>
      <c r="Y248" s="58" t="n">
        <f aca="false">Project_Register!$Q$12*Y246*(1-Project_Register!$R$12*(Assumptions!Y$96&gt;=Project_Register!$AK$12+1)-(1-Project_Register!$R$12)*(Assumptions!Y$96&gt;=Project_Register!$AN$12))</f>
        <v>33791.375</v>
      </c>
      <c r="Z248" s="58" t="n">
        <f aca="false">Project_Register!$Q$12*Z246*(1-Project_Register!$R$12*(Assumptions!Z$96&gt;=Project_Register!$AK$12+1)-(1-Project_Register!$R$12)*(Assumptions!Z$96&gt;=Project_Register!$AN$12))</f>
        <v>33791.375</v>
      </c>
      <c r="AA248" s="58" t="n">
        <f aca="false">Project_Register!$Q$12*AA246*(1-Project_Register!$R$12*(Assumptions!AA$96&gt;=Project_Register!$AK$12+1)-(1-Project_Register!$R$12)*(Assumptions!AA$96&gt;=Project_Register!$AN$12))</f>
        <v>33791.375</v>
      </c>
      <c r="AB248" s="58" t="n">
        <f aca="false">Project_Register!$Q$12*AB246*(1-Project_Register!$R$12*(Assumptions!AB$96&gt;=Project_Register!$AK$12+1)-(1-Project_Register!$R$12)*(Assumptions!AB$96&gt;=Project_Register!$AN$12))</f>
        <v>33791.375</v>
      </c>
    </row>
    <row r="249" customFormat="false" ht="15" hidden="false" customHeight="false" outlineLevel="0" collapsed="false">
      <c r="A249" s="27" t="s">
        <v>756</v>
      </c>
      <c r="B249" s="56"/>
      <c r="C249" s="57" t="n">
        <f aca="false">SUM(E249:P249)</f>
        <v>52747.7306333148</v>
      </c>
      <c r="D249" s="57" t="n">
        <f aca="false">SUM(Q249:AB249)</f>
        <v>-18956.3556333148</v>
      </c>
      <c r="E249" s="58" t="n">
        <f aca="false">E248-Project_Register!$AW$12</f>
        <v>0</v>
      </c>
      <c r="F249" s="70" t="n">
        <f aca="false">F248-E248</f>
        <v>0</v>
      </c>
      <c r="G249" s="70" t="n">
        <f aca="false">G248-F248</f>
        <v>0</v>
      </c>
      <c r="H249" s="70" t="n">
        <f aca="false">H248-G248</f>
        <v>0</v>
      </c>
      <c r="I249" s="70" t="n">
        <f aca="false">I248-H248</f>
        <v>0</v>
      </c>
      <c r="J249" s="70" t="n">
        <f aca="false">J248-I248</f>
        <v>1667.3955</v>
      </c>
      <c r="K249" s="70" t="n">
        <f aca="false">K248-J248</f>
        <v>4895.328</v>
      </c>
      <c r="L249" s="70" t="n">
        <f aca="false">L248-K248</f>
        <v>7618.594</v>
      </c>
      <c r="M249" s="70" t="n">
        <f aca="false">M248-L248</f>
        <v>8733.23562111111</v>
      </c>
      <c r="N249" s="70" t="n">
        <f aca="false">N248-M248</f>
        <v>10327.8742708213</v>
      </c>
      <c r="O249" s="70" t="n">
        <f aca="false">O248-N248</f>
        <v>10164.735491988</v>
      </c>
      <c r="P249" s="70" t="n">
        <f aca="false">P248-O248</f>
        <v>9340.56774939436</v>
      </c>
      <c r="Q249" s="70" t="n">
        <f aca="false">Q248-P248</f>
        <v>7692.23226420715</v>
      </c>
      <c r="R249" s="70" t="n">
        <f aca="false">R248-Q248</f>
        <v>5219.72903642625</v>
      </c>
      <c r="S249" s="70" t="n">
        <f aca="false">S248-R248</f>
        <v>-31868.3169339482</v>
      </c>
      <c r="T249" s="70" t="n">
        <f aca="false">T248-S248</f>
        <v>0</v>
      </c>
      <c r="U249" s="70" t="n">
        <f aca="false">U248-T248</f>
        <v>0</v>
      </c>
      <c r="V249" s="70" t="n">
        <f aca="false">V248-U248</f>
        <v>0</v>
      </c>
      <c r="W249" s="70" t="n">
        <f aca="false">W248-V248</f>
        <v>0</v>
      </c>
      <c r="X249" s="70" t="n">
        <f aca="false">X248-W248</f>
        <v>0</v>
      </c>
      <c r="Y249" s="70" t="n">
        <f aca="false">Y248-X248</f>
        <v>0</v>
      </c>
      <c r="Z249" s="70" t="n">
        <f aca="false">Z248-Y248</f>
        <v>0</v>
      </c>
      <c r="AA249" s="70" t="n">
        <f aca="false">AA248-Z248</f>
        <v>0</v>
      </c>
      <c r="AB249" s="70" t="n">
        <f aca="false">AB248-AA248</f>
        <v>0</v>
      </c>
    </row>
    <row r="250" customFormat="false" ht="15" hidden="false" customHeight="false" outlineLevel="0" collapsed="false">
      <c r="A250" s="27" t="s">
        <v>757</v>
      </c>
      <c r="B250" s="56"/>
      <c r="C250" s="57" t="n">
        <f aca="false">SUM(E250:P250)</f>
        <v>1002206.88203298</v>
      </c>
      <c r="D250" s="57" t="n">
        <f aca="false">SUM(Q250:AB250)</f>
        <v>315656.742967019</v>
      </c>
      <c r="E250" s="70" t="n">
        <f aca="false">E247-E249</f>
        <v>0</v>
      </c>
      <c r="F250" s="70" t="n">
        <f aca="false">F247-F249</f>
        <v>0</v>
      </c>
      <c r="G250" s="70" t="n">
        <f aca="false">G247-G249</f>
        <v>0</v>
      </c>
      <c r="H250" s="70" t="n">
        <f aca="false">H247-H249</f>
        <v>0</v>
      </c>
      <c r="I250" s="70" t="n">
        <f aca="false">I247-I249</f>
        <v>0</v>
      </c>
      <c r="J250" s="70" t="n">
        <f aca="false">J247-J249</f>
        <v>31680.5145</v>
      </c>
      <c r="K250" s="70" t="n">
        <f aca="false">K247-K249</f>
        <v>93011.232</v>
      </c>
      <c r="L250" s="70" t="n">
        <f aca="false">L247-L249</f>
        <v>144753.286</v>
      </c>
      <c r="M250" s="70" t="n">
        <f aca="false">M247-M249</f>
        <v>165931.476801111</v>
      </c>
      <c r="N250" s="70" t="n">
        <f aca="false">N247-N249</f>
        <v>196229.611145605</v>
      </c>
      <c r="O250" s="70" t="n">
        <f aca="false">O247-O249</f>
        <v>193129.974347772</v>
      </c>
      <c r="P250" s="70" t="n">
        <f aca="false">P247-P249</f>
        <v>177470.787238493</v>
      </c>
      <c r="Q250" s="70" t="n">
        <f aca="false">Q247-Q249</f>
        <v>146152.413019936</v>
      </c>
      <c r="R250" s="70" t="n">
        <f aca="false">R247-R249</f>
        <v>99174.8516920988</v>
      </c>
      <c r="S250" s="70" t="n">
        <f aca="false">S247-S249</f>
        <v>70329.478254984</v>
      </c>
      <c r="T250" s="70" t="n">
        <f aca="false">T247-T249</f>
        <v>0</v>
      </c>
      <c r="U250" s="70" t="n">
        <f aca="false">U247-U249</f>
        <v>0</v>
      </c>
      <c r="V250" s="70" t="n">
        <f aca="false">V247-V249</f>
        <v>0</v>
      </c>
      <c r="W250" s="70" t="n">
        <f aca="false">W247-W249</f>
        <v>0</v>
      </c>
      <c r="X250" s="70" t="n">
        <f aca="false">X247-X249</f>
        <v>0</v>
      </c>
      <c r="Y250" s="70" t="n">
        <f aca="false">Y247-Y249</f>
        <v>0</v>
      </c>
      <c r="Z250" s="70" t="n">
        <f aca="false">Z247-Z249</f>
        <v>0</v>
      </c>
      <c r="AA250" s="70" t="n">
        <f aca="false">AA247-AA249</f>
        <v>0</v>
      </c>
      <c r="AB250" s="70" t="n">
        <f aca="false">AB247-AB249</f>
        <v>0</v>
      </c>
    </row>
    <row r="251" customFormat="false" ht="15" hidden="false" customHeight="false" outlineLevel="0" collapsed="false">
      <c r="A251" s="27" t="s">
        <v>758</v>
      </c>
      <c r="B251" s="56" t="s">
        <v>759</v>
      </c>
      <c r="C251" s="57" t="n">
        <f aca="false">SUM(E251:P251)</f>
        <v>0</v>
      </c>
      <c r="D251" s="57" t="n">
        <f aca="false">SUM(Q251:AB251)</f>
        <v>0</v>
      </c>
      <c r="E251" s="58" t="n">
        <f aca="false">E250*Project_Register!$W$12</f>
        <v>0</v>
      </c>
      <c r="F251" s="58" t="n">
        <f aca="false">F250*Project_Register!$W$12</f>
        <v>0</v>
      </c>
      <c r="G251" s="58" t="n">
        <f aca="false">G250*Project_Register!$W$12</f>
        <v>0</v>
      </c>
      <c r="H251" s="58" t="n">
        <f aca="false">H250*Project_Register!$W$12</f>
        <v>0</v>
      </c>
      <c r="I251" s="58" t="n">
        <f aca="false">I250*Project_Register!$W$12</f>
        <v>0</v>
      </c>
      <c r="J251" s="58" t="n">
        <f aca="false">J250*Project_Register!$W$12</f>
        <v>0</v>
      </c>
      <c r="K251" s="58" t="n">
        <f aca="false">K250*Project_Register!$W$12</f>
        <v>0</v>
      </c>
      <c r="L251" s="58" t="n">
        <f aca="false">L250*Project_Register!$W$12</f>
        <v>0</v>
      </c>
      <c r="M251" s="58" t="n">
        <f aca="false">M250*Project_Register!$W$12</f>
        <v>0</v>
      </c>
      <c r="N251" s="58" t="n">
        <f aca="false">N250*Project_Register!$W$12</f>
        <v>0</v>
      </c>
      <c r="O251" s="58" t="n">
        <f aca="false">O250*Project_Register!$W$12</f>
        <v>0</v>
      </c>
      <c r="P251" s="58" t="n">
        <f aca="false">P250*Project_Register!$W$12</f>
        <v>0</v>
      </c>
      <c r="Q251" s="58" t="n">
        <f aca="false">Q250*Project_Register!$W$12</f>
        <v>0</v>
      </c>
      <c r="R251" s="58" t="n">
        <f aca="false">R250*Project_Register!$W$12</f>
        <v>0</v>
      </c>
      <c r="S251" s="58" t="n">
        <f aca="false">S250*Project_Register!$W$12</f>
        <v>0</v>
      </c>
      <c r="T251" s="58" t="n">
        <f aca="false">T250*Project_Register!$W$12</f>
        <v>0</v>
      </c>
      <c r="U251" s="58" t="n">
        <f aca="false">U250*Project_Register!$W$12</f>
        <v>0</v>
      </c>
      <c r="V251" s="58" t="n">
        <f aca="false">V250*Project_Register!$W$12</f>
        <v>0</v>
      </c>
      <c r="W251" s="58" t="n">
        <f aca="false">W250*Project_Register!$W$12</f>
        <v>0</v>
      </c>
      <c r="X251" s="58" t="n">
        <f aca="false">X250*Project_Register!$W$12</f>
        <v>0</v>
      </c>
      <c r="Y251" s="58" t="n">
        <f aca="false">Y250*Project_Register!$W$12</f>
        <v>0</v>
      </c>
      <c r="Z251" s="58" t="n">
        <f aca="false">Z250*Project_Register!$W$12</f>
        <v>0</v>
      </c>
      <c r="AA251" s="58" t="n">
        <f aca="false">AA250*Project_Register!$W$12</f>
        <v>0</v>
      </c>
      <c r="AB251" s="58" t="n">
        <f aca="false">AB250*Project_Register!$W$12</f>
        <v>0</v>
      </c>
    </row>
    <row r="252" customFormat="false" ht="15" hidden="false" customHeight="false" outlineLevel="0" collapsed="false">
      <c r="A252" s="27" t="s">
        <v>760</v>
      </c>
      <c r="B252" s="56"/>
      <c r="C252" s="57" t="n">
        <f aca="false">SUM(E252:P252)</f>
        <v>1002206.88203298</v>
      </c>
      <c r="D252" s="57" t="n">
        <f aca="false">SUM(Q252:AB252)</f>
        <v>315656.742967019</v>
      </c>
      <c r="E252" s="70" t="n">
        <f aca="false">E250+E251</f>
        <v>0</v>
      </c>
      <c r="F252" s="70" t="n">
        <f aca="false">F250+F251</f>
        <v>0</v>
      </c>
      <c r="G252" s="70" t="n">
        <f aca="false">G250+G251</f>
        <v>0</v>
      </c>
      <c r="H252" s="70" t="n">
        <f aca="false">H250+H251</f>
        <v>0</v>
      </c>
      <c r="I252" s="70" t="n">
        <f aca="false">I250+I251</f>
        <v>0</v>
      </c>
      <c r="J252" s="70" t="n">
        <f aca="false">J250+J251</f>
        <v>31680.5145</v>
      </c>
      <c r="K252" s="70" t="n">
        <f aca="false">K250+K251</f>
        <v>93011.232</v>
      </c>
      <c r="L252" s="70" t="n">
        <f aca="false">L250+L251</f>
        <v>144753.286</v>
      </c>
      <c r="M252" s="70" t="n">
        <f aca="false">M250+M251</f>
        <v>165931.476801111</v>
      </c>
      <c r="N252" s="70" t="n">
        <f aca="false">N250+N251</f>
        <v>196229.611145605</v>
      </c>
      <c r="O252" s="70" t="n">
        <f aca="false">O250+O251</f>
        <v>193129.974347772</v>
      </c>
      <c r="P252" s="70" t="n">
        <f aca="false">P250+P251</f>
        <v>177470.787238493</v>
      </c>
      <c r="Q252" s="70" t="n">
        <f aca="false">Q250+Q251</f>
        <v>146152.413019936</v>
      </c>
      <c r="R252" s="70" t="n">
        <f aca="false">R250+R251</f>
        <v>99174.8516920988</v>
      </c>
      <c r="S252" s="70" t="n">
        <f aca="false">S250+S251</f>
        <v>70329.478254984</v>
      </c>
      <c r="T252" s="70" t="n">
        <f aca="false">T250+T251</f>
        <v>0</v>
      </c>
      <c r="U252" s="70" t="n">
        <f aca="false">U250+U251</f>
        <v>0</v>
      </c>
      <c r="V252" s="70" t="n">
        <f aca="false">V250+V251</f>
        <v>0</v>
      </c>
      <c r="W252" s="70" t="n">
        <f aca="false">W250+W251</f>
        <v>0</v>
      </c>
      <c r="X252" s="70" t="n">
        <f aca="false">X250+X251</f>
        <v>0</v>
      </c>
      <c r="Y252" s="70" t="n">
        <f aca="false">Y250+Y251</f>
        <v>0</v>
      </c>
      <c r="Z252" s="70" t="n">
        <f aca="false">Z250+Z251</f>
        <v>0</v>
      </c>
      <c r="AA252" s="70" t="n">
        <f aca="false">AA250+AA251</f>
        <v>0</v>
      </c>
      <c r="AB252" s="70" t="n">
        <f aca="false">AB250+AB251</f>
        <v>0</v>
      </c>
    </row>
    <row r="253" customFormat="false" ht="15" hidden="false" customHeight="false" outlineLevel="0" collapsed="false">
      <c r="A253" s="27" t="s">
        <v>761</v>
      </c>
      <c r="B253" s="56" t="s">
        <v>762</v>
      </c>
      <c r="C253" s="57" t="n">
        <f aca="false">SUM(E253:P253)</f>
        <v>824736.094794488</v>
      </c>
      <c r="D253" s="57" t="n">
        <f aca="false">SUM(Q253:AB253)</f>
        <v>493127.530205512</v>
      </c>
      <c r="E253" s="58" t="n">
        <f aca="false">IF(E$5="A",Inputs_Actuals!E62,Project_Register!$AF$12+E252-(E252*MIN(1,Project_Register!$AY$12/30)+0*MIN(1,MAX(0,(Project_Register!$AY$12-30)/30))))</f>
        <v>0</v>
      </c>
      <c r="F253" s="58" t="n">
        <f aca="false">IF(F$5="A",Inputs_Actuals!F62,E254+F252-(F252*MIN(1,Project_Register!$AY$12/30)+E252*MIN(1,MAX(0,(Project_Register!$AY$12-30)/30))))</f>
        <v>0</v>
      </c>
      <c r="G253" s="58" t="n">
        <f aca="false">IF(G$5="A",Inputs_Actuals!G62,F254+G252-(G252*MIN(1,Project_Register!$AY$12/30)+F252*MIN(1,MAX(0,(Project_Register!$AY$12-30)/30))))</f>
        <v>0</v>
      </c>
      <c r="H253" s="58" t="n">
        <f aca="false">IF(H$5="A",Inputs_Actuals!H62,G254+H252-(H252*MIN(1,Project_Register!$AY$12/30)+G252*MIN(1,MAX(0,(Project_Register!$AY$12-30)/30))))</f>
        <v>0</v>
      </c>
      <c r="I253" s="58" t="n">
        <f aca="false">IF(I$5="A",Inputs_Actuals!I62,H254+I252-(I252*MIN(1,Project_Register!$AY$12/30)+H252*MIN(1,MAX(0,(Project_Register!$AY$12-30)/30))))</f>
        <v>0</v>
      </c>
      <c r="J253" s="58" t="n">
        <f aca="false">IF(J$5="A",Inputs_Actuals!J62,I254+J252-(J252*MIN(1,Project_Register!$AY$12/30)+I252*MIN(1,MAX(0,(Project_Register!$AY$12-30)/30))))</f>
        <v>-1130.93</v>
      </c>
      <c r="K253" s="58" t="n">
        <f aca="false">IF(K$5="A",Inputs_Actuals!K62,J254+K252-(K252*MIN(1,Project_Register!$AY$12/30)+J252*MIN(1,MAX(0,(Project_Register!$AY$12-30)/30))))</f>
        <v>33354.11</v>
      </c>
      <c r="L253" s="58" t="n">
        <f aca="false">IF(L$5="A",Inputs_Actuals!L62,K254+L252-(L252*MIN(1,Project_Register!$AY$12/30)+K252*MIN(1,MAX(0,(Project_Register!$AY$12-30)/30))))</f>
        <v>89759.77</v>
      </c>
      <c r="M253" s="58" t="n">
        <f aca="false">IF(M$5="A",Inputs_Actuals!M62,L254+M252-(M252*MIN(1,Project_Register!$AY$12/30)+L252*MIN(1,MAX(0,(Project_Register!$AY$12-30)/30))))</f>
        <v>147462.0825</v>
      </c>
      <c r="N253" s="58" t="n">
        <f aca="false">IF(N$5="A",Inputs_Actuals!N62,M254+N252-(N252*MIN(1,Project_Register!$AY$12/30)+M252*MIN(1,MAX(0,(Project_Register!$AY$12-30)/30))))</f>
        <v>165931.476801111</v>
      </c>
      <c r="O253" s="58" t="n">
        <f aca="false">IF(O$5="A",Inputs_Actuals!O62,N254+O252-(O252*MIN(1,Project_Register!$AY$12/30)+N252*MIN(1,MAX(0,(Project_Register!$AY$12-30)/30))))</f>
        <v>196229.611145605</v>
      </c>
      <c r="P253" s="58" t="n">
        <f aca="false">IF(P$5="A",Inputs_Actuals!P62,O254+P252-(P252*MIN(1,Project_Register!$AY$12/30)+O252*MIN(1,MAX(0,(Project_Register!$AY$12-30)/30))))</f>
        <v>193129.974347772</v>
      </c>
      <c r="Q253" s="58" t="n">
        <f aca="false">IF(Q$5="A",Inputs_Actuals!Q62,P254+Q252-(Q252*MIN(1,Project_Register!$AY$12/30)+P252*MIN(1,MAX(0,(Project_Register!$AY$12-30)/30))))</f>
        <v>177470.787238493</v>
      </c>
      <c r="R253" s="58" t="n">
        <f aca="false">IF(R$5="A",Inputs_Actuals!R62,Q254+R252-(R252*MIN(1,Project_Register!$AY$12/30)+Q252*MIN(1,MAX(0,(Project_Register!$AY$12-30)/30))))</f>
        <v>146152.413019936</v>
      </c>
      <c r="S253" s="58" t="n">
        <f aca="false">IF(S$5="A",Inputs_Actuals!S62,R254+S252-(S252*MIN(1,Project_Register!$AY$12/30)+R252*MIN(1,MAX(0,(Project_Register!$AY$12-30)/30))))</f>
        <v>99174.8516920988</v>
      </c>
      <c r="T253" s="58" t="n">
        <f aca="false">IF(T$5="A",Inputs_Actuals!T62,S254+T252-(T252*MIN(1,Project_Register!$AY$12/30)+S252*MIN(1,MAX(0,(Project_Register!$AY$12-30)/30))))</f>
        <v>70329.478254984</v>
      </c>
      <c r="U253" s="58" t="n">
        <f aca="false">IF(U$5="A",Inputs_Actuals!U62,T254+U252-(U252*MIN(1,Project_Register!$AY$12/30)+T252*MIN(1,MAX(0,(Project_Register!$AY$12-30)/30))))</f>
        <v>0</v>
      </c>
      <c r="V253" s="58" t="n">
        <f aca="false">IF(V$5="A",Inputs_Actuals!V62,U254+V252-(V252*MIN(1,Project_Register!$AY$12/30)+U252*MIN(1,MAX(0,(Project_Register!$AY$12-30)/30))))</f>
        <v>0</v>
      </c>
      <c r="W253" s="58" t="n">
        <f aca="false">IF(W$5="A",Inputs_Actuals!W62,V254+W252-(W252*MIN(1,Project_Register!$AY$12/30)+V252*MIN(1,MAX(0,(Project_Register!$AY$12-30)/30))))</f>
        <v>0</v>
      </c>
      <c r="X253" s="58" t="n">
        <f aca="false">IF(X$5="A",Inputs_Actuals!X62,W254+X252-(X252*MIN(1,Project_Register!$AY$12/30)+W252*MIN(1,MAX(0,(Project_Register!$AY$12-30)/30))))</f>
        <v>0</v>
      </c>
      <c r="Y253" s="58" t="n">
        <f aca="false">IF(Y$5="A",Inputs_Actuals!Y62,X254+Y252-(Y252*MIN(1,Project_Register!$AY$12/30)+X252*MIN(1,MAX(0,(Project_Register!$AY$12-30)/30))))</f>
        <v>0</v>
      </c>
      <c r="Z253" s="58" t="n">
        <f aca="false">IF(Z$5="A",Inputs_Actuals!Z62,Y254+Z252-(Z252*MIN(1,Project_Register!$AY$12/30)+Y252*MIN(1,MAX(0,(Project_Register!$AY$12-30)/30))))</f>
        <v>0</v>
      </c>
      <c r="AA253" s="58" t="n">
        <f aca="false">IF(AA$5="A",Inputs_Actuals!AA62,Z254+AA252-(AA252*MIN(1,Project_Register!$AY$12/30)+Z252*MIN(1,MAX(0,(Project_Register!$AY$12-30)/30))))</f>
        <v>0</v>
      </c>
      <c r="AB253" s="58" t="n">
        <f aca="false">IF(AB$5="A",Inputs_Actuals!AB62,AA254+AB252-(AB252*MIN(1,Project_Register!$AY$12/30)+AA252*MIN(1,MAX(0,(Project_Register!$AY$12-30)/30))))</f>
        <v>0</v>
      </c>
    </row>
    <row r="254" customFormat="false" ht="15" hidden="false" customHeight="false" outlineLevel="0" collapsed="false">
      <c r="A254" s="27" t="s">
        <v>763</v>
      </c>
      <c r="B254" s="56" t="s">
        <v>764</v>
      </c>
      <c r="C254" s="57" t="n">
        <f aca="false">P254</f>
        <v>177470.787238493</v>
      </c>
      <c r="D254" s="57" t="n">
        <f aca="false">AB254</f>
        <v>0</v>
      </c>
      <c r="E254" s="58" t="n">
        <f aca="false">Project_Register!$AF$12+E252-E253</f>
        <v>0</v>
      </c>
      <c r="F254" s="70" t="n">
        <f aca="false">E254+F252-F253</f>
        <v>0</v>
      </c>
      <c r="G254" s="70" t="n">
        <f aca="false">F254+G252-G253</f>
        <v>0</v>
      </c>
      <c r="H254" s="70" t="n">
        <f aca="false">G254+H252-H253</f>
        <v>0</v>
      </c>
      <c r="I254" s="70" t="n">
        <f aca="false">H254+I252-I253</f>
        <v>0</v>
      </c>
      <c r="J254" s="70" t="n">
        <f aca="false">I254+J252-J253</f>
        <v>32811.4445</v>
      </c>
      <c r="K254" s="70" t="n">
        <f aca="false">J254+K252-K253</f>
        <v>92468.5665</v>
      </c>
      <c r="L254" s="70" t="n">
        <f aca="false">K254+L252-L253</f>
        <v>147462.0825</v>
      </c>
      <c r="M254" s="70" t="n">
        <f aca="false">L254+M252-M253</f>
        <v>165931.476801111</v>
      </c>
      <c r="N254" s="70" t="n">
        <f aca="false">M254+N252-N253</f>
        <v>196229.611145605</v>
      </c>
      <c r="O254" s="70" t="n">
        <f aca="false">N254+O252-O253</f>
        <v>193129.974347772</v>
      </c>
      <c r="P254" s="70" t="n">
        <f aca="false">O254+P252-P253</f>
        <v>177470.787238493</v>
      </c>
      <c r="Q254" s="70" t="n">
        <f aca="false">P254+Q252-Q253</f>
        <v>146152.413019936</v>
      </c>
      <c r="R254" s="70" t="n">
        <f aca="false">Q254+R252-R253</f>
        <v>99174.8516920988</v>
      </c>
      <c r="S254" s="70" t="n">
        <f aca="false">R254+S252-S253</f>
        <v>70329.478254984</v>
      </c>
      <c r="T254" s="70" t="n">
        <f aca="false">S254+T252-T253</f>
        <v>0</v>
      </c>
      <c r="U254" s="70" t="n">
        <f aca="false">T254+U252-U253</f>
        <v>0</v>
      </c>
      <c r="V254" s="70" t="n">
        <f aca="false">U254+V252-V253</f>
        <v>0</v>
      </c>
      <c r="W254" s="70" t="n">
        <f aca="false">V254+W252-W253</f>
        <v>0</v>
      </c>
      <c r="X254" s="70" t="n">
        <f aca="false">W254+X252-X253</f>
        <v>0</v>
      </c>
      <c r="Y254" s="70" t="n">
        <f aca="false">X254+Y252-Y253</f>
        <v>0</v>
      </c>
      <c r="Z254" s="70" t="n">
        <f aca="false">Y254+Z252-Z253</f>
        <v>0</v>
      </c>
      <c r="AA254" s="70" t="n">
        <f aca="false">Z254+AA252-AA253</f>
        <v>0</v>
      </c>
      <c r="AB254" s="70" t="n">
        <f aca="false">AA254+AB252-AB253</f>
        <v>0</v>
      </c>
    </row>
    <row r="255" customFormat="false" ht="15" hidden="false" customHeight="false" outlineLevel="0" collapsed="false">
      <c r="A255" s="27" t="s">
        <v>765</v>
      </c>
      <c r="B255" s="56" t="s">
        <v>766</v>
      </c>
      <c r="C255" s="57" t="n">
        <f aca="false">P255</f>
        <v>153844.645284143</v>
      </c>
      <c r="D255" s="57" t="n">
        <f aca="false">AB255</f>
        <v>0</v>
      </c>
      <c r="E255" s="70" t="n">
        <f aca="false">E240-E246</f>
        <v>0</v>
      </c>
      <c r="F255" s="70" t="n">
        <f aca="false">F240-F246</f>
        <v>0</v>
      </c>
      <c r="G255" s="70" t="n">
        <f aca="false">G240-G246</f>
        <v>0</v>
      </c>
      <c r="H255" s="70" t="n">
        <f aca="false">H240-H246</f>
        <v>0</v>
      </c>
      <c r="I255" s="70" t="n">
        <f aca="false">I240-I246</f>
        <v>33347.91</v>
      </c>
      <c r="J255" s="70" t="n">
        <f aca="false">J240-J246</f>
        <v>99114.7</v>
      </c>
      <c r="K255" s="70" t="n">
        <f aca="false">K240-K246</f>
        <v>150269.14</v>
      </c>
      <c r="L255" s="70" t="n">
        <f aca="false">L240-L246</f>
        <v>177174.54</v>
      </c>
      <c r="M255" s="70" t="n">
        <f aca="false">M240-M246</f>
        <v>205472.895748217</v>
      </c>
      <c r="N255" s="70" t="n">
        <f aca="false">N240-N246</f>
        <v>203294.70983976</v>
      </c>
      <c r="O255" s="70" t="n">
        <f aca="false">O240-O246</f>
        <v>186811.354987887</v>
      </c>
      <c r="P255" s="70" t="n">
        <f aca="false">P240-P246</f>
        <v>153844.645284143</v>
      </c>
      <c r="Q255" s="70" t="n">
        <f aca="false">Q240-Q246</f>
        <v>104394.580728525</v>
      </c>
      <c r="R255" s="70" t="n">
        <f aca="false">R240-R246</f>
        <v>38461.1613210358</v>
      </c>
      <c r="S255" s="70" t="n">
        <f aca="false">S240-S246</f>
        <v>0</v>
      </c>
      <c r="T255" s="70" t="n">
        <f aca="false">T240-T246</f>
        <v>0</v>
      </c>
      <c r="U255" s="70" t="n">
        <f aca="false">U240-U246</f>
        <v>0</v>
      </c>
      <c r="V255" s="70" t="n">
        <f aca="false">V240-V246</f>
        <v>0</v>
      </c>
      <c r="W255" s="70" t="n">
        <f aca="false">W240-W246</f>
        <v>0</v>
      </c>
      <c r="X255" s="70" t="n">
        <f aca="false">X240-X246</f>
        <v>0</v>
      </c>
      <c r="Y255" s="70" t="n">
        <f aca="false">Y240-Y246</f>
        <v>0</v>
      </c>
      <c r="Z255" s="70" t="n">
        <f aca="false">Z240-Z246</f>
        <v>0</v>
      </c>
      <c r="AA255" s="70" t="n">
        <f aca="false">AA240-AA246</f>
        <v>0</v>
      </c>
      <c r="AB255" s="70" t="n">
        <f aca="false">AB240-AB246</f>
        <v>0</v>
      </c>
    </row>
    <row r="256" customFormat="false" ht="15" hidden="false" customHeight="false" outlineLevel="0" collapsed="false">
      <c r="A256" s="27" t="s">
        <v>767</v>
      </c>
      <c r="B256" s="56"/>
      <c r="C256" s="57" t="n">
        <f aca="false">P256</f>
        <v>153844.645284143</v>
      </c>
      <c r="D256" s="57" t="n">
        <f aca="false">AB256</f>
        <v>0</v>
      </c>
      <c r="E256" s="70" t="n">
        <f aca="false">MAX(0,E255)</f>
        <v>0</v>
      </c>
      <c r="F256" s="70" t="n">
        <f aca="false">MAX(0,F255)</f>
        <v>0</v>
      </c>
      <c r="G256" s="70" t="n">
        <f aca="false">MAX(0,G255)</f>
        <v>0</v>
      </c>
      <c r="H256" s="70" t="n">
        <f aca="false">MAX(0,H255)</f>
        <v>0</v>
      </c>
      <c r="I256" s="70" t="n">
        <f aca="false">MAX(0,I255)</f>
        <v>33347.91</v>
      </c>
      <c r="J256" s="70" t="n">
        <f aca="false">MAX(0,J255)</f>
        <v>99114.7</v>
      </c>
      <c r="K256" s="70" t="n">
        <f aca="false">MAX(0,K255)</f>
        <v>150269.14</v>
      </c>
      <c r="L256" s="70" t="n">
        <f aca="false">MAX(0,L255)</f>
        <v>177174.54</v>
      </c>
      <c r="M256" s="70" t="n">
        <f aca="false">MAX(0,M255)</f>
        <v>205472.895748217</v>
      </c>
      <c r="N256" s="70" t="n">
        <f aca="false">MAX(0,N255)</f>
        <v>203294.70983976</v>
      </c>
      <c r="O256" s="70" t="n">
        <f aca="false">MAX(0,O255)</f>
        <v>186811.354987887</v>
      </c>
      <c r="P256" s="70" t="n">
        <f aca="false">MAX(0,P255)</f>
        <v>153844.645284143</v>
      </c>
      <c r="Q256" s="70" t="n">
        <f aca="false">MAX(0,Q255)</f>
        <v>104394.580728525</v>
      </c>
      <c r="R256" s="70" t="n">
        <f aca="false">MAX(0,R255)</f>
        <v>38461.1613210358</v>
      </c>
      <c r="S256" s="70" t="n">
        <f aca="false">MAX(0,S255)</f>
        <v>0</v>
      </c>
      <c r="T256" s="70" t="n">
        <f aca="false">MAX(0,T255)</f>
        <v>0</v>
      </c>
      <c r="U256" s="70" t="n">
        <f aca="false">MAX(0,U255)</f>
        <v>0</v>
      </c>
      <c r="V256" s="70" t="n">
        <f aca="false">MAX(0,V255)</f>
        <v>0</v>
      </c>
      <c r="W256" s="70" t="n">
        <f aca="false">MAX(0,W255)</f>
        <v>0</v>
      </c>
      <c r="X256" s="70" t="n">
        <f aca="false">MAX(0,X255)</f>
        <v>0</v>
      </c>
      <c r="Y256" s="70" t="n">
        <f aca="false">MAX(0,Y255)</f>
        <v>0</v>
      </c>
      <c r="Z256" s="70" t="n">
        <f aca="false">MAX(0,Z255)</f>
        <v>0</v>
      </c>
      <c r="AA256" s="70" t="n">
        <f aca="false">MAX(0,AA255)</f>
        <v>0</v>
      </c>
      <c r="AB256" s="70" t="n">
        <f aca="false">MAX(0,AB255)</f>
        <v>0</v>
      </c>
    </row>
    <row r="257" customFormat="false" ht="15" hidden="false" customHeight="false" outlineLevel="0" collapsed="false">
      <c r="A257" s="27" t="s">
        <v>768</v>
      </c>
      <c r="B257" s="56"/>
      <c r="C257" s="57" t="n">
        <f aca="false">P257</f>
        <v>0</v>
      </c>
      <c r="D257" s="57" t="n">
        <f aca="false">AB257</f>
        <v>-0</v>
      </c>
      <c r="E257" s="70" t="n">
        <f aca="false">MAX(0,-E255)</f>
        <v>-0</v>
      </c>
      <c r="F257" s="70" t="n">
        <f aca="false">MAX(0,-F255)</f>
        <v>-0</v>
      </c>
      <c r="G257" s="70" t="n">
        <f aca="false">MAX(0,-G255)</f>
        <v>-0</v>
      </c>
      <c r="H257" s="70" t="n">
        <f aca="false">MAX(0,-H255)</f>
        <v>-0</v>
      </c>
      <c r="I257" s="70" t="n">
        <f aca="false">MAX(0,-I255)</f>
        <v>0</v>
      </c>
      <c r="J257" s="70" t="n">
        <f aca="false">MAX(0,-J255)</f>
        <v>0</v>
      </c>
      <c r="K257" s="70" t="n">
        <f aca="false">MAX(0,-K255)</f>
        <v>0</v>
      </c>
      <c r="L257" s="70" t="n">
        <f aca="false">MAX(0,-L255)</f>
        <v>0</v>
      </c>
      <c r="M257" s="70" t="n">
        <f aca="false">MAX(0,-M255)</f>
        <v>0</v>
      </c>
      <c r="N257" s="70" t="n">
        <f aca="false">MAX(0,-N255)</f>
        <v>0</v>
      </c>
      <c r="O257" s="70" t="n">
        <f aca="false">MAX(0,-O255)</f>
        <v>0</v>
      </c>
      <c r="P257" s="70" t="n">
        <f aca="false">MAX(0,-P255)</f>
        <v>0</v>
      </c>
      <c r="Q257" s="70" t="n">
        <f aca="false">MAX(0,-Q255)</f>
        <v>0</v>
      </c>
      <c r="R257" s="70" t="n">
        <f aca="false">MAX(0,-R255)</f>
        <v>0</v>
      </c>
      <c r="S257" s="70" t="n">
        <f aca="false">MAX(0,-S255)</f>
        <v>-0</v>
      </c>
      <c r="T257" s="70" t="n">
        <f aca="false">MAX(0,-T255)</f>
        <v>-0</v>
      </c>
      <c r="U257" s="70" t="n">
        <f aca="false">MAX(0,-U255)</f>
        <v>-0</v>
      </c>
      <c r="V257" s="70" t="n">
        <f aca="false">MAX(0,-V255)</f>
        <v>-0</v>
      </c>
      <c r="W257" s="70" t="n">
        <f aca="false">MAX(0,-W255)</f>
        <v>-0</v>
      </c>
      <c r="X257" s="70" t="n">
        <f aca="false">MAX(0,-X255)</f>
        <v>-0</v>
      </c>
      <c r="Y257" s="70" t="n">
        <f aca="false">MAX(0,-Y255)</f>
        <v>-0</v>
      </c>
      <c r="Z257" s="70" t="n">
        <f aca="false">MAX(0,-Z255)</f>
        <v>-0</v>
      </c>
      <c r="AA257" s="70" t="n">
        <f aca="false">MAX(0,-AA255)</f>
        <v>-0</v>
      </c>
      <c r="AB257" s="70" t="n">
        <f aca="false">MAX(0,-AB255)</f>
        <v>-0</v>
      </c>
    </row>
    <row r="258" customFormat="false" ht="15" hidden="false" customHeight="false" outlineLevel="0" collapsed="false">
      <c r="A258" s="27" t="s">
        <v>769</v>
      </c>
      <c r="B258" s="56"/>
      <c r="C258" s="57" t="n">
        <f aca="false">P258</f>
        <v>582836.006750617</v>
      </c>
      <c r="D258" s="57" t="n">
        <f aca="false">AB258</f>
        <v>652083.7676</v>
      </c>
      <c r="E258" s="58" t="n">
        <f aca="false">Project_Register!$AG$12+E228</f>
        <v>0</v>
      </c>
      <c r="F258" s="70" t="n">
        <f aca="false">E258+F228</f>
        <v>0</v>
      </c>
      <c r="G258" s="70" t="n">
        <f aca="false">F258+G228</f>
        <v>0</v>
      </c>
      <c r="H258" s="70" t="n">
        <f aca="false">G258+H228</f>
        <v>0</v>
      </c>
      <c r="I258" s="70" t="n">
        <f aca="false">H258+I228</f>
        <v>16519.7</v>
      </c>
      <c r="J258" s="70" t="n">
        <f aca="false">I258+J228</f>
        <v>62804.94</v>
      </c>
      <c r="K258" s="70" t="n">
        <f aca="false">J258+K228</f>
        <v>138520.42</v>
      </c>
      <c r="L258" s="70" t="n">
        <f aca="false">K258+L228</f>
        <v>220616.95</v>
      </c>
      <c r="M258" s="70" t="n">
        <f aca="false">L258+M228</f>
        <v>319161.840439506</v>
      </c>
      <c r="N258" s="70" t="n">
        <f aca="false">M258+N228</f>
        <v>417706.730879012</v>
      </c>
      <c r="O258" s="70" t="n">
        <f aca="false">N258+O228</f>
        <v>508261.495066667</v>
      </c>
      <c r="P258" s="70" t="n">
        <f aca="false">O258+P228</f>
        <v>582836.006750617</v>
      </c>
      <c r="Q258" s="70" t="n">
        <f aca="false">P258+Q228</f>
        <v>633440.139679012</v>
      </c>
      <c r="R258" s="70" t="n">
        <f aca="false">Q258+R228</f>
        <v>652083.7676</v>
      </c>
      <c r="S258" s="70" t="n">
        <f aca="false">R258+S228</f>
        <v>652083.7676</v>
      </c>
      <c r="T258" s="70" t="n">
        <f aca="false">S258+T228</f>
        <v>652083.7676</v>
      </c>
      <c r="U258" s="70" t="n">
        <f aca="false">T258+U228</f>
        <v>652083.7676</v>
      </c>
      <c r="V258" s="70" t="n">
        <f aca="false">U258+V228</f>
        <v>652083.7676</v>
      </c>
      <c r="W258" s="70" t="n">
        <f aca="false">V258+W228</f>
        <v>652083.7676</v>
      </c>
      <c r="X258" s="70" t="n">
        <f aca="false">W258+X228</f>
        <v>652083.7676</v>
      </c>
      <c r="Y258" s="70" t="n">
        <f aca="false">X258+Y228</f>
        <v>652083.7676</v>
      </c>
      <c r="Z258" s="70" t="n">
        <f aca="false">Y258+Z228</f>
        <v>652083.7676</v>
      </c>
      <c r="AA258" s="70" t="n">
        <f aca="false">Z258+AA228</f>
        <v>652083.7676</v>
      </c>
      <c r="AB258" s="70" t="n">
        <f aca="false">AA258+AB228</f>
        <v>652083.7676</v>
      </c>
    </row>
    <row r="259" customFormat="false" ht="15" hidden="false" customHeight="false" outlineLevel="0" collapsed="false">
      <c r="A259" s="27" t="s">
        <v>770</v>
      </c>
      <c r="B259" s="56"/>
      <c r="C259" s="57" t="n">
        <f aca="false">P259</f>
        <v>29141.8003375309</v>
      </c>
      <c r="D259" s="57" t="n">
        <f aca="false">AB259</f>
        <v>16302.09419</v>
      </c>
      <c r="E259" s="58" t="n">
        <f aca="false">Project_Register!$U$12*E258*(1-Project_Register!$R$12*(Assumptions!E$96&gt;=Project_Register!$AK$12+1)-(1-Project_Register!$R$12)*(Assumptions!E$96&gt;=Project_Register!$AN$12))</f>
        <v>0</v>
      </c>
      <c r="F259" s="58" t="n">
        <f aca="false">Project_Register!$U$12*F258*(1-Project_Register!$R$12*(Assumptions!F$96&gt;=Project_Register!$AK$12+1)-(1-Project_Register!$R$12)*(Assumptions!F$96&gt;=Project_Register!$AN$12))</f>
        <v>0</v>
      </c>
      <c r="G259" s="58" t="n">
        <f aca="false">Project_Register!$U$12*G258*(1-Project_Register!$R$12*(Assumptions!G$96&gt;=Project_Register!$AK$12+1)-(1-Project_Register!$R$12)*(Assumptions!G$96&gt;=Project_Register!$AN$12))</f>
        <v>0</v>
      </c>
      <c r="H259" s="58" t="n">
        <f aca="false">Project_Register!$U$12*H258*(1-Project_Register!$R$12*(Assumptions!H$96&gt;=Project_Register!$AK$12+1)-(1-Project_Register!$R$12)*(Assumptions!H$96&gt;=Project_Register!$AN$12))</f>
        <v>0</v>
      </c>
      <c r="I259" s="58" t="n">
        <f aca="false">Project_Register!$U$12*I258*(1-Project_Register!$R$12*(Assumptions!I$96&gt;=Project_Register!$AK$12+1)-(1-Project_Register!$R$12)*(Assumptions!I$96&gt;=Project_Register!$AN$12))</f>
        <v>825.985</v>
      </c>
      <c r="J259" s="58" t="n">
        <f aca="false">Project_Register!$U$12*J258*(1-Project_Register!$R$12*(Assumptions!J$96&gt;=Project_Register!$AK$12+1)-(1-Project_Register!$R$12)*(Assumptions!J$96&gt;=Project_Register!$AN$12))</f>
        <v>3140.247</v>
      </c>
      <c r="K259" s="58" t="n">
        <f aca="false">Project_Register!$U$12*K258*(1-Project_Register!$R$12*(Assumptions!K$96&gt;=Project_Register!$AK$12+1)-(1-Project_Register!$R$12)*(Assumptions!K$96&gt;=Project_Register!$AN$12))</f>
        <v>6926.021</v>
      </c>
      <c r="L259" s="58" t="n">
        <f aca="false">Project_Register!$U$12*L258*(1-Project_Register!$R$12*(Assumptions!L$96&gt;=Project_Register!$AK$12+1)-(1-Project_Register!$R$12)*(Assumptions!L$96&gt;=Project_Register!$AN$12))</f>
        <v>11030.8475</v>
      </c>
      <c r="M259" s="58" t="n">
        <f aca="false">Project_Register!$U$12*M258*(1-Project_Register!$R$12*(Assumptions!M$96&gt;=Project_Register!$AK$12+1)-(1-Project_Register!$R$12)*(Assumptions!M$96&gt;=Project_Register!$AN$12))</f>
        <v>15958.0920219753</v>
      </c>
      <c r="N259" s="58" t="n">
        <f aca="false">Project_Register!$U$12*N258*(1-Project_Register!$R$12*(Assumptions!N$96&gt;=Project_Register!$AK$12+1)-(1-Project_Register!$R$12)*(Assumptions!N$96&gt;=Project_Register!$AN$12))</f>
        <v>20885.3365439506</v>
      </c>
      <c r="O259" s="58" t="n">
        <f aca="false">Project_Register!$U$12*O258*(1-Project_Register!$R$12*(Assumptions!O$96&gt;=Project_Register!$AK$12+1)-(1-Project_Register!$R$12)*(Assumptions!O$96&gt;=Project_Register!$AN$12))</f>
        <v>25413.0747533333</v>
      </c>
      <c r="P259" s="58" t="n">
        <f aca="false">Project_Register!$U$12*P258*(1-Project_Register!$R$12*(Assumptions!P$96&gt;=Project_Register!$AK$12+1)-(1-Project_Register!$R$12)*(Assumptions!P$96&gt;=Project_Register!$AN$12))</f>
        <v>29141.8003375309</v>
      </c>
      <c r="Q259" s="58" t="n">
        <f aca="false">Project_Register!$U$12*Q258*(1-Project_Register!$R$12*(Assumptions!Q$96&gt;=Project_Register!$AK$12+1)-(1-Project_Register!$R$12)*(Assumptions!Q$96&gt;=Project_Register!$AN$12))</f>
        <v>31672.0069839506</v>
      </c>
      <c r="R259" s="58" t="n">
        <f aca="false">Project_Register!$U$12*R258*(1-Project_Register!$R$12*(Assumptions!R$96&gt;=Project_Register!$AK$12+1)-(1-Project_Register!$R$12)*(Assumptions!R$96&gt;=Project_Register!$AN$12))</f>
        <v>32604.18838</v>
      </c>
      <c r="S259" s="58" t="n">
        <f aca="false">Project_Register!$U$12*S258*(1-Project_Register!$R$12*(Assumptions!S$96&gt;=Project_Register!$AK$12+1)-(1-Project_Register!$R$12)*(Assumptions!S$96&gt;=Project_Register!$AN$12))</f>
        <v>16302.09419</v>
      </c>
      <c r="T259" s="58" t="n">
        <f aca="false">Project_Register!$U$12*T258*(1-Project_Register!$R$12*(Assumptions!T$96&gt;=Project_Register!$AK$12+1)-(1-Project_Register!$R$12)*(Assumptions!T$96&gt;=Project_Register!$AN$12))</f>
        <v>16302.09419</v>
      </c>
      <c r="U259" s="58" t="n">
        <f aca="false">Project_Register!$U$12*U258*(1-Project_Register!$R$12*(Assumptions!U$96&gt;=Project_Register!$AK$12+1)-(1-Project_Register!$R$12)*(Assumptions!U$96&gt;=Project_Register!$AN$12))</f>
        <v>16302.09419</v>
      </c>
      <c r="V259" s="58" t="n">
        <f aca="false">Project_Register!$U$12*V258*(1-Project_Register!$R$12*(Assumptions!V$96&gt;=Project_Register!$AK$12+1)-(1-Project_Register!$R$12)*(Assumptions!V$96&gt;=Project_Register!$AN$12))</f>
        <v>16302.09419</v>
      </c>
      <c r="W259" s="58" t="n">
        <f aca="false">Project_Register!$U$12*W258*(1-Project_Register!$R$12*(Assumptions!W$96&gt;=Project_Register!$AK$12+1)-(1-Project_Register!$R$12)*(Assumptions!W$96&gt;=Project_Register!$AN$12))</f>
        <v>16302.09419</v>
      </c>
      <c r="X259" s="58" t="n">
        <f aca="false">Project_Register!$U$12*X258*(1-Project_Register!$R$12*(Assumptions!X$96&gt;=Project_Register!$AK$12+1)-(1-Project_Register!$R$12)*(Assumptions!X$96&gt;=Project_Register!$AN$12))</f>
        <v>16302.09419</v>
      </c>
      <c r="Y259" s="58" t="n">
        <f aca="false">Project_Register!$U$12*Y258*(1-Project_Register!$R$12*(Assumptions!Y$96&gt;=Project_Register!$AK$12+1)-(1-Project_Register!$R$12)*(Assumptions!Y$96&gt;=Project_Register!$AN$12))</f>
        <v>16302.09419</v>
      </c>
      <c r="Z259" s="58" t="n">
        <f aca="false">Project_Register!$U$12*Z258*(1-Project_Register!$R$12*(Assumptions!Z$96&gt;=Project_Register!$AK$12+1)-(1-Project_Register!$R$12)*(Assumptions!Z$96&gt;=Project_Register!$AN$12))</f>
        <v>16302.09419</v>
      </c>
      <c r="AA259" s="58" t="n">
        <f aca="false">Project_Register!$U$12*AA258*(1-Project_Register!$R$12*(Assumptions!AA$96&gt;=Project_Register!$AK$12+1)-(1-Project_Register!$R$12)*(Assumptions!AA$96&gt;=Project_Register!$AN$12))</f>
        <v>16302.09419</v>
      </c>
      <c r="AB259" s="58" t="n">
        <f aca="false">Project_Register!$U$12*AB258*(1-Project_Register!$R$12*(Assumptions!AB$96&gt;=Project_Register!$AK$12+1)-(1-Project_Register!$R$12)*(Assumptions!AB$96&gt;=Project_Register!$AN$12))</f>
        <v>16302.09419</v>
      </c>
    </row>
    <row r="260" customFormat="false" ht="15" hidden="false" customHeight="false" outlineLevel="0" collapsed="false">
      <c r="A260" s="27" t="s">
        <v>771</v>
      </c>
      <c r="B260" s="56"/>
      <c r="C260" s="57" t="n">
        <f aca="false">SUM(E260:P260)</f>
        <v>29141.8003375309</v>
      </c>
      <c r="D260" s="57" t="n">
        <f aca="false">SUM(Q260:AB260)</f>
        <v>-12839.7061475309</v>
      </c>
      <c r="E260" s="58" t="n">
        <f aca="false">E259-Project_Register!$AX$12</f>
        <v>0</v>
      </c>
      <c r="F260" s="70" t="n">
        <f aca="false">F259-E259</f>
        <v>0</v>
      </c>
      <c r="G260" s="70" t="n">
        <f aca="false">G259-F259</f>
        <v>0</v>
      </c>
      <c r="H260" s="70" t="n">
        <f aca="false">H259-G259</f>
        <v>0</v>
      </c>
      <c r="I260" s="70" t="n">
        <f aca="false">I259-H259</f>
        <v>825.985</v>
      </c>
      <c r="J260" s="70" t="n">
        <f aca="false">J259-I259</f>
        <v>2314.262</v>
      </c>
      <c r="K260" s="70" t="n">
        <f aca="false">K259-J259</f>
        <v>3785.774</v>
      </c>
      <c r="L260" s="70" t="n">
        <f aca="false">L259-K259</f>
        <v>4104.8265</v>
      </c>
      <c r="M260" s="70" t="n">
        <f aca="false">M259-L259</f>
        <v>4927.24452197531</v>
      </c>
      <c r="N260" s="70" t="n">
        <f aca="false">N259-M259</f>
        <v>4927.24452197531</v>
      </c>
      <c r="O260" s="70" t="n">
        <f aca="false">O259-N259</f>
        <v>4527.73820938271</v>
      </c>
      <c r="P260" s="70" t="n">
        <f aca="false">P259-O259</f>
        <v>3728.72558419753</v>
      </c>
      <c r="Q260" s="70" t="n">
        <f aca="false">Q259-P259</f>
        <v>2530.20664641975</v>
      </c>
      <c r="R260" s="70" t="n">
        <f aca="false">R259-Q259</f>
        <v>932.181396049382</v>
      </c>
      <c r="S260" s="70" t="n">
        <f aca="false">S259-R259</f>
        <v>-16302.09419</v>
      </c>
      <c r="T260" s="70" t="n">
        <f aca="false">T259-S259</f>
        <v>0</v>
      </c>
      <c r="U260" s="70" t="n">
        <f aca="false">U259-T259</f>
        <v>0</v>
      </c>
      <c r="V260" s="70" t="n">
        <f aca="false">V259-U259</f>
        <v>0</v>
      </c>
      <c r="W260" s="70" t="n">
        <f aca="false">W259-V259</f>
        <v>0</v>
      </c>
      <c r="X260" s="70" t="n">
        <f aca="false">X259-W259</f>
        <v>0</v>
      </c>
      <c r="Y260" s="70" t="n">
        <f aca="false">Y259-X259</f>
        <v>0</v>
      </c>
      <c r="Z260" s="70" t="n">
        <f aca="false">Z259-Y259</f>
        <v>0</v>
      </c>
      <c r="AA260" s="70" t="n">
        <f aca="false">AA259-Z259</f>
        <v>0</v>
      </c>
      <c r="AB260" s="70" t="n">
        <f aca="false">AB259-AA259</f>
        <v>0</v>
      </c>
    </row>
    <row r="261" customFormat="false" ht="15" hidden="false" customHeight="false" outlineLevel="0" collapsed="false">
      <c r="A261" s="27" t="s">
        <v>772</v>
      </c>
      <c r="B261" s="56" t="s">
        <v>773</v>
      </c>
      <c r="C261" s="57" t="n">
        <f aca="false">P261</f>
        <v>132000</v>
      </c>
      <c r="D261" s="57" t="n">
        <f aca="false">AB261</f>
        <v>0</v>
      </c>
      <c r="E261" s="58" t="n">
        <f aca="false">Project_Register!$V$12*Project_Register!$AO$12*(Assumptions!E$96&gt;=Project_Register!$AL$12)*(Assumptions!E$96&lt;=Project_Register!$AK$12)</f>
        <v>0</v>
      </c>
      <c r="F261" s="58" t="n">
        <f aca="false">Project_Register!$V$12*Project_Register!$AO$12*(Assumptions!F$96&gt;=Project_Register!$AL$12)*(Assumptions!F$96&lt;=Project_Register!$AK$12)</f>
        <v>0</v>
      </c>
      <c r="G261" s="58" t="n">
        <f aca="false">Project_Register!$V$12*Project_Register!$AO$12*(Assumptions!G$96&gt;=Project_Register!$AL$12)*(Assumptions!G$96&lt;=Project_Register!$AK$12)</f>
        <v>0</v>
      </c>
      <c r="H261" s="58" t="n">
        <f aca="false">Project_Register!$V$12*Project_Register!$AO$12*(Assumptions!H$96&gt;=Project_Register!$AL$12)*(Assumptions!H$96&lt;=Project_Register!$AK$12)</f>
        <v>132000</v>
      </c>
      <c r="I261" s="58" t="n">
        <f aca="false">Project_Register!$V$12*Project_Register!$AO$12*(Assumptions!I$96&gt;=Project_Register!$AL$12)*(Assumptions!I$96&lt;=Project_Register!$AK$12)</f>
        <v>132000</v>
      </c>
      <c r="J261" s="58" t="n">
        <f aca="false">Project_Register!$V$12*Project_Register!$AO$12*(Assumptions!J$96&gt;=Project_Register!$AL$12)*(Assumptions!J$96&lt;=Project_Register!$AK$12)</f>
        <v>132000</v>
      </c>
      <c r="K261" s="58" t="n">
        <f aca="false">Project_Register!$V$12*Project_Register!$AO$12*(Assumptions!K$96&gt;=Project_Register!$AL$12)*(Assumptions!K$96&lt;=Project_Register!$AK$12)</f>
        <v>132000</v>
      </c>
      <c r="L261" s="58" t="n">
        <f aca="false">Project_Register!$V$12*Project_Register!$AO$12*(Assumptions!L$96&gt;=Project_Register!$AL$12)*(Assumptions!L$96&lt;=Project_Register!$AK$12)</f>
        <v>132000</v>
      </c>
      <c r="M261" s="58" t="n">
        <f aca="false">Project_Register!$V$12*Project_Register!$AO$12*(Assumptions!M$96&gt;=Project_Register!$AL$12)*(Assumptions!M$96&lt;=Project_Register!$AK$12)</f>
        <v>132000</v>
      </c>
      <c r="N261" s="58" t="n">
        <f aca="false">Project_Register!$V$12*Project_Register!$AO$12*(Assumptions!N$96&gt;=Project_Register!$AL$12)*(Assumptions!N$96&lt;=Project_Register!$AK$12)</f>
        <v>132000</v>
      </c>
      <c r="O261" s="58" t="n">
        <f aca="false">Project_Register!$V$12*Project_Register!$AO$12*(Assumptions!O$96&gt;=Project_Register!$AL$12)*(Assumptions!O$96&lt;=Project_Register!$AK$12)</f>
        <v>132000</v>
      </c>
      <c r="P261" s="58" t="n">
        <f aca="false">Project_Register!$V$12*Project_Register!$AO$12*(Assumptions!P$96&gt;=Project_Register!$AL$12)*(Assumptions!P$96&lt;=Project_Register!$AK$12)</f>
        <v>132000</v>
      </c>
      <c r="Q261" s="58" t="n">
        <f aca="false">Project_Register!$V$12*Project_Register!$AO$12*(Assumptions!Q$96&gt;=Project_Register!$AL$12)*(Assumptions!Q$96&lt;=Project_Register!$AK$12)</f>
        <v>132000</v>
      </c>
      <c r="R261" s="58" t="n">
        <f aca="false">Project_Register!$V$12*Project_Register!$AO$12*(Assumptions!R$96&gt;=Project_Register!$AL$12)*(Assumptions!R$96&lt;=Project_Register!$AK$12)</f>
        <v>132000</v>
      </c>
      <c r="S261" s="58" t="n">
        <f aca="false">Project_Register!$V$12*Project_Register!$AO$12*(Assumptions!S$96&gt;=Project_Register!$AL$12)*(Assumptions!S$96&lt;=Project_Register!$AK$12)</f>
        <v>0</v>
      </c>
      <c r="T261" s="58" t="n">
        <f aca="false">Project_Register!$V$12*Project_Register!$AO$12*(Assumptions!T$96&gt;=Project_Register!$AL$12)*(Assumptions!T$96&lt;=Project_Register!$AK$12)</f>
        <v>0</v>
      </c>
      <c r="U261" s="58" t="n">
        <f aca="false">Project_Register!$V$12*Project_Register!$AO$12*(Assumptions!U$96&gt;=Project_Register!$AL$12)*(Assumptions!U$96&lt;=Project_Register!$AK$12)</f>
        <v>0</v>
      </c>
      <c r="V261" s="58" t="n">
        <f aca="false">Project_Register!$V$12*Project_Register!$AO$12*(Assumptions!V$96&gt;=Project_Register!$AL$12)*(Assumptions!V$96&lt;=Project_Register!$AK$12)</f>
        <v>0</v>
      </c>
      <c r="W261" s="58" t="n">
        <f aca="false">Project_Register!$V$12*Project_Register!$AO$12*(Assumptions!W$96&gt;=Project_Register!$AL$12)*(Assumptions!W$96&lt;=Project_Register!$AK$12)</f>
        <v>0</v>
      </c>
      <c r="X261" s="58" t="n">
        <f aca="false">Project_Register!$V$12*Project_Register!$AO$12*(Assumptions!X$96&gt;=Project_Register!$AL$12)*(Assumptions!X$96&lt;=Project_Register!$AK$12)</f>
        <v>0</v>
      </c>
      <c r="Y261" s="58" t="n">
        <f aca="false">Project_Register!$V$12*Project_Register!$AO$12*(Assumptions!Y$96&gt;=Project_Register!$AL$12)*(Assumptions!Y$96&lt;=Project_Register!$AK$12)</f>
        <v>0</v>
      </c>
      <c r="Z261" s="58" t="n">
        <f aca="false">Project_Register!$V$12*Project_Register!$AO$12*(Assumptions!Z$96&gt;=Project_Register!$AL$12)*(Assumptions!Z$96&lt;=Project_Register!$AK$12)</f>
        <v>0</v>
      </c>
      <c r="AA261" s="58" t="n">
        <f aca="false">Project_Register!$V$12*Project_Register!$AO$12*(Assumptions!AA$96&gt;=Project_Register!$AL$12)*(Assumptions!AA$96&lt;=Project_Register!$AK$12)</f>
        <v>0</v>
      </c>
      <c r="AB261" s="58" t="n">
        <f aca="false">Project_Register!$V$12*Project_Register!$AO$12*(Assumptions!AB$96&gt;=Project_Register!$AL$12)*(Assumptions!AB$96&lt;=Project_Register!$AK$12)</f>
        <v>0</v>
      </c>
    </row>
    <row r="262" customFormat="false" ht="15" hidden="false" customHeight="false" outlineLevel="0" collapsed="false">
      <c r="A262" s="27" t="s">
        <v>774</v>
      </c>
      <c r="B262" s="56"/>
      <c r="C262" s="57" t="n">
        <f aca="false">P262</f>
        <v>142855.742049561</v>
      </c>
      <c r="D262" s="57" t="n">
        <f aca="false">AB262</f>
        <v>0</v>
      </c>
      <c r="E262" s="58" t="n">
        <f aca="false">IF(OR(Project_Register!$E$12="Pipeline",Assumptions!E$96&gt;=Project_Register!$AL$12),MAX(0,E239-E240),0)</f>
        <v>0</v>
      </c>
      <c r="F262" s="58" t="n">
        <f aca="false">IF(OR(Project_Register!$E$12="Pipeline",Assumptions!F$96&gt;=Project_Register!$AL$12),MAX(0,F239-F240),0)</f>
        <v>0</v>
      </c>
      <c r="G262" s="58" t="n">
        <f aca="false">IF(OR(Project_Register!$E$12="Pipeline",Assumptions!G$96&gt;=Project_Register!$AL$12),MAX(0,G239-G240),0)</f>
        <v>0</v>
      </c>
      <c r="H262" s="58" t="n">
        <f aca="false">IF(OR(Project_Register!$E$12="Pipeline",Assumptions!H$96&gt;=Project_Register!$AL$12),MAX(0,H239-H240),0)</f>
        <v>1320000</v>
      </c>
      <c r="I262" s="58" t="n">
        <f aca="false">IF(OR(Project_Register!$E$12="Pipeline",Assumptions!I$96&gt;=Project_Register!$AL$12),MAX(0,I239-I240),0)</f>
        <v>1286652.09</v>
      </c>
      <c r="J262" s="58" t="n">
        <f aca="false">IF(OR(Project_Register!$E$12="Pipeline",Assumptions!J$96&gt;=Project_Register!$AL$12),MAX(0,J239-J240),0)</f>
        <v>1199687.39</v>
      </c>
      <c r="K262" s="58" t="n">
        <f aca="false">IF(OR(Project_Register!$E$12="Pipeline",Assumptions!K$96&gt;=Project_Register!$AL$12),MAX(0,K239-K240),0)</f>
        <v>1050626.39</v>
      </c>
      <c r="L262" s="58" t="n">
        <f aca="false">IF(OR(Project_Register!$E$12="Pipeline",Assumptions!L$96&gt;=Project_Register!$AL$12),MAX(0,L239-L240),0)</f>
        <v>888649.11</v>
      </c>
      <c r="M262" s="58" t="n">
        <f aca="false">IF(OR(Project_Register!$E$12="Pipeline",Assumptions!M$96&gt;=Project_Register!$AL$12),MAX(0,M239-M240),0)</f>
        <v>685686.041829561</v>
      </c>
      <c r="N262" s="58" t="n">
        <f aca="false">IF(OR(Project_Register!$E$12="Pipeline",Assumptions!N$96&gt;=Project_Register!$AL$12),MAX(0,N239-N240),0)</f>
        <v>483511.742321591</v>
      </c>
      <c r="O262" s="58" t="n">
        <f aca="false">IF(OR(Project_Register!$E$12="Pipeline",Assumptions!O$96&gt;=Project_Register!$AL$12),MAX(0,O239-O240),0)</f>
        <v>296700.387333704</v>
      </c>
      <c r="P262" s="58" t="n">
        <f aca="false">IF(OR(Project_Register!$E$12="Pipeline",Assumptions!P$96&gt;=Project_Register!$AL$12),MAX(0,P239-P240),0)</f>
        <v>142855.742049561</v>
      </c>
      <c r="Q262" s="58" t="n">
        <f aca="false">IF(OR(Project_Register!$E$12="Pipeline",Assumptions!Q$96&gt;=Project_Register!$AL$12),MAX(0,Q239-Q240),0)</f>
        <v>38461.1613210358</v>
      </c>
      <c r="R262" s="58" t="n">
        <f aca="false">IF(OR(Project_Register!$E$12="Pipeline",Assumptions!R$96&gt;=Project_Register!$AL$12),MAX(0,R239-R240),0)</f>
        <v>0</v>
      </c>
      <c r="S262" s="58" t="n">
        <f aca="false">IF(OR(Project_Register!$E$12="Pipeline",Assumptions!S$96&gt;=Project_Register!$AL$12),MAX(0,S239-S240),0)</f>
        <v>0</v>
      </c>
      <c r="T262" s="58" t="n">
        <f aca="false">IF(OR(Project_Register!$E$12="Pipeline",Assumptions!T$96&gt;=Project_Register!$AL$12),MAX(0,T239-T240),0)</f>
        <v>0</v>
      </c>
      <c r="U262" s="58" t="n">
        <f aca="false">IF(OR(Project_Register!$E$12="Pipeline",Assumptions!U$96&gt;=Project_Register!$AL$12),MAX(0,U239-U240),0)</f>
        <v>0</v>
      </c>
      <c r="V262" s="58" t="n">
        <f aca="false">IF(OR(Project_Register!$E$12="Pipeline",Assumptions!V$96&gt;=Project_Register!$AL$12),MAX(0,V239-V240),0)</f>
        <v>0</v>
      </c>
      <c r="W262" s="58" t="n">
        <f aca="false">IF(OR(Project_Register!$E$12="Pipeline",Assumptions!W$96&gt;=Project_Register!$AL$12),MAX(0,W239-W240),0)</f>
        <v>0</v>
      </c>
      <c r="X262" s="58" t="n">
        <f aca="false">IF(OR(Project_Register!$E$12="Pipeline",Assumptions!X$96&gt;=Project_Register!$AL$12),MAX(0,X239-X240),0)</f>
        <v>0</v>
      </c>
      <c r="Y262" s="58" t="n">
        <f aca="false">IF(OR(Project_Register!$E$12="Pipeline",Assumptions!Y$96&gt;=Project_Register!$AL$12),MAX(0,Y239-Y240),0)</f>
        <v>0</v>
      </c>
      <c r="Z262" s="58" t="n">
        <f aca="false">IF(OR(Project_Register!$E$12="Pipeline",Assumptions!Z$96&gt;=Project_Register!$AL$12),MAX(0,Z239-Z240),0)</f>
        <v>0</v>
      </c>
      <c r="AA262" s="58" t="n">
        <f aca="false">IF(OR(Project_Register!$E$12="Pipeline",Assumptions!AA$96&gt;=Project_Register!$AL$12),MAX(0,AA239-AA240),0)</f>
        <v>0</v>
      </c>
      <c r="AB262" s="58" t="n">
        <f aca="false">IF(OR(Project_Register!$E$12="Pipeline",Assumptions!AB$96&gt;=Project_Register!$AL$12),MAX(0,AB239-AB240),0)</f>
        <v>0</v>
      </c>
    </row>
    <row r="263" customFormat="false" ht="15" hidden="false" customHeight="false" outlineLevel="0" collapsed="false">
      <c r="A263" s="27" t="s">
        <v>775</v>
      </c>
      <c r="B263" s="56"/>
      <c r="C263" s="57" t="n">
        <f aca="false">SUM(E263:P263)</f>
        <v>1320000</v>
      </c>
      <c r="D263" s="57" t="n">
        <f aca="false">SUM(Q263:AB263)</f>
        <v>0</v>
      </c>
      <c r="E263" s="58" t="n">
        <f aca="false">IF(Assumptions!E$96=Project_Register!$AL$12,Project_Register!$AO$12,0)</f>
        <v>0</v>
      </c>
      <c r="F263" s="58" t="n">
        <f aca="false">IF(Assumptions!F$96=Project_Register!$AL$12,Project_Register!$AO$12,0)</f>
        <v>0</v>
      </c>
      <c r="G263" s="58" t="n">
        <f aca="false">IF(Assumptions!G$96=Project_Register!$AL$12,Project_Register!$AO$12,0)</f>
        <v>0</v>
      </c>
      <c r="H263" s="58" t="n">
        <f aca="false">IF(Assumptions!H$96=Project_Register!$AL$12,Project_Register!$AO$12,0)</f>
        <v>1320000</v>
      </c>
      <c r="I263" s="58" t="n">
        <f aca="false">IF(Assumptions!I$96=Project_Register!$AL$12,Project_Register!$AO$12,0)</f>
        <v>0</v>
      </c>
      <c r="J263" s="58" t="n">
        <f aca="false">IF(Assumptions!J$96=Project_Register!$AL$12,Project_Register!$AO$12,0)</f>
        <v>0</v>
      </c>
      <c r="K263" s="58" t="n">
        <f aca="false">IF(Assumptions!K$96=Project_Register!$AL$12,Project_Register!$AO$12,0)</f>
        <v>0</v>
      </c>
      <c r="L263" s="58" t="n">
        <f aca="false">IF(Assumptions!L$96=Project_Register!$AL$12,Project_Register!$AO$12,0)</f>
        <v>0</v>
      </c>
      <c r="M263" s="58" t="n">
        <f aca="false">IF(Assumptions!M$96=Project_Register!$AL$12,Project_Register!$AO$12,0)</f>
        <v>0</v>
      </c>
      <c r="N263" s="58" t="n">
        <f aca="false">IF(Assumptions!N$96=Project_Register!$AL$12,Project_Register!$AO$12,0)</f>
        <v>0</v>
      </c>
      <c r="O263" s="58" t="n">
        <f aca="false">IF(Assumptions!O$96=Project_Register!$AL$12,Project_Register!$AO$12,0)</f>
        <v>0</v>
      </c>
      <c r="P263" s="58" t="n">
        <f aca="false">IF(Assumptions!P$96=Project_Register!$AL$12,Project_Register!$AO$12,0)</f>
        <v>0</v>
      </c>
      <c r="Q263" s="58" t="n">
        <f aca="false">IF(Assumptions!Q$96=Project_Register!$AL$12,Project_Register!$AO$12,0)</f>
        <v>0</v>
      </c>
      <c r="R263" s="58" t="n">
        <f aca="false">IF(Assumptions!R$96=Project_Register!$AL$12,Project_Register!$AO$12,0)</f>
        <v>0</v>
      </c>
      <c r="S263" s="58" t="n">
        <f aca="false">IF(Assumptions!S$96=Project_Register!$AL$12,Project_Register!$AO$12,0)</f>
        <v>0</v>
      </c>
      <c r="T263" s="58" t="n">
        <f aca="false">IF(Assumptions!T$96=Project_Register!$AL$12,Project_Register!$AO$12,0)</f>
        <v>0</v>
      </c>
      <c r="U263" s="58" t="n">
        <f aca="false">IF(Assumptions!U$96=Project_Register!$AL$12,Project_Register!$AO$12,0)</f>
        <v>0</v>
      </c>
      <c r="V263" s="58" t="n">
        <f aca="false">IF(Assumptions!V$96=Project_Register!$AL$12,Project_Register!$AO$12,0)</f>
        <v>0</v>
      </c>
      <c r="W263" s="58" t="n">
        <f aca="false">IF(Assumptions!W$96=Project_Register!$AL$12,Project_Register!$AO$12,0)</f>
        <v>0</v>
      </c>
      <c r="X263" s="58" t="n">
        <f aca="false">IF(Assumptions!X$96=Project_Register!$AL$12,Project_Register!$AO$12,0)</f>
        <v>0</v>
      </c>
      <c r="Y263" s="58" t="n">
        <f aca="false">IF(Assumptions!Y$96=Project_Register!$AL$12,Project_Register!$AO$12,0)</f>
        <v>0</v>
      </c>
      <c r="Z263" s="58" t="n">
        <f aca="false">IF(Assumptions!Z$96=Project_Register!$AL$12,Project_Register!$AO$12,0)</f>
        <v>0</v>
      </c>
      <c r="AA263" s="58" t="n">
        <f aca="false">IF(Assumptions!AA$96=Project_Register!$AL$12,Project_Register!$AO$12,0)</f>
        <v>0</v>
      </c>
      <c r="AB263" s="58" t="n">
        <f aca="false">IF(Assumptions!AB$96=Project_Register!$AL$12,Project_Register!$AO$12,0)</f>
        <v>0</v>
      </c>
    </row>
    <row r="264" customFormat="false" ht="15" hidden="false" customHeight="false" outlineLevel="0" collapsed="false">
      <c r="A264" s="27" t="s">
        <v>776</v>
      </c>
      <c r="B264" s="56" t="s">
        <v>777</v>
      </c>
      <c r="E264" s="70" t="n">
        <f aca="false">IF(E$5="A",ROUND(E240-E235*E239,0),0)</f>
        <v>0</v>
      </c>
      <c r="F264" s="70" t="n">
        <f aca="false">IF(F$5="A",ROUND(F240-F235*F239,0),0)</f>
        <v>0</v>
      </c>
      <c r="G264" s="70" t="n">
        <f aca="false">IF(G$5="A",ROUND(G240-G235*G239,0),0)</f>
        <v>0</v>
      </c>
      <c r="H264" s="70" t="n">
        <f aca="false">IF(H$5="A",ROUND(H240-H235*H239,0),0)</f>
        <v>0</v>
      </c>
      <c r="I264" s="70" t="n">
        <f aca="false">IF(I$5="A",ROUND(I240-I235*I239,0),0)</f>
        <v>0</v>
      </c>
      <c r="J264" s="70" t="n">
        <f aca="false">IF(J$5="A",ROUND(J240-J235*J239,0),0)</f>
        <v>-0</v>
      </c>
      <c r="K264" s="70" t="n">
        <f aca="false">IF(K$5="A",ROUND(K240-K235*K239,0),0)</f>
        <v>-0</v>
      </c>
      <c r="L264" s="70" t="n">
        <f aca="false">IF(L$5="A",ROUND(L240-L235*L239,0),0)</f>
        <v>0</v>
      </c>
      <c r="M264" s="70" t="n">
        <f aca="false">IF(M$5="A",ROUND(M240-M235*M239,0),0)</f>
        <v>0</v>
      </c>
      <c r="N264" s="70" t="n">
        <f aca="false">IF(N$5="A",ROUND(N240-N235*N239,0),0)</f>
        <v>0</v>
      </c>
      <c r="O264" s="70" t="n">
        <f aca="false">IF(O$5="A",ROUND(O240-O235*O239,0),0)</f>
        <v>0</v>
      </c>
      <c r="P264" s="70" t="n">
        <f aca="false">IF(P$5="A",ROUND(P240-P235*P239,0),0)</f>
        <v>0</v>
      </c>
      <c r="Q264" s="70" t="n">
        <f aca="false">IF(Q$5="A",ROUND(Q240-Q235*Q239,0),0)</f>
        <v>0</v>
      </c>
      <c r="R264" s="70" t="n">
        <f aca="false">IF(R$5="A",ROUND(R240-R235*R239,0),0)</f>
        <v>0</v>
      </c>
      <c r="S264" s="70" t="n">
        <f aca="false">IF(S$5="A",ROUND(S240-S235*S239,0),0)</f>
        <v>0</v>
      </c>
      <c r="T264" s="70" t="n">
        <f aca="false">IF(T$5="A",ROUND(T240-T235*T239,0),0)</f>
        <v>0</v>
      </c>
      <c r="U264" s="70" t="n">
        <f aca="false">IF(U$5="A",ROUND(U240-U235*U239,0),0)</f>
        <v>0</v>
      </c>
      <c r="V264" s="70" t="n">
        <f aca="false">IF(V$5="A",ROUND(V240-V235*V239,0),0)</f>
        <v>0</v>
      </c>
      <c r="W264" s="70" t="n">
        <f aca="false">IF(W$5="A",ROUND(W240-W235*W239,0),0)</f>
        <v>0</v>
      </c>
      <c r="X264" s="70" t="n">
        <f aca="false">IF(X$5="A",ROUND(X240-X235*X239,0),0)</f>
        <v>0</v>
      </c>
      <c r="Y264" s="70" t="n">
        <f aca="false">IF(Y$5="A",ROUND(Y240-Y235*Y239,0),0)</f>
        <v>0</v>
      </c>
      <c r="Z264" s="70" t="n">
        <f aca="false">IF(Z$5="A",ROUND(Z240-Z235*Z239,0),0)</f>
        <v>0</v>
      </c>
      <c r="AA264" s="70" t="n">
        <f aca="false">IF(AA$5="A",ROUND(AA240-AA235*AA239,0),0)</f>
        <v>0</v>
      </c>
      <c r="AB264" s="70" t="n">
        <f aca="false">IF(AB$5="A",ROUND(AB240-AB235*AB239,0),0)</f>
        <v>0</v>
      </c>
    </row>
    <row r="266" customFormat="false" ht="15" hidden="false" customHeight="false" outlineLevel="0" collapsed="false">
      <c r="A266" s="21" t="s">
        <v>783</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row>
    <row r="267" customFormat="false" ht="15" hidden="false" customHeight="false" outlineLevel="0" collapsed="false">
      <c r="A267" s="27" t="s">
        <v>716</v>
      </c>
      <c r="B267" s="56" t="s">
        <v>717</v>
      </c>
      <c r="E267" s="104" t="n">
        <f aca="false">MIN(1,MAX(0,(Assumptions!E$96-Project_Register!$AJ$13+1)/(Project_Register!$AK$13-Project_Register!$AJ$13+1)))</f>
        <v>0</v>
      </c>
      <c r="F267" s="104" t="n">
        <f aca="false">MIN(1,MAX(0,(Assumptions!F$96-Project_Register!$AJ$13+1)/(Project_Register!$AK$13-Project_Register!$AJ$13+1)))</f>
        <v>0</v>
      </c>
      <c r="G267" s="104" t="n">
        <f aca="false">MIN(1,MAX(0,(Assumptions!G$96-Project_Register!$AJ$13+1)/(Project_Register!$AK$13-Project_Register!$AJ$13+1)))</f>
        <v>0</v>
      </c>
      <c r="H267" s="104" t="n">
        <f aca="false">MIN(1,MAX(0,(Assumptions!H$96-Project_Register!$AJ$13+1)/(Project_Register!$AK$13-Project_Register!$AJ$13+1)))</f>
        <v>0</v>
      </c>
      <c r="I267" s="104" t="n">
        <f aca="false">MIN(1,MAX(0,(Assumptions!I$96-Project_Register!$AJ$13+1)/(Project_Register!$AK$13-Project_Register!$AJ$13+1)))</f>
        <v>0</v>
      </c>
      <c r="J267" s="104" t="n">
        <f aca="false">MIN(1,MAX(0,(Assumptions!J$96-Project_Register!$AJ$13+1)/(Project_Register!$AK$13-Project_Register!$AJ$13+1)))</f>
        <v>0</v>
      </c>
      <c r="K267" s="104" t="n">
        <f aca="false">MIN(1,MAX(0,(Assumptions!K$96-Project_Register!$AJ$13+1)/(Project_Register!$AK$13-Project_Register!$AJ$13+1)))</f>
        <v>0</v>
      </c>
      <c r="L267" s="104" t="n">
        <f aca="false">MIN(1,MAX(0,(Assumptions!L$96-Project_Register!$AJ$13+1)/(Project_Register!$AK$13-Project_Register!$AJ$13+1)))</f>
        <v>0</v>
      </c>
      <c r="M267" s="104" t="n">
        <f aca="false">MIN(1,MAX(0,(Assumptions!M$96-Project_Register!$AJ$13+1)/(Project_Register!$AK$13-Project_Register!$AJ$13+1)))</f>
        <v>0</v>
      </c>
      <c r="N267" s="104" t="n">
        <f aca="false">MIN(1,MAX(0,(Assumptions!N$96-Project_Register!$AJ$13+1)/(Project_Register!$AK$13-Project_Register!$AJ$13+1)))</f>
        <v>0.166666666666667</v>
      </c>
      <c r="O267" s="104" t="n">
        <f aca="false">MIN(1,MAX(0,(Assumptions!O$96-Project_Register!$AJ$13+1)/(Project_Register!$AK$13-Project_Register!$AJ$13+1)))</f>
        <v>0.333333333333333</v>
      </c>
      <c r="P267" s="104" t="n">
        <f aca="false">MIN(1,MAX(0,(Assumptions!P$96-Project_Register!$AJ$13+1)/(Project_Register!$AK$13-Project_Register!$AJ$13+1)))</f>
        <v>0.5</v>
      </c>
      <c r="Q267" s="104" t="n">
        <f aca="false">MIN(1,MAX(0,(Assumptions!Q$96-Project_Register!$AJ$13+1)/(Project_Register!$AK$13-Project_Register!$AJ$13+1)))</f>
        <v>0.666666666666667</v>
      </c>
      <c r="R267" s="104" t="n">
        <f aca="false">MIN(1,MAX(0,(Assumptions!R$96-Project_Register!$AJ$13+1)/(Project_Register!$AK$13-Project_Register!$AJ$13+1)))</f>
        <v>0.833333333333333</v>
      </c>
      <c r="S267" s="104" t="n">
        <f aca="false">MIN(1,MAX(0,(Assumptions!S$96-Project_Register!$AJ$13+1)/(Project_Register!$AK$13-Project_Register!$AJ$13+1)))</f>
        <v>1</v>
      </c>
      <c r="T267" s="104" t="n">
        <f aca="false">MIN(1,MAX(0,(Assumptions!T$96-Project_Register!$AJ$13+1)/(Project_Register!$AK$13-Project_Register!$AJ$13+1)))</f>
        <v>1</v>
      </c>
      <c r="U267" s="104" t="n">
        <f aca="false">MIN(1,MAX(0,(Assumptions!U$96-Project_Register!$AJ$13+1)/(Project_Register!$AK$13-Project_Register!$AJ$13+1)))</f>
        <v>1</v>
      </c>
      <c r="V267" s="104" t="n">
        <f aca="false">MIN(1,MAX(0,(Assumptions!V$96-Project_Register!$AJ$13+1)/(Project_Register!$AK$13-Project_Register!$AJ$13+1)))</f>
        <v>1</v>
      </c>
      <c r="W267" s="104" t="n">
        <f aca="false">MIN(1,MAX(0,(Assumptions!W$96-Project_Register!$AJ$13+1)/(Project_Register!$AK$13-Project_Register!$AJ$13+1)))</f>
        <v>1</v>
      </c>
      <c r="X267" s="104" t="n">
        <f aca="false">MIN(1,MAX(0,(Assumptions!X$96-Project_Register!$AJ$13+1)/(Project_Register!$AK$13-Project_Register!$AJ$13+1)))</f>
        <v>1</v>
      </c>
      <c r="Y267" s="104" t="n">
        <f aca="false">MIN(1,MAX(0,(Assumptions!Y$96-Project_Register!$AJ$13+1)/(Project_Register!$AK$13-Project_Register!$AJ$13+1)))</f>
        <v>1</v>
      </c>
      <c r="Z267" s="104" t="n">
        <f aca="false">MIN(1,MAX(0,(Assumptions!Z$96-Project_Register!$AJ$13+1)/(Project_Register!$AK$13-Project_Register!$AJ$13+1)))</f>
        <v>1</v>
      </c>
      <c r="AA267" s="104" t="n">
        <f aca="false">MIN(1,MAX(0,(Assumptions!AA$96-Project_Register!$AJ$13+1)/(Project_Register!$AK$13-Project_Register!$AJ$13+1)))</f>
        <v>1</v>
      </c>
      <c r="AB267" s="104" t="n">
        <f aca="false">MIN(1,MAX(0,(Assumptions!AB$96-Project_Register!$AJ$13+1)/(Project_Register!$AK$13-Project_Register!$AJ$13+1)))</f>
        <v>1</v>
      </c>
    </row>
    <row r="268" customFormat="false" ht="15" hidden="false" customHeight="false" outlineLevel="0" collapsed="false">
      <c r="A268" s="27" t="s">
        <v>718</v>
      </c>
      <c r="B268" s="56" t="s">
        <v>719</v>
      </c>
      <c r="E268" s="105" t="n">
        <f aca="false">3*E267^2-2*E267^3</f>
        <v>0</v>
      </c>
      <c r="F268" s="105" t="n">
        <f aca="false">3*F267^2-2*F267^3</f>
        <v>0</v>
      </c>
      <c r="G268" s="105" t="n">
        <f aca="false">3*G267^2-2*G267^3</f>
        <v>0</v>
      </c>
      <c r="H268" s="105" t="n">
        <f aca="false">3*H267^2-2*H267^3</f>
        <v>0</v>
      </c>
      <c r="I268" s="105" t="n">
        <f aca="false">3*I267^2-2*I267^3</f>
        <v>0</v>
      </c>
      <c r="J268" s="105" t="n">
        <f aca="false">3*J267^2-2*J267^3</f>
        <v>0</v>
      </c>
      <c r="K268" s="105" t="n">
        <f aca="false">3*K267^2-2*K267^3</f>
        <v>0</v>
      </c>
      <c r="L268" s="105" t="n">
        <f aca="false">3*L267^2-2*L267^3</f>
        <v>0</v>
      </c>
      <c r="M268" s="105" t="n">
        <f aca="false">3*M267^2-2*M267^3</f>
        <v>0</v>
      </c>
      <c r="N268" s="105" t="n">
        <f aca="false">3*N267^2-2*N267^3</f>
        <v>0.0740740740740741</v>
      </c>
      <c r="O268" s="105" t="n">
        <f aca="false">3*O267^2-2*O267^3</f>
        <v>0.259259259259259</v>
      </c>
      <c r="P268" s="105" t="n">
        <f aca="false">3*P267^2-2*P267^3</f>
        <v>0.5</v>
      </c>
      <c r="Q268" s="105" t="n">
        <f aca="false">3*Q267^2-2*Q267^3</f>
        <v>0.740740740740741</v>
      </c>
      <c r="R268" s="105" t="n">
        <f aca="false">3*R267^2-2*R267^3</f>
        <v>0.925925925925926</v>
      </c>
      <c r="S268" s="105" t="n">
        <f aca="false">3*S267^2-2*S267^3</f>
        <v>1</v>
      </c>
      <c r="T268" s="105" t="n">
        <f aca="false">3*T267^2-2*T267^3</f>
        <v>1</v>
      </c>
      <c r="U268" s="105" t="n">
        <f aca="false">3*U267^2-2*U267^3</f>
        <v>1</v>
      </c>
      <c r="V268" s="105" t="n">
        <f aca="false">3*V267^2-2*V267^3</f>
        <v>1</v>
      </c>
      <c r="W268" s="105" t="n">
        <f aca="false">3*W267^2-2*W267^3</f>
        <v>1</v>
      </c>
      <c r="X268" s="105" t="n">
        <f aca="false">3*X267^2-2*X267^3</f>
        <v>1</v>
      </c>
      <c r="Y268" s="105" t="n">
        <f aca="false">3*Y267^2-2*Y267^3</f>
        <v>1</v>
      </c>
      <c r="Z268" s="105" t="n">
        <f aca="false">3*Z267^2-2*Z267^3</f>
        <v>1</v>
      </c>
      <c r="AA268" s="105" t="n">
        <f aca="false">3*AA267^2-2*AA267^3</f>
        <v>1</v>
      </c>
      <c r="AB268" s="105" t="n">
        <f aca="false">3*AB267^2-2*AB267^3</f>
        <v>1</v>
      </c>
    </row>
    <row r="269" customFormat="false" ht="15" hidden="false" customHeight="false" outlineLevel="0" collapsed="false">
      <c r="A269" s="27" t="s">
        <v>720</v>
      </c>
      <c r="B269" s="56"/>
      <c r="E269" s="104" t="n">
        <f aca="false">3*MIN(1,MAX(0,(Assumptions!E$96-Project_Register!$AJ$13)/(Project_Register!$AK$13-Project_Register!$AJ$13+1)))^2-2*MIN(1,MAX(0,(Assumptions!E$96-Project_Register!$AJ$13)/(Project_Register!$AK$13-Project_Register!$AJ$13+1)))^3</f>
        <v>0</v>
      </c>
      <c r="F269" s="104" t="n">
        <f aca="false">3*MIN(1,MAX(0,(Assumptions!F$96-Project_Register!$AJ$13)/(Project_Register!$AK$13-Project_Register!$AJ$13+1)))^2-2*MIN(1,MAX(0,(Assumptions!F$96-Project_Register!$AJ$13)/(Project_Register!$AK$13-Project_Register!$AJ$13+1)))^3</f>
        <v>0</v>
      </c>
      <c r="G269" s="104" t="n">
        <f aca="false">3*MIN(1,MAX(0,(Assumptions!G$96-Project_Register!$AJ$13)/(Project_Register!$AK$13-Project_Register!$AJ$13+1)))^2-2*MIN(1,MAX(0,(Assumptions!G$96-Project_Register!$AJ$13)/(Project_Register!$AK$13-Project_Register!$AJ$13+1)))^3</f>
        <v>0</v>
      </c>
      <c r="H269" s="104" t="n">
        <f aca="false">3*MIN(1,MAX(0,(Assumptions!H$96-Project_Register!$AJ$13)/(Project_Register!$AK$13-Project_Register!$AJ$13+1)))^2-2*MIN(1,MAX(0,(Assumptions!H$96-Project_Register!$AJ$13)/(Project_Register!$AK$13-Project_Register!$AJ$13+1)))^3</f>
        <v>0</v>
      </c>
      <c r="I269" s="104" t="n">
        <f aca="false">3*MIN(1,MAX(0,(Assumptions!I$96-Project_Register!$AJ$13)/(Project_Register!$AK$13-Project_Register!$AJ$13+1)))^2-2*MIN(1,MAX(0,(Assumptions!I$96-Project_Register!$AJ$13)/(Project_Register!$AK$13-Project_Register!$AJ$13+1)))^3</f>
        <v>0</v>
      </c>
      <c r="J269" s="104" t="n">
        <f aca="false">3*MIN(1,MAX(0,(Assumptions!J$96-Project_Register!$AJ$13)/(Project_Register!$AK$13-Project_Register!$AJ$13+1)))^2-2*MIN(1,MAX(0,(Assumptions!J$96-Project_Register!$AJ$13)/(Project_Register!$AK$13-Project_Register!$AJ$13+1)))^3</f>
        <v>0</v>
      </c>
      <c r="K269" s="104" t="n">
        <f aca="false">3*MIN(1,MAX(0,(Assumptions!K$96-Project_Register!$AJ$13)/(Project_Register!$AK$13-Project_Register!$AJ$13+1)))^2-2*MIN(1,MAX(0,(Assumptions!K$96-Project_Register!$AJ$13)/(Project_Register!$AK$13-Project_Register!$AJ$13+1)))^3</f>
        <v>0</v>
      </c>
      <c r="L269" s="104" t="n">
        <f aca="false">3*MIN(1,MAX(0,(Assumptions!L$96-Project_Register!$AJ$13)/(Project_Register!$AK$13-Project_Register!$AJ$13+1)))^2-2*MIN(1,MAX(0,(Assumptions!L$96-Project_Register!$AJ$13)/(Project_Register!$AK$13-Project_Register!$AJ$13+1)))^3</f>
        <v>0</v>
      </c>
      <c r="M269" s="104" t="n">
        <f aca="false">3*MIN(1,MAX(0,(Assumptions!M$96-Project_Register!$AJ$13)/(Project_Register!$AK$13-Project_Register!$AJ$13+1)))^2-2*MIN(1,MAX(0,(Assumptions!M$96-Project_Register!$AJ$13)/(Project_Register!$AK$13-Project_Register!$AJ$13+1)))^3</f>
        <v>0</v>
      </c>
      <c r="N269" s="104" t="n">
        <f aca="false">3*MIN(1,MAX(0,(Assumptions!N$96-Project_Register!$AJ$13)/(Project_Register!$AK$13-Project_Register!$AJ$13+1)))^2-2*MIN(1,MAX(0,(Assumptions!N$96-Project_Register!$AJ$13)/(Project_Register!$AK$13-Project_Register!$AJ$13+1)))^3</f>
        <v>0</v>
      </c>
      <c r="O269" s="104" t="n">
        <f aca="false">3*MIN(1,MAX(0,(Assumptions!O$96-Project_Register!$AJ$13)/(Project_Register!$AK$13-Project_Register!$AJ$13+1)))^2-2*MIN(1,MAX(0,(Assumptions!O$96-Project_Register!$AJ$13)/(Project_Register!$AK$13-Project_Register!$AJ$13+1)))^3</f>
        <v>0.0740740740740741</v>
      </c>
      <c r="P269" s="104" t="n">
        <f aca="false">3*MIN(1,MAX(0,(Assumptions!P$96-Project_Register!$AJ$13)/(Project_Register!$AK$13-Project_Register!$AJ$13+1)))^2-2*MIN(1,MAX(0,(Assumptions!P$96-Project_Register!$AJ$13)/(Project_Register!$AK$13-Project_Register!$AJ$13+1)))^3</f>
        <v>0.259259259259259</v>
      </c>
      <c r="Q269" s="104" t="n">
        <f aca="false">3*MIN(1,MAX(0,(Assumptions!Q$96-Project_Register!$AJ$13)/(Project_Register!$AK$13-Project_Register!$AJ$13+1)))^2-2*MIN(1,MAX(0,(Assumptions!Q$96-Project_Register!$AJ$13)/(Project_Register!$AK$13-Project_Register!$AJ$13+1)))^3</f>
        <v>0.5</v>
      </c>
      <c r="R269" s="104" t="n">
        <f aca="false">3*MIN(1,MAX(0,(Assumptions!R$96-Project_Register!$AJ$13)/(Project_Register!$AK$13-Project_Register!$AJ$13+1)))^2-2*MIN(1,MAX(0,(Assumptions!R$96-Project_Register!$AJ$13)/(Project_Register!$AK$13-Project_Register!$AJ$13+1)))^3</f>
        <v>0.740740740740741</v>
      </c>
      <c r="S269" s="104" t="n">
        <f aca="false">3*MIN(1,MAX(0,(Assumptions!S$96-Project_Register!$AJ$13)/(Project_Register!$AK$13-Project_Register!$AJ$13+1)))^2-2*MIN(1,MAX(0,(Assumptions!S$96-Project_Register!$AJ$13)/(Project_Register!$AK$13-Project_Register!$AJ$13+1)))^3</f>
        <v>0.925925925925926</v>
      </c>
      <c r="T269" s="104" t="n">
        <f aca="false">3*MIN(1,MAX(0,(Assumptions!T$96-Project_Register!$AJ$13)/(Project_Register!$AK$13-Project_Register!$AJ$13+1)))^2-2*MIN(1,MAX(0,(Assumptions!T$96-Project_Register!$AJ$13)/(Project_Register!$AK$13-Project_Register!$AJ$13+1)))^3</f>
        <v>1</v>
      </c>
      <c r="U269" s="104" t="n">
        <f aca="false">3*MIN(1,MAX(0,(Assumptions!U$96-Project_Register!$AJ$13)/(Project_Register!$AK$13-Project_Register!$AJ$13+1)))^2-2*MIN(1,MAX(0,(Assumptions!U$96-Project_Register!$AJ$13)/(Project_Register!$AK$13-Project_Register!$AJ$13+1)))^3</f>
        <v>1</v>
      </c>
      <c r="V269" s="104" t="n">
        <f aca="false">3*MIN(1,MAX(0,(Assumptions!V$96-Project_Register!$AJ$13)/(Project_Register!$AK$13-Project_Register!$AJ$13+1)))^2-2*MIN(1,MAX(0,(Assumptions!V$96-Project_Register!$AJ$13)/(Project_Register!$AK$13-Project_Register!$AJ$13+1)))^3</f>
        <v>1</v>
      </c>
      <c r="W269" s="104" t="n">
        <f aca="false">3*MIN(1,MAX(0,(Assumptions!W$96-Project_Register!$AJ$13)/(Project_Register!$AK$13-Project_Register!$AJ$13+1)))^2-2*MIN(1,MAX(0,(Assumptions!W$96-Project_Register!$AJ$13)/(Project_Register!$AK$13-Project_Register!$AJ$13+1)))^3</f>
        <v>1</v>
      </c>
      <c r="X269" s="104" t="n">
        <f aca="false">3*MIN(1,MAX(0,(Assumptions!X$96-Project_Register!$AJ$13)/(Project_Register!$AK$13-Project_Register!$AJ$13+1)))^2-2*MIN(1,MAX(0,(Assumptions!X$96-Project_Register!$AJ$13)/(Project_Register!$AK$13-Project_Register!$AJ$13+1)))^3</f>
        <v>1</v>
      </c>
      <c r="Y269" s="104" t="n">
        <f aca="false">3*MIN(1,MAX(0,(Assumptions!Y$96-Project_Register!$AJ$13)/(Project_Register!$AK$13-Project_Register!$AJ$13+1)))^2-2*MIN(1,MAX(0,(Assumptions!Y$96-Project_Register!$AJ$13)/(Project_Register!$AK$13-Project_Register!$AJ$13+1)))^3</f>
        <v>1</v>
      </c>
      <c r="Z269" s="104" t="n">
        <f aca="false">3*MIN(1,MAX(0,(Assumptions!Z$96-Project_Register!$AJ$13)/(Project_Register!$AK$13-Project_Register!$AJ$13+1)))^2-2*MIN(1,MAX(0,(Assumptions!Z$96-Project_Register!$AJ$13)/(Project_Register!$AK$13-Project_Register!$AJ$13+1)))^3</f>
        <v>1</v>
      </c>
      <c r="AA269" s="104" t="n">
        <f aca="false">3*MIN(1,MAX(0,(Assumptions!AA$96-Project_Register!$AJ$13)/(Project_Register!$AK$13-Project_Register!$AJ$13+1)))^2-2*MIN(1,MAX(0,(Assumptions!AA$96-Project_Register!$AJ$13)/(Project_Register!$AK$13-Project_Register!$AJ$13+1)))^3</f>
        <v>1</v>
      </c>
      <c r="AB269" s="104" t="n">
        <f aca="false">3*MIN(1,MAX(0,(Assumptions!AB$96-Project_Register!$AJ$13)/(Project_Register!$AK$13-Project_Register!$AJ$13+1)))^2-2*MIN(1,MAX(0,(Assumptions!AB$96-Project_Register!$AJ$13)/(Project_Register!$AK$13-Project_Register!$AJ$13+1)))^3</f>
        <v>1</v>
      </c>
    </row>
    <row r="270" customFormat="false" ht="15" hidden="false" customHeight="false" outlineLevel="0" collapsed="false">
      <c r="A270" s="27" t="s">
        <v>721</v>
      </c>
      <c r="B270" s="56" t="s">
        <v>722</v>
      </c>
      <c r="C270" s="57" t="n">
        <f aca="false">SUM(E270:P270)</f>
        <v>43920</v>
      </c>
      <c r="D270" s="57" t="n">
        <f aca="false">SUM(Q270:AB270)</f>
        <v>43920</v>
      </c>
      <c r="E270" s="58" t="n">
        <f aca="false">IF(E$5="A",0,IF((Project_Register!$AT$13-Project_Register!$AQ$13)&lt;=0,0,IF(1-Project_Register!$AV$13&lt;=0.000001,IF(Assumptions!E$96=Assumptions!$C$10+1,(Project_Register!$AT$13-Project_Register!$AQ$13),0),(Project_Register!$AT$13-Project_Register!$AQ$13)*(E268-E269)/(1-Project_Register!$AV$13)))*Project_Register!$X$13)</f>
        <v>0</v>
      </c>
      <c r="F270" s="58" t="n">
        <f aca="false">IF(F$5="A",0,IF((Project_Register!$AT$13-Project_Register!$AQ$13)&lt;=0,0,IF(1-Project_Register!$AV$13&lt;=0.000001,IF(Assumptions!F$96=Assumptions!$C$10+1,(Project_Register!$AT$13-Project_Register!$AQ$13),0),(Project_Register!$AT$13-Project_Register!$AQ$13)*(F268-F269)/(1-Project_Register!$AV$13)))*Project_Register!$X$13)</f>
        <v>0</v>
      </c>
      <c r="G270" s="58" t="n">
        <f aca="false">IF(G$5="A",0,IF((Project_Register!$AT$13-Project_Register!$AQ$13)&lt;=0,0,IF(1-Project_Register!$AV$13&lt;=0.000001,IF(Assumptions!G$96=Assumptions!$C$10+1,(Project_Register!$AT$13-Project_Register!$AQ$13),0),(Project_Register!$AT$13-Project_Register!$AQ$13)*(G268-G269)/(1-Project_Register!$AV$13)))*Project_Register!$X$13)</f>
        <v>0</v>
      </c>
      <c r="H270" s="58" t="n">
        <f aca="false">IF(H$5="A",0,IF((Project_Register!$AT$13-Project_Register!$AQ$13)&lt;=0,0,IF(1-Project_Register!$AV$13&lt;=0.000001,IF(Assumptions!H$96=Assumptions!$C$10+1,(Project_Register!$AT$13-Project_Register!$AQ$13),0),(Project_Register!$AT$13-Project_Register!$AQ$13)*(H268-H269)/(1-Project_Register!$AV$13)))*Project_Register!$X$13)</f>
        <v>0</v>
      </c>
      <c r="I270" s="58" t="n">
        <f aca="false">IF(I$5="A",0,IF((Project_Register!$AT$13-Project_Register!$AQ$13)&lt;=0,0,IF(1-Project_Register!$AV$13&lt;=0.000001,IF(Assumptions!I$96=Assumptions!$C$10+1,(Project_Register!$AT$13-Project_Register!$AQ$13),0),(Project_Register!$AT$13-Project_Register!$AQ$13)*(I268-I269)/(1-Project_Register!$AV$13)))*Project_Register!$X$13)</f>
        <v>0</v>
      </c>
      <c r="J270" s="58" t="n">
        <f aca="false">IF(J$5="A",0,IF((Project_Register!$AT$13-Project_Register!$AQ$13)&lt;=0,0,IF(1-Project_Register!$AV$13&lt;=0.000001,IF(Assumptions!J$96=Assumptions!$C$10+1,(Project_Register!$AT$13-Project_Register!$AQ$13),0),(Project_Register!$AT$13-Project_Register!$AQ$13)*(J268-J269)/(1-Project_Register!$AV$13)))*Project_Register!$X$13)</f>
        <v>0</v>
      </c>
      <c r="K270" s="58" t="n">
        <f aca="false">IF(K$5="A",0,IF((Project_Register!$AT$13-Project_Register!$AQ$13)&lt;=0,0,IF(1-Project_Register!$AV$13&lt;=0.000001,IF(Assumptions!K$96=Assumptions!$C$10+1,(Project_Register!$AT$13-Project_Register!$AQ$13),0),(Project_Register!$AT$13-Project_Register!$AQ$13)*(K268-K269)/(1-Project_Register!$AV$13)))*Project_Register!$X$13)</f>
        <v>0</v>
      </c>
      <c r="L270" s="58" t="n">
        <f aca="false">IF(L$5="A",0,IF((Project_Register!$AT$13-Project_Register!$AQ$13)&lt;=0,0,IF(1-Project_Register!$AV$13&lt;=0.000001,IF(Assumptions!L$96=Assumptions!$C$10+1,(Project_Register!$AT$13-Project_Register!$AQ$13),0),(Project_Register!$AT$13-Project_Register!$AQ$13)*(L268-L269)/(1-Project_Register!$AV$13)))*Project_Register!$X$13)</f>
        <v>0</v>
      </c>
      <c r="M270" s="58" t="n">
        <f aca="false">IF(M$5="A",0,IF((Project_Register!$AT$13-Project_Register!$AQ$13)&lt;=0,0,IF(1-Project_Register!$AV$13&lt;=0.000001,IF(Assumptions!M$96=Assumptions!$C$10+1,(Project_Register!$AT$13-Project_Register!$AQ$13),0),(Project_Register!$AT$13-Project_Register!$AQ$13)*(M268-M269)/(1-Project_Register!$AV$13)))*Project_Register!$X$13)</f>
        <v>0</v>
      </c>
      <c r="N270" s="58" t="n">
        <f aca="false">IF(N$5="A",0,IF((Project_Register!$AT$13-Project_Register!$AQ$13)&lt;=0,0,IF(1-Project_Register!$AV$13&lt;=0.000001,IF(Assumptions!N$96=Assumptions!$C$10+1,(Project_Register!$AT$13-Project_Register!$AQ$13),0),(Project_Register!$AT$13-Project_Register!$AQ$13)*(N268-N269)/(1-Project_Register!$AV$13)))*Project_Register!$X$13)</f>
        <v>6506.66666666667</v>
      </c>
      <c r="O270" s="58" t="n">
        <f aca="false">IF(O$5="A",0,IF((Project_Register!$AT$13-Project_Register!$AQ$13)&lt;=0,0,IF(1-Project_Register!$AV$13&lt;=0.000001,IF(Assumptions!O$96=Assumptions!$C$10+1,(Project_Register!$AT$13-Project_Register!$AQ$13),0),(Project_Register!$AT$13-Project_Register!$AQ$13)*(O268-O269)/(1-Project_Register!$AV$13)))*Project_Register!$X$13)</f>
        <v>16266.6666666667</v>
      </c>
      <c r="P270" s="58" t="n">
        <f aca="false">IF(P$5="A",0,IF((Project_Register!$AT$13-Project_Register!$AQ$13)&lt;=0,0,IF(1-Project_Register!$AV$13&lt;=0.000001,IF(Assumptions!P$96=Assumptions!$C$10+1,(Project_Register!$AT$13-Project_Register!$AQ$13),0),(Project_Register!$AT$13-Project_Register!$AQ$13)*(P268-P269)/(1-Project_Register!$AV$13)))*Project_Register!$X$13)</f>
        <v>21146.6666666667</v>
      </c>
      <c r="Q270" s="58" t="n">
        <f aca="false">IF(Q$5="A",0,IF((Project_Register!$AT$13-Project_Register!$AQ$13)&lt;=0,0,IF(1-Project_Register!$AV$13&lt;=0.000001,IF(Assumptions!Q$96=Assumptions!$C$10+1,(Project_Register!$AT$13-Project_Register!$AQ$13),0),(Project_Register!$AT$13-Project_Register!$AQ$13)*(Q268-Q269)/(1-Project_Register!$AV$13)))*Project_Register!$X$13)</f>
        <v>21146.6666666667</v>
      </c>
      <c r="R270" s="58" t="n">
        <f aca="false">IF(R$5="A",0,IF((Project_Register!$AT$13-Project_Register!$AQ$13)&lt;=0,0,IF(1-Project_Register!$AV$13&lt;=0.000001,IF(Assumptions!R$96=Assumptions!$C$10+1,(Project_Register!$AT$13-Project_Register!$AQ$13),0),(Project_Register!$AT$13-Project_Register!$AQ$13)*(R268-R269)/(1-Project_Register!$AV$13)))*Project_Register!$X$13)</f>
        <v>16266.6666666667</v>
      </c>
      <c r="S270" s="58" t="n">
        <f aca="false">IF(S$5="A",0,IF((Project_Register!$AT$13-Project_Register!$AQ$13)&lt;=0,0,IF(1-Project_Register!$AV$13&lt;=0.000001,IF(Assumptions!S$96=Assumptions!$C$10+1,(Project_Register!$AT$13-Project_Register!$AQ$13),0),(Project_Register!$AT$13-Project_Register!$AQ$13)*(S268-S269)/(1-Project_Register!$AV$13)))*Project_Register!$X$13)</f>
        <v>6506.66666666668</v>
      </c>
      <c r="T270" s="58" t="n">
        <f aca="false">IF(T$5="A",0,IF((Project_Register!$AT$13-Project_Register!$AQ$13)&lt;=0,0,IF(1-Project_Register!$AV$13&lt;=0.000001,IF(Assumptions!T$96=Assumptions!$C$10+1,(Project_Register!$AT$13-Project_Register!$AQ$13),0),(Project_Register!$AT$13-Project_Register!$AQ$13)*(T268-T269)/(1-Project_Register!$AV$13)))*Project_Register!$X$13)</f>
        <v>0</v>
      </c>
      <c r="U270" s="58" t="n">
        <f aca="false">IF(U$5="A",0,IF((Project_Register!$AT$13-Project_Register!$AQ$13)&lt;=0,0,IF(1-Project_Register!$AV$13&lt;=0.000001,IF(Assumptions!U$96=Assumptions!$C$10+1,(Project_Register!$AT$13-Project_Register!$AQ$13),0),(Project_Register!$AT$13-Project_Register!$AQ$13)*(U268-U269)/(1-Project_Register!$AV$13)))*Project_Register!$X$13)</f>
        <v>0</v>
      </c>
      <c r="V270" s="58" t="n">
        <f aca="false">IF(V$5="A",0,IF((Project_Register!$AT$13-Project_Register!$AQ$13)&lt;=0,0,IF(1-Project_Register!$AV$13&lt;=0.000001,IF(Assumptions!V$96=Assumptions!$C$10+1,(Project_Register!$AT$13-Project_Register!$AQ$13),0),(Project_Register!$AT$13-Project_Register!$AQ$13)*(V268-V269)/(1-Project_Register!$AV$13)))*Project_Register!$X$13)</f>
        <v>0</v>
      </c>
      <c r="W270" s="58" t="n">
        <f aca="false">IF(W$5="A",0,IF((Project_Register!$AT$13-Project_Register!$AQ$13)&lt;=0,0,IF(1-Project_Register!$AV$13&lt;=0.000001,IF(Assumptions!W$96=Assumptions!$C$10+1,(Project_Register!$AT$13-Project_Register!$AQ$13),0),(Project_Register!$AT$13-Project_Register!$AQ$13)*(W268-W269)/(1-Project_Register!$AV$13)))*Project_Register!$X$13)</f>
        <v>0</v>
      </c>
      <c r="X270" s="58" t="n">
        <f aca="false">IF(X$5="A",0,IF((Project_Register!$AT$13-Project_Register!$AQ$13)&lt;=0,0,IF(1-Project_Register!$AV$13&lt;=0.000001,IF(Assumptions!X$96=Assumptions!$C$10+1,(Project_Register!$AT$13-Project_Register!$AQ$13),0),(Project_Register!$AT$13-Project_Register!$AQ$13)*(X268-X269)/(1-Project_Register!$AV$13)))*Project_Register!$X$13)</f>
        <v>0</v>
      </c>
      <c r="Y270" s="58" t="n">
        <f aca="false">IF(Y$5="A",0,IF((Project_Register!$AT$13-Project_Register!$AQ$13)&lt;=0,0,IF(1-Project_Register!$AV$13&lt;=0.000001,IF(Assumptions!Y$96=Assumptions!$C$10+1,(Project_Register!$AT$13-Project_Register!$AQ$13),0),(Project_Register!$AT$13-Project_Register!$AQ$13)*(Y268-Y269)/(1-Project_Register!$AV$13)))*Project_Register!$X$13)</f>
        <v>0</v>
      </c>
      <c r="Z270" s="58" t="n">
        <f aca="false">IF(Z$5="A",0,IF((Project_Register!$AT$13-Project_Register!$AQ$13)&lt;=0,0,IF(1-Project_Register!$AV$13&lt;=0.000001,IF(Assumptions!Z$96=Assumptions!$C$10+1,(Project_Register!$AT$13-Project_Register!$AQ$13),0),(Project_Register!$AT$13-Project_Register!$AQ$13)*(Z268-Z269)/(1-Project_Register!$AV$13)))*Project_Register!$X$13)</f>
        <v>0</v>
      </c>
      <c r="AA270" s="58" t="n">
        <f aca="false">IF(AA$5="A",0,IF((Project_Register!$AT$13-Project_Register!$AQ$13)&lt;=0,0,IF(1-Project_Register!$AV$13&lt;=0.000001,IF(Assumptions!AA$96=Assumptions!$C$10+1,(Project_Register!$AT$13-Project_Register!$AQ$13),0),(Project_Register!$AT$13-Project_Register!$AQ$13)*(AA268-AA269)/(1-Project_Register!$AV$13)))*Project_Register!$X$13)</f>
        <v>0</v>
      </c>
      <c r="AB270" s="58" t="n">
        <f aca="false">IF(AB$5="A",0,IF((Project_Register!$AT$13-Project_Register!$AQ$13)&lt;=0,0,IF(1-Project_Register!$AV$13&lt;=0.000001,IF(Assumptions!AB$96=Assumptions!$C$10+1,(Project_Register!$AT$13-Project_Register!$AQ$13),0),(Project_Register!$AT$13-Project_Register!$AQ$13)*(AB268-AB269)/(1-Project_Register!$AV$13)))*Project_Register!$X$13)</f>
        <v>0</v>
      </c>
    </row>
    <row r="271" customFormat="false" ht="15" hidden="false" customHeight="false" outlineLevel="0" collapsed="false">
      <c r="A271" s="27" t="s">
        <v>723</v>
      </c>
      <c r="B271" s="56" t="s">
        <v>722</v>
      </c>
      <c r="C271" s="57" t="n">
        <f aca="false">SUM(E271:P271)</f>
        <v>137250</v>
      </c>
      <c r="D271" s="57" t="n">
        <f aca="false">SUM(Q271:AB271)</f>
        <v>137250</v>
      </c>
      <c r="E271" s="58" t="n">
        <f aca="false">IF(E$5="A",0,IF((Project_Register!$AT$13-Project_Register!$AQ$13)&lt;=0,0,IF(1-Project_Register!$AV$13&lt;=0.000001,IF(Assumptions!E$96=Assumptions!$C$10+1,(Project_Register!$AT$13-Project_Register!$AQ$13),0),(Project_Register!$AT$13-Project_Register!$AQ$13)*(E268-E269)/(1-Project_Register!$AV$13)))*Project_Register!$Y$13)</f>
        <v>0</v>
      </c>
      <c r="F271" s="58" t="n">
        <f aca="false">IF(F$5="A",0,IF((Project_Register!$AT$13-Project_Register!$AQ$13)&lt;=0,0,IF(1-Project_Register!$AV$13&lt;=0.000001,IF(Assumptions!F$96=Assumptions!$C$10+1,(Project_Register!$AT$13-Project_Register!$AQ$13),0),(Project_Register!$AT$13-Project_Register!$AQ$13)*(F268-F269)/(1-Project_Register!$AV$13)))*Project_Register!$Y$13)</f>
        <v>0</v>
      </c>
      <c r="G271" s="58" t="n">
        <f aca="false">IF(G$5="A",0,IF((Project_Register!$AT$13-Project_Register!$AQ$13)&lt;=0,0,IF(1-Project_Register!$AV$13&lt;=0.000001,IF(Assumptions!G$96=Assumptions!$C$10+1,(Project_Register!$AT$13-Project_Register!$AQ$13),0),(Project_Register!$AT$13-Project_Register!$AQ$13)*(G268-G269)/(1-Project_Register!$AV$13)))*Project_Register!$Y$13)</f>
        <v>0</v>
      </c>
      <c r="H271" s="58" t="n">
        <f aca="false">IF(H$5="A",0,IF((Project_Register!$AT$13-Project_Register!$AQ$13)&lt;=0,0,IF(1-Project_Register!$AV$13&lt;=0.000001,IF(Assumptions!H$96=Assumptions!$C$10+1,(Project_Register!$AT$13-Project_Register!$AQ$13),0),(Project_Register!$AT$13-Project_Register!$AQ$13)*(H268-H269)/(1-Project_Register!$AV$13)))*Project_Register!$Y$13)</f>
        <v>0</v>
      </c>
      <c r="I271" s="58" t="n">
        <f aca="false">IF(I$5="A",0,IF((Project_Register!$AT$13-Project_Register!$AQ$13)&lt;=0,0,IF(1-Project_Register!$AV$13&lt;=0.000001,IF(Assumptions!I$96=Assumptions!$C$10+1,(Project_Register!$AT$13-Project_Register!$AQ$13),0),(Project_Register!$AT$13-Project_Register!$AQ$13)*(I268-I269)/(1-Project_Register!$AV$13)))*Project_Register!$Y$13)</f>
        <v>0</v>
      </c>
      <c r="J271" s="58" t="n">
        <f aca="false">IF(J$5="A",0,IF((Project_Register!$AT$13-Project_Register!$AQ$13)&lt;=0,0,IF(1-Project_Register!$AV$13&lt;=0.000001,IF(Assumptions!J$96=Assumptions!$C$10+1,(Project_Register!$AT$13-Project_Register!$AQ$13),0),(Project_Register!$AT$13-Project_Register!$AQ$13)*(J268-J269)/(1-Project_Register!$AV$13)))*Project_Register!$Y$13)</f>
        <v>0</v>
      </c>
      <c r="K271" s="58" t="n">
        <f aca="false">IF(K$5="A",0,IF((Project_Register!$AT$13-Project_Register!$AQ$13)&lt;=0,0,IF(1-Project_Register!$AV$13&lt;=0.000001,IF(Assumptions!K$96=Assumptions!$C$10+1,(Project_Register!$AT$13-Project_Register!$AQ$13),0),(Project_Register!$AT$13-Project_Register!$AQ$13)*(K268-K269)/(1-Project_Register!$AV$13)))*Project_Register!$Y$13)</f>
        <v>0</v>
      </c>
      <c r="L271" s="58" t="n">
        <f aca="false">IF(L$5="A",0,IF((Project_Register!$AT$13-Project_Register!$AQ$13)&lt;=0,0,IF(1-Project_Register!$AV$13&lt;=0.000001,IF(Assumptions!L$96=Assumptions!$C$10+1,(Project_Register!$AT$13-Project_Register!$AQ$13),0),(Project_Register!$AT$13-Project_Register!$AQ$13)*(L268-L269)/(1-Project_Register!$AV$13)))*Project_Register!$Y$13)</f>
        <v>0</v>
      </c>
      <c r="M271" s="58" t="n">
        <f aca="false">IF(M$5="A",0,IF((Project_Register!$AT$13-Project_Register!$AQ$13)&lt;=0,0,IF(1-Project_Register!$AV$13&lt;=0.000001,IF(Assumptions!M$96=Assumptions!$C$10+1,(Project_Register!$AT$13-Project_Register!$AQ$13),0),(Project_Register!$AT$13-Project_Register!$AQ$13)*(M268-M269)/(1-Project_Register!$AV$13)))*Project_Register!$Y$13)</f>
        <v>0</v>
      </c>
      <c r="N271" s="58" t="n">
        <f aca="false">IF(N$5="A",0,IF((Project_Register!$AT$13-Project_Register!$AQ$13)&lt;=0,0,IF(1-Project_Register!$AV$13&lt;=0.000001,IF(Assumptions!N$96=Assumptions!$C$10+1,(Project_Register!$AT$13-Project_Register!$AQ$13),0),(Project_Register!$AT$13-Project_Register!$AQ$13)*(N268-N269)/(1-Project_Register!$AV$13)))*Project_Register!$Y$13)</f>
        <v>20333.3333333333</v>
      </c>
      <c r="O271" s="58" t="n">
        <f aca="false">IF(O$5="A",0,IF((Project_Register!$AT$13-Project_Register!$AQ$13)&lt;=0,0,IF(1-Project_Register!$AV$13&lt;=0.000001,IF(Assumptions!O$96=Assumptions!$C$10+1,(Project_Register!$AT$13-Project_Register!$AQ$13),0),(Project_Register!$AT$13-Project_Register!$AQ$13)*(O268-O269)/(1-Project_Register!$AV$13)))*Project_Register!$Y$13)</f>
        <v>50833.3333333333</v>
      </c>
      <c r="P271" s="58" t="n">
        <f aca="false">IF(P$5="A",0,IF((Project_Register!$AT$13-Project_Register!$AQ$13)&lt;=0,0,IF(1-Project_Register!$AV$13&lt;=0.000001,IF(Assumptions!P$96=Assumptions!$C$10+1,(Project_Register!$AT$13-Project_Register!$AQ$13),0),(Project_Register!$AT$13-Project_Register!$AQ$13)*(P268-P269)/(1-Project_Register!$AV$13)))*Project_Register!$Y$13)</f>
        <v>66083.3333333333</v>
      </c>
      <c r="Q271" s="58" t="n">
        <f aca="false">IF(Q$5="A",0,IF((Project_Register!$AT$13-Project_Register!$AQ$13)&lt;=0,0,IF(1-Project_Register!$AV$13&lt;=0.000001,IF(Assumptions!Q$96=Assumptions!$C$10+1,(Project_Register!$AT$13-Project_Register!$AQ$13),0),(Project_Register!$AT$13-Project_Register!$AQ$13)*(Q268-Q269)/(1-Project_Register!$AV$13)))*Project_Register!$Y$13)</f>
        <v>66083.3333333334</v>
      </c>
      <c r="R271" s="58" t="n">
        <f aca="false">IF(R$5="A",0,IF((Project_Register!$AT$13-Project_Register!$AQ$13)&lt;=0,0,IF(1-Project_Register!$AV$13&lt;=0.000001,IF(Assumptions!R$96=Assumptions!$C$10+1,(Project_Register!$AT$13-Project_Register!$AQ$13),0),(Project_Register!$AT$13-Project_Register!$AQ$13)*(R268-R269)/(1-Project_Register!$AV$13)))*Project_Register!$Y$13)</f>
        <v>50833.3333333333</v>
      </c>
      <c r="S271" s="58" t="n">
        <f aca="false">IF(S$5="A",0,IF((Project_Register!$AT$13-Project_Register!$AQ$13)&lt;=0,0,IF(1-Project_Register!$AV$13&lt;=0.000001,IF(Assumptions!S$96=Assumptions!$C$10+1,(Project_Register!$AT$13-Project_Register!$AQ$13),0),(Project_Register!$AT$13-Project_Register!$AQ$13)*(S268-S269)/(1-Project_Register!$AV$13)))*Project_Register!$Y$13)</f>
        <v>20333.3333333334</v>
      </c>
      <c r="T271" s="58" t="n">
        <f aca="false">IF(T$5="A",0,IF((Project_Register!$AT$13-Project_Register!$AQ$13)&lt;=0,0,IF(1-Project_Register!$AV$13&lt;=0.000001,IF(Assumptions!T$96=Assumptions!$C$10+1,(Project_Register!$AT$13-Project_Register!$AQ$13),0),(Project_Register!$AT$13-Project_Register!$AQ$13)*(T268-T269)/(1-Project_Register!$AV$13)))*Project_Register!$Y$13)</f>
        <v>0</v>
      </c>
      <c r="U271" s="58" t="n">
        <f aca="false">IF(U$5="A",0,IF((Project_Register!$AT$13-Project_Register!$AQ$13)&lt;=0,0,IF(1-Project_Register!$AV$13&lt;=0.000001,IF(Assumptions!U$96=Assumptions!$C$10+1,(Project_Register!$AT$13-Project_Register!$AQ$13),0),(Project_Register!$AT$13-Project_Register!$AQ$13)*(U268-U269)/(1-Project_Register!$AV$13)))*Project_Register!$Y$13)</f>
        <v>0</v>
      </c>
      <c r="V271" s="58" t="n">
        <f aca="false">IF(V$5="A",0,IF((Project_Register!$AT$13-Project_Register!$AQ$13)&lt;=0,0,IF(1-Project_Register!$AV$13&lt;=0.000001,IF(Assumptions!V$96=Assumptions!$C$10+1,(Project_Register!$AT$13-Project_Register!$AQ$13),0),(Project_Register!$AT$13-Project_Register!$AQ$13)*(V268-V269)/(1-Project_Register!$AV$13)))*Project_Register!$Y$13)</f>
        <v>0</v>
      </c>
      <c r="W271" s="58" t="n">
        <f aca="false">IF(W$5="A",0,IF((Project_Register!$AT$13-Project_Register!$AQ$13)&lt;=0,0,IF(1-Project_Register!$AV$13&lt;=0.000001,IF(Assumptions!W$96=Assumptions!$C$10+1,(Project_Register!$AT$13-Project_Register!$AQ$13),0),(Project_Register!$AT$13-Project_Register!$AQ$13)*(W268-W269)/(1-Project_Register!$AV$13)))*Project_Register!$Y$13)</f>
        <v>0</v>
      </c>
      <c r="X271" s="58" t="n">
        <f aca="false">IF(X$5="A",0,IF((Project_Register!$AT$13-Project_Register!$AQ$13)&lt;=0,0,IF(1-Project_Register!$AV$13&lt;=0.000001,IF(Assumptions!X$96=Assumptions!$C$10+1,(Project_Register!$AT$13-Project_Register!$AQ$13),0),(Project_Register!$AT$13-Project_Register!$AQ$13)*(X268-X269)/(1-Project_Register!$AV$13)))*Project_Register!$Y$13)</f>
        <v>0</v>
      </c>
      <c r="Y271" s="58" t="n">
        <f aca="false">IF(Y$5="A",0,IF((Project_Register!$AT$13-Project_Register!$AQ$13)&lt;=0,0,IF(1-Project_Register!$AV$13&lt;=0.000001,IF(Assumptions!Y$96=Assumptions!$C$10+1,(Project_Register!$AT$13-Project_Register!$AQ$13),0),(Project_Register!$AT$13-Project_Register!$AQ$13)*(Y268-Y269)/(1-Project_Register!$AV$13)))*Project_Register!$Y$13)</f>
        <v>0</v>
      </c>
      <c r="Z271" s="58" t="n">
        <f aca="false">IF(Z$5="A",0,IF((Project_Register!$AT$13-Project_Register!$AQ$13)&lt;=0,0,IF(1-Project_Register!$AV$13&lt;=0.000001,IF(Assumptions!Z$96=Assumptions!$C$10+1,(Project_Register!$AT$13-Project_Register!$AQ$13),0),(Project_Register!$AT$13-Project_Register!$AQ$13)*(Z268-Z269)/(1-Project_Register!$AV$13)))*Project_Register!$Y$13)</f>
        <v>0</v>
      </c>
      <c r="AA271" s="58" t="n">
        <f aca="false">IF(AA$5="A",0,IF((Project_Register!$AT$13-Project_Register!$AQ$13)&lt;=0,0,IF(1-Project_Register!$AV$13&lt;=0.000001,IF(Assumptions!AA$96=Assumptions!$C$10+1,(Project_Register!$AT$13-Project_Register!$AQ$13),0),(Project_Register!$AT$13-Project_Register!$AQ$13)*(AA268-AA269)/(1-Project_Register!$AV$13)))*Project_Register!$Y$13)</f>
        <v>0</v>
      </c>
      <c r="AB271" s="58" t="n">
        <f aca="false">IF(AB$5="A",0,IF((Project_Register!$AT$13-Project_Register!$AQ$13)&lt;=0,0,IF(1-Project_Register!$AV$13&lt;=0.000001,IF(Assumptions!AB$96=Assumptions!$C$10+1,(Project_Register!$AT$13-Project_Register!$AQ$13),0),(Project_Register!$AT$13-Project_Register!$AQ$13)*(AB268-AB269)/(1-Project_Register!$AV$13)))*Project_Register!$Y$13)</f>
        <v>0</v>
      </c>
    </row>
    <row r="272" customFormat="false" ht="15" hidden="false" customHeight="false" outlineLevel="0" collapsed="false">
      <c r="A272" s="27" t="s">
        <v>724</v>
      </c>
      <c r="B272" s="56" t="s">
        <v>722</v>
      </c>
      <c r="C272" s="57" t="n">
        <f aca="false">SUM(E272:P272)</f>
        <v>65880</v>
      </c>
      <c r="D272" s="57" t="n">
        <f aca="false">SUM(Q272:AB272)</f>
        <v>65880</v>
      </c>
      <c r="E272" s="58" t="n">
        <f aca="false">IF(E$5="A",0,IF((Project_Register!$AT$13-Project_Register!$AQ$13)&lt;=0,0,IF(1-Project_Register!$AV$13&lt;=0.000001,IF(Assumptions!E$96=Assumptions!$C$10+1,(Project_Register!$AT$13-Project_Register!$AQ$13),0),(Project_Register!$AT$13-Project_Register!$AQ$13)*(E268-E269)/(1-Project_Register!$AV$13)))*Project_Register!$Z$13)</f>
        <v>0</v>
      </c>
      <c r="F272" s="58" t="n">
        <f aca="false">IF(F$5="A",0,IF((Project_Register!$AT$13-Project_Register!$AQ$13)&lt;=0,0,IF(1-Project_Register!$AV$13&lt;=0.000001,IF(Assumptions!F$96=Assumptions!$C$10+1,(Project_Register!$AT$13-Project_Register!$AQ$13),0),(Project_Register!$AT$13-Project_Register!$AQ$13)*(F268-F269)/(1-Project_Register!$AV$13)))*Project_Register!$Z$13)</f>
        <v>0</v>
      </c>
      <c r="G272" s="58" t="n">
        <f aca="false">IF(G$5="A",0,IF((Project_Register!$AT$13-Project_Register!$AQ$13)&lt;=0,0,IF(1-Project_Register!$AV$13&lt;=0.000001,IF(Assumptions!G$96=Assumptions!$C$10+1,(Project_Register!$AT$13-Project_Register!$AQ$13),0),(Project_Register!$AT$13-Project_Register!$AQ$13)*(G268-G269)/(1-Project_Register!$AV$13)))*Project_Register!$Z$13)</f>
        <v>0</v>
      </c>
      <c r="H272" s="58" t="n">
        <f aca="false">IF(H$5="A",0,IF((Project_Register!$AT$13-Project_Register!$AQ$13)&lt;=0,0,IF(1-Project_Register!$AV$13&lt;=0.000001,IF(Assumptions!H$96=Assumptions!$C$10+1,(Project_Register!$AT$13-Project_Register!$AQ$13),0),(Project_Register!$AT$13-Project_Register!$AQ$13)*(H268-H269)/(1-Project_Register!$AV$13)))*Project_Register!$Z$13)</f>
        <v>0</v>
      </c>
      <c r="I272" s="58" t="n">
        <f aca="false">IF(I$5="A",0,IF((Project_Register!$AT$13-Project_Register!$AQ$13)&lt;=0,0,IF(1-Project_Register!$AV$13&lt;=0.000001,IF(Assumptions!I$96=Assumptions!$C$10+1,(Project_Register!$AT$13-Project_Register!$AQ$13),0),(Project_Register!$AT$13-Project_Register!$AQ$13)*(I268-I269)/(1-Project_Register!$AV$13)))*Project_Register!$Z$13)</f>
        <v>0</v>
      </c>
      <c r="J272" s="58" t="n">
        <f aca="false">IF(J$5="A",0,IF((Project_Register!$AT$13-Project_Register!$AQ$13)&lt;=0,0,IF(1-Project_Register!$AV$13&lt;=0.000001,IF(Assumptions!J$96=Assumptions!$C$10+1,(Project_Register!$AT$13-Project_Register!$AQ$13),0),(Project_Register!$AT$13-Project_Register!$AQ$13)*(J268-J269)/(1-Project_Register!$AV$13)))*Project_Register!$Z$13)</f>
        <v>0</v>
      </c>
      <c r="K272" s="58" t="n">
        <f aca="false">IF(K$5="A",0,IF((Project_Register!$AT$13-Project_Register!$AQ$13)&lt;=0,0,IF(1-Project_Register!$AV$13&lt;=0.000001,IF(Assumptions!K$96=Assumptions!$C$10+1,(Project_Register!$AT$13-Project_Register!$AQ$13),0),(Project_Register!$AT$13-Project_Register!$AQ$13)*(K268-K269)/(1-Project_Register!$AV$13)))*Project_Register!$Z$13)</f>
        <v>0</v>
      </c>
      <c r="L272" s="58" t="n">
        <f aca="false">IF(L$5="A",0,IF((Project_Register!$AT$13-Project_Register!$AQ$13)&lt;=0,0,IF(1-Project_Register!$AV$13&lt;=0.000001,IF(Assumptions!L$96=Assumptions!$C$10+1,(Project_Register!$AT$13-Project_Register!$AQ$13),0),(Project_Register!$AT$13-Project_Register!$AQ$13)*(L268-L269)/(1-Project_Register!$AV$13)))*Project_Register!$Z$13)</f>
        <v>0</v>
      </c>
      <c r="M272" s="58" t="n">
        <f aca="false">IF(M$5="A",0,IF((Project_Register!$AT$13-Project_Register!$AQ$13)&lt;=0,0,IF(1-Project_Register!$AV$13&lt;=0.000001,IF(Assumptions!M$96=Assumptions!$C$10+1,(Project_Register!$AT$13-Project_Register!$AQ$13),0),(Project_Register!$AT$13-Project_Register!$AQ$13)*(M268-M269)/(1-Project_Register!$AV$13)))*Project_Register!$Z$13)</f>
        <v>0</v>
      </c>
      <c r="N272" s="58" t="n">
        <f aca="false">IF(N$5="A",0,IF((Project_Register!$AT$13-Project_Register!$AQ$13)&lt;=0,0,IF(1-Project_Register!$AV$13&lt;=0.000001,IF(Assumptions!N$96=Assumptions!$C$10+1,(Project_Register!$AT$13-Project_Register!$AQ$13),0),(Project_Register!$AT$13-Project_Register!$AQ$13)*(N268-N269)/(1-Project_Register!$AV$13)))*Project_Register!$Z$13)</f>
        <v>9760</v>
      </c>
      <c r="O272" s="58" t="n">
        <f aca="false">IF(O$5="A",0,IF((Project_Register!$AT$13-Project_Register!$AQ$13)&lt;=0,0,IF(1-Project_Register!$AV$13&lt;=0.000001,IF(Assumptions!O$96=Assumptions!$C$10+1,(Project_Register!$AT$13-Project_Register!$AQ$13),0),(Project_Register!$AT$13-Project_Register!$AQ$13)*(O268-O269)/(1-Project_Register!$AV$13)))*Project_Register!$Z$13)</f>
        <v>24400</v>
      </c>
      <c r="P272" s="58" t="n">
        <f aca="false">IF(P$5="A",0,IF((Project_Register!$AT$13-Project_Register!$AQ$13)&lt;=0,0,IF(1-Project_Register!$AV$13&lt;=0.000001,IF(Assumptions!P$96=Assumptions!$C$10+1,(Project_Register!$AT$13-Project_Register!$AQ$13),0),(Project_Register!$AT$13-Project_Register!$AQ$13)*(P268-P269)/(1-Project_Register!$AV$13)))*Project_Register!$Z$13)</f>
        <v>31720</v>
      </c>
      <c r="Q272" s="58" t="n">
        <f aca="false">IF(Q$5="A",0,IF((Project_Register!$AT$13-Project_Register!$AQ$13)&lt;=0,0,IF(1-Project_Register!$AV$13&lt;=0.000001,IF(Assumptions!Q$96=Assumptions!$C$10+1,(Project_Register!$AT$13-Project_Register!$AQ$13),0),(Project_Register!$AT$13-Project_Register!$AQ$13)*(Q268-Q269)/(1-Project_Register!$AV$13)))*Project_Register!$Z$13)</f>
        <v>31720</v>
      </c>
      <c r="R272" s="58" t="n">
        <f aca="false">IF(R$5="A",0,IF((Project_Register!$AT$13-Project_Register!$AQ$13)&lt;=0,0,IF(1-Project_Register!$AV$13&lt;=0.000001,IF(Assumptions!R$96=Assumptions!$C$10+1,(Project_Register!$AT$13-Project_Register!$AQ$13),0),(Project_Register!$AT$13-Project_Register!$AQ$13)*(R268-R269)/(1-Project_Register!$AV$13)))*Project_Register!$Z$13)</f>
        <v>24400</v>
      </c>
      <c r="S272" s="58" t="n">
        <f aca="false">IF(S$5="A",0,IF((Project_Register!$AT$13-Project_Register!$AQ$13)&lt;=0,0,IF(1-Project_Register!$AV$13&lt;=0.000001,IF(Assumptions!S$96=Assumptions!$C$10+1,(Project_Register!$AT$13-Project_Register!$AQ$13),0),(Project_Register!$AT$13-Project_Register!$AQ$13)*(S268-S269)/(1-Project_Register!$AV$13)))*Project_Register!$Z$13)</f>
        <v>9760.00000000001</v>
      </c>
      <c r="T272" s="58" t="n">
        <f aca="false">IF(T$5="A",0,IF((Project_Register!$AT$13-Project_Register!$AQ$13)&lt;=0,0,IF(1-Project_Register!$AV$13&lt;=0.000001,IF(Assumptions!T$96=Assumptions!$C$10+1,(Project_Register!$AT$13-Project_Register!$AQ$13),0),(Project_Register!$AT$13-Project_Register!$AQ$13)*(T268-T269)/(1-Project_Register!$AV$13)))*Project_Register!$Z$13)</f>
        <v>0</v>
      </c>
      <c r="U272" s="58" t="n">
        <f aca="false">IF(U$5="A",0,IF((Project_Register!$AT$13-Project_Register!$AQ$13)&lt;=0,0,IF(1-Project_Register!$AV$13&lt;=0.000001,IF(Assumptions!U$96=Assumptions!$C$10+1,(Project_Register!$AT$13-Project_Register!$AQ$13),0),(Project_Register!$AT$13-Project_Register!$AQ$13)*(U268-U269)/(1-Project_Register!$AV$13)))*Project_Register!$Z$13)</f>
        <v>0</v>
      </c>
      <c r="V272" s="58" t="n">
        <f aca="false">IF(V$5="A",0,IF((Project_Register!$AT$13-Project_Register!$AQ$13)&lt;=0,0,IF(1-Project_Register!$AV$13&lt;=0.000001,IF(Assumptions!V$96=Assumptions!$C$10+1,(Project_Register!$AT$13-Project_Register!$AQ$13),0),(Project_Register!$AT$13-Project_Register!$AQ$13)*(V268-V269)/(1-Project_Register!$AV$13)))*Project_Register!$Z$13)</f>
        <v>0</v>
      </c>
      <c r="W272" s="58" t="n">
        <f aca="false">IF(W$5="A",0,IF((Project_Register!$AT$13-Project_Register!$AQ$13)&lt;=0,0,IF(1-Project_Register!$AV$13&lt;=0.000001,IF(Assumptions!W$96=Assumptions!$C$10+1,(Project_Register!$AT$13-Project_Register!$AQ$13),0),(Project_Register!$AT$13-Project_Register!$AQ$13)*(W268-W269)/(1-Project_Register!$AV$13)))*Project_Register!$Z$13)</f>
        <v>0</v>
      </c>
      <c r="X272" s="58" t="n">
        <f aca="false">IF(X$5="A",0,IF((Project_Register!$AT$13-Project_Register!$AQ$13)&lt;=0,0,IF(1-Project_Register!$AV$13&lt;=0.000001,IF(Assumptions!X$96=Assumptions!$C$10+1,(Project_Register!$AT$13-Project_Register!$AQ$13),0),(Project_Register!$AT$13-Project_Register!$AQ$13)*(X268-X269)/(1-Project_Register!$AV$13)))*Project_Register!$Z$13)</f>
        <v>0</v>
      </c>
      <c r="Y272" s="58" t="n">
        <f aca="false">IF(Y$5="A",0,IF((Project_Register!$AT$13-Project_Register!$AQ$13)&lt;=0,0,IF(1-Project_Register!$AV$13&lt;=0.000001,IF(Assumptions!Y$96=Assumptions!$C$10+1,(Project_Register!$AT$13-Project_Register!$AQ$13),0),(Project_Register!$AT$13-Project_Register!$AQ$13)*(Y268-Y269)/(1-Project_Register!$AV$13)))*Project_Register!$Z$13)</f>
        <v>0</v>
      </c>
      <c r="Z272" s="58" t="n">
        <f aca="false">IF(Z$5="A",0,IF((Project_Register!$AT$13-Project_Register!$AQ$13)&lt;=0,0,IF(1-Project_Register!$AV$13&lt;=0.000001,IF(Assumptions!Z$96=Assumptions!$C$10+1,(Project_Register!$AT$13-Project_Register!$AQ$13),0),(Project_Register!$AT$13-Project_Register!$AQ$13)*(Z268-Z269)/(1-Project_Register!$AV$13)))*Project_Register!$Z$13)</f>
        <v>0</v>
      </c>
      <c r="AA272" s="58" t="n">
        <f aca="false">IF(AA$5="A",0,IF((Project_Register!$AT$13-Project_Register!$AQ$13)&lt;=0,0,IF(1-Project_Register!$AV$13&lt;=0.000001,IF(Assumptions!AA$96=Assumptions!$C$10+1,(Project_Register!$AT$13-Project_Register!$AQ$13),0),(Project_Register!$AT$13-Project_Register!$AQ$13)*(AA268-AA269)/(1-Project_Register!$AV$13)))*Project_Register!$Z$13)</f>
        <v>0</v>
      </c>
      <c r="AB272" s="58" t="n">
        <f aca="false">IF(AB$5="A",0,IF((Project_Register!$AT$13-Project_Register!$AQ$13)&lt;=0,0,IF(1-Project_Register!$AV$13&lt;=0.000001,IF(Assumptions!AB$96=Assumptions!$C$10+1,(Project_Register!$AT$13-Project_Register!$AQ$13),0),(Project_Register!$AT$13-Project_Register!$AQ$13)*(AB268-AB269)/(1-Project_Register!$AV$13)))*Project_Register!$Z$13)</f>
        <v>0</v>
      </c>
    </row>
    <row r="273" customFormat="false" ht="15" hidden="false" customHeight="false" outlineLevel="0" collapsed="false">
      <c r="A273" s="27" t="s">
        <v>725</v>
      </c>
      <c r="B273" s="56" t="s">
        <v>722</v>
      </c>
      <c r="C273" s="57" t="n">
        <f aca="false">SUM(E273:P273)</f>
        <v>8235</v>
      </c>
      <c r="D273" s="57" t="n">
        <f aca="false">SUM(Q273:AB273)</f>
        <v>8235</v>
      </c>
      <c r="E273" s="58" t="n">
        <f aca="false">IF(E$5="A",0,IF((Project_Register!$AT$13-Project_Register!$AQ$13)&lt;=0,0,IF(1-Project_Register!$AV$13&lt;=0.000001,IF(Assumptions!E$96=Assumptions!$C$10+1,(Project_Register!$AT$13-Project_Register!$AQ$13),0),(Project_Register!$AT$13-Project_Register!$AQ$13)*(E268-E269)/(1-Project_Register!$AV$13)))*Project_Register!$AA$13)</f>
        <v>0</v>
      </c>
      <c r="F273" s="58" t="n">
        <f aca="false">IF(F$5="A",0,IF((Project_Register!$AT$13-Project_Register!$AQ$13)&lt;=0,0,IF(1-Project_Register!$AV$13&lt;=0.000001,IF(Assumptions!F$96=Assumptions!$C$10+1,(Project_Register!$AT$13-Project_Register!$AQ$13),0),(Project_Register!$AT$13-Project_Register!$AQ$13)*(F268-F269)/(1-Project_Register!$AV$13)))*Project_Register!$AA$13)</f>
        <v>0</v>
      </c>
      <c r="G273" s="58" t="n">
        <f aca="false">IF(G$5="A",0,IF((Project_Register!$AT$13-Project_Register!$AQ$13)&lt;=0,0,IF(1-Project_Register!$AV$13&lt;=0.000001,IF(Assumptions!G$96=Assumptions!$C$10+1,(Project_Register!$AT$13-Project_Register!$AQ$13),0),(Project_Register!$AT$13-Project_Register!$AQ$13)*(G268-G269)/(1-Project_Register!$AV$13)))*Project_Register!$AA$13)</f>
        <v>0</v>
      </c>
      <c r="H273" s="58" t="n">
        <f aca="false">IF(H$5="A",0,IF((Project_Register!$AT$13-Project_Register!$AQ$13)&lt;=0,0,IF(1-Project_Register!$AV$13&lt;=0.000001,IF(Assumptions!H$96=Assumptions!$C$10+1,(Project_Register!$AT$13-Project_Register!$AQ$13),0),(Project_Register!$AT$13-Project_Register!$AQ$13)*(H268-H269)/(1-Project_Register!$AV$13)))*Project_Register!$AA$13)</f>
        <v>0</v>
      </c>
      <c r="I273" s="58" t="n">
        <f aca="false">IF(I$5="A",0,IF((Project_Register!$AT$13-Project_Register!$AQ$13)&lt;=0,0,IF(1-Project_Register!$AV$13&lt;=0.000001,IF(Assumptions!I$96=Assumptions!$C$10+1,(Project_Register!$AT$13-Project_Register!$AQ$13),0),(Project_Register!$AT$13-Project_Register!$AQ$13)*(I268-I269)/(1-Project_Register!$AV$13)))*Project_Register!$AA$13)</f>
        <v>0</v>
      </c>
      <c r="J273" s="58" t="n">
        <f aca="false">IF(J$5="A",0,IF((Project_Register!$AT$13-Project_Register!$AQ$13)&lt;=0,0,IF(1-Project_Register!$AV$13&lt;=0.000001,IF(Assumptions!J$96=Assumptions!$C$10+1,(Project_Register!$AT$13-Project_Register!$AQ$13),0),(Project_Register!$AT$13-Project_Register!$AQ$13)*(J268-J269)/(1-Project_Register!$AV$13)))*Project_Register!$AA$13)</f>
        <v>0</v>
      </c>
      <c r="K273" s="58" t="n">
        <f aca="false">IF(K$5="A",0,IF((Project_Register!$AT$13-Project_Register!$AQ$13)&lt;=0,0,IF(1-Project_Register!$AV$13&lt;=0.000001,IF(Assumptions!K$96=Assumptions!$C$10+1,(Project_Register!$AT$13-Project_Register!$AQ$13),0),(Project_Register!$AT$13-Project_Register!$AQ$13)*(K268-K269)/(1-Project_Register!$AV$13)))*Project_Register!$AA$13)</f>
        <v>0</v>
      </c>
      <c r="L273" s="58" t="n">
        <f aca="false">IF(L$5="A",0,IF((Project_Register!$AT$13-Project_Register!$AQ$13)&lt;=0,0,IF(1-Project_Register!$AV$13&lt;=0.000001,IF(Assumptions!L$96=Assumptions!$C$10+1,(Project_Register!$AT$13-Project_Register!$AQ$13),0),(Project_Register!$AT$13-Project_Register!$AQ$13)*(L268-L269)/(1-Project_Register!$AV$13)))*Project_Register!$AA$13)</f>
        <v>0</v>
      </c>
      <c r="M273" s="58" t="n">
        <f aca="false">IF(M$5="A",0,IF((Project_Register!$AT$13-Project_Register!$AQ$13)&lt;=0,0,IF(1-Project_Register!$AV$13&lt;=0.000001,IF(Assumptions!M$96=Assumptions!$C$10+1,(Project_Register!$AT$13-Project_Register!$AQ$13),0),(Project_Register!$AT$13-Project_Register!$AQ$13)*(M268-M269)/(1-Project_Register!$AV$13)))*Project_Register!$AA$13)</f>
        <v>0</v>
      </c>
      <c r="N273" s="58" t="n">
        <f aca="false">IF(N$5="A",0,IF((Project_Register!$AT$13-Project_Register!$AQ$13)&lt;=0,0,IF(1-Project_Register!$AV$13&lt;=0.000001,IF(Assumptions!N$96=Assumptions!$C$10+1,(Project_Register!$AT$13-Project_Register!$AQ$13),0),(Project_Register!$AT$13-Project_Register!$AQ$13)*(N268-N269)/(1-Project_Register!$AV$13)))*Project_Register!$AA$13)</f>
        <v>1220</v>
      </c>
      <c r="O273" s="58" t="n">
        <f aca="false">IF(O$5="A",0,IF((Project_Register!$AT$13-Project_Register!$AQ$13)&lt;=0,0,IF(1-Project_Register!$AV$13&lt;=0.000001,IF(Assumptions!O$96=Assumptions!$C$10+1,(Project_Register!$AT$13-Project_Register!$AQ$13),0),(Project_Register!$AT$13-Project_Register!$AQ$13)*(O268-O269)/(1-Project_Register!$AV$13)))*Project_Register!$AA$13)</f>
        <v>3050</v>
      </c>
      <c r="P273" s="58" t="n">
        <f aca="false">IF(P$5="A",0,IF((Project_Register!$AT$13-Project_Register!$AQ$13)&lt;=0,0,IF(1-Project_Register!$AV$13&lt;=0.000001,IF(Assumptions!P$96=Assumptions!$C$10+1,(Project_Register!$AT$13-Project_Register!$AQ$13),0),(Project_Register!$AT$13-Project_Register!$AQ$13)*(P268-P269)/(1-Project_Register!$AV$13)))*Project_Register!$AA$13)</f>
        <v>3965</v>
      </c>
      <c r="Q273" s="58" t="n">
        <f aca="false">IF(Q$5="A",0,IF((Project_Register!$AT$13-Project_Register!$AQ$13)&lt;=0,0,IF(1-Project_Register!$AV$13&lt;=0.000001,IF(Assumptions!Q$96=Assumptions!$C$10+1,(Project_Register!$AT$13-Project_Register!$AQ$13),0),(Project_Register!$AT$13-Project_Register!$AQ$13)*(Q268-Q269)/(1-Project_Register!$AV$13)))*Project_Register!$AA$13)</f>
        <v>3965</v>
      </c>
      <c r="R273" s="58" t="n">
        <f aca="false">IF(R$5="A",0,IF((Project_Register!$AT$13-Project_Register!$AQ$13)&lt;=0,0,IF(1-Project_Register!$AV$13&lt;=0.000001,IF(Assumptions!R$96=Assumptions!$C$10+1,(Project_Register!$AT$13-Project_Register!$AQ$13),0),(Project_Register!$AT$13-Project_Register!$AQ$13)*(R268-R269)/(1-Project_Register!$AV$13)))*Project_Register!$AA$13)</f>
        <v>3050</v>
      </c>
      <c r="S273" s="58" t="n">
        <f aca="false">IF(S$5="A",0,IF((Project_Register!$AT$13-Project_Register!$AQ$13)&lt;=0,0,IF(1-Project_Register!$AV$13&lt;=0.000001,IF(Assumptions!S$96=Assumptions!$C$10+1,(Project_Register!$AT$13-Project_Register!$AQ$13),0),(Project_Register!$AT$13-Project_Register!$AQ$13)*(S268-S269)/(1-Project_Register!$AV$13)))*Project_Register!$AA$13)</f>
        <v>1220</v>
      </c>
      <c r="T273" s="58" t="n">
        <f aca="false">IF(T$5="A",0,IF((Project_Register!$AT$13-Project_Register!$AQ$13)&lt;=0,0,IF(1-Project_Register!$AV$13&lt;=0.000001,IF(Assumptions!T$96=Assumptions!$C$10+1,(Project_Register!$AT$13-Project_Register!$AQ$13),0),(Project_Register!$AT$13-Project_Register!$AQ$13)*(T268-T269)/(1-Project_Register!$AV$13)))*Project_Register!$AA$13)</f>
        <v>0</v>
      </c>
      <c r="U273" s="58" t="n">
        <f aca="false">IF(U$5="A",0,IF((Project_Register!$AT$13-Project_Register!$AQ$13)&lt;=0,0,IF(1-Project_Register!$AV$13&lt;=0.000001,IF(Assumptions!U$96=Assumptions!$C$10+1,(Project_Register!$AT$13-Project_Register!$AQ$13),0),(Project_Register!$AT$13-Project_Register!$AQ$13)*(U268-U269)/(1-Project_Register!$AV$13)))*Project_Register!$AA$13)</f>
        <v>0</v>
      </c>
      <c r="V273" s="58" t="n">
        <f aca="false">IF(V$5="A",0,IF((Project_Register!$AT$13-Project_Register!$AQ$13)&lt;=0,0,IF(1-Project_Register!$AV$13&lt;=0.000001,IF(Assumptions!V$96=Assumptions!$C$10+1,(Project_Register!$AT$13-Project_Register!$AQ$13),0),(Project_Register!$AT$13-Project_Register!$AQ$13)*(V268-V269)/(1-Project_Register!$AV$13)))*Project_Register!$AA$13)</f>
        <v>0</v>
      </c>
      <c r="W273" s="58" t="n">
        <f aca="false">IF(W$5="A",0,IF((Project_Register!$AT$13-Project_Register!$AQ$13)&lt;=0,0,IF(1-Project_Register!$AV$13&lt;=0.000001,IF(Assumptions!W$96=Assumptions!$C$10+1,(Project_Register!$AT$13-Project_Register!$AQ$13),0),(Project_Register!$AT$13-Project_Register!$AQ$13)*(W268-W269)/(1-Project_Register!$AV$13)))*Project_Register!$AA$13)</f>
        <v>0</v>
      </c>
      <c r="X273" s="58" t="n">
        <f aca="false">IF(X$5="A",0,IF((Project_Register!$AT$13-Project_Register!$AQ$13)&lt;=0,0,IF(1-Project_Register!$AV$13&lt;=0.000001,IF(Assumptions!X$96=Assumptions!$C$10+1,(Project_Register!$AT$13-Project_Register!$AQ$13),0),(Project_Register!$AT$13-Project_Register!$AQ$13)*(X268-X269)/(1-Project_Register!$AV$13)))*Project_Register!$AA$13)</f>
        <v>0</v>
      </c>
      <c r="Y273" s="58" t="n">
        <f aca="false">IF(Y$5="A",0,IF((Project_Register!$AT$13-Project_Register!$AQ$13)&lt;=0,0,IF(1-Project_Register!$AV$13&lt;=0.000001,IF(Assumptions!Y$96=Assumptions!$C$10+1,(Project_Register!$AT$13-Project_Register!$AQ$13),0),(Project_Register!$AT$13-Project_Register!$AQ$13)*(Y268-Y269)/(1-Project_Register!$AV$13)))*Project_Register!$AA$13)</f>
        <v>0</v>
      </c>
      <c r="Z273" s="58" t="n">
        <f aca="false">IF(Z$5="A",0,IF((Project_Register!$AT$13-Project_Register!$AQ$13)&lt;=0,0,IF(1-Project_Register!$AV$13&lt;=0.000001,IF(Assumptions!Z$96=Assumptions!$C$10+1,(Project_Register!$AT$13-Project_Register!$AQ$13),0),(Project_Register!$AT$13-Project_Register!$AQ$13)*(Z268-Z269)/(1-Project_Register!$AV$13)))*Project_Register!$AA$13)</f>
        <v>0</v>
      </c>
      <c r="AA273" s="58" t="n">
        <f aca="false">IF(AA$5="A",0,IF((Project_Register!$AT$13-Project_Register!$AQ$13)&lt;=0,0,IF(1-Project_Register!$AV$13&lt;=0.000001,IF(Assumptions!AA$96=Assumptions!$C$10+1,(Project_Register!$AT$13-Project_Register!$AQ$13),0),(Project_Register!$AT$13-Project_Register!$AQ$13)*(AA268-AA269)/(1-Project_Register!$AV$13)))*Project_Register!$AA$13)</f>
        <v>0</v>
      </c>
      <c r="AB273" s="58" t="n">
        <f aca="false">IF(AB$5="A",0,IF((Project_Register!$AT$13-Project_Register!$AQ$13)&lt;=0,0,IF(1-Project_Register!$AV$13&lt;=0.000001,IF(Assumptions!AB$96=Assumptions!$C$10+1,(Project_Register!$AT$13-Project_Register!$AQ$13),0),(Project_Register!$AT$13-Project_Register!$AQ$13)*(AB268-AB269)/(1-Project_Register!$AV$13)))*Project_Register!$AA$13)</f>
        <v>0</v>
      </c>
    </row>
    <row r="274" customFormat="false" ht="15" hidden="false" customHeight="false" outlineLevel="0" collapsed="false">
      <c r="A274" s="27" t="s">
        <v>726</v>
      </c>
      <c r="B274" s="56" t="s">
        <v>722</v>
      </c>
      <c r="C274" s="57" t="n">
        <f aca="false">SUM(E274:P274)</f>
        <v>19215</v>
      </c>
      <c r="D274" s="57" t="n">
        <f aca="false">SUM(Q274:AB274)</f>
        <v>19215</v>
      </c>
      <c r="E274" s="58" t="n">
        <f aca="false">IF(E$5="A",0,IF((Project_Register!$AT$13-Project_Register!$AQ$13)&lt;=0,0,IF(1-Project_Register!$AV$13&lt;=0.000001,IF(Assumptions!E$96=Assumptions!$C$10+1,(Project_Register!$AT$13-Project_Register!$AQ$13),0),(Project_Register!$AT$13-Project_Register!$AQ$13)*(E268-E269)/(1-Project_Register!$AV$13)))*Project_Register!$AB$13)</f>
        <v>0</v>
      </c>
      <c r="F274" s="58" t="n">
        <f aca="false">IF(F$5="A",0,IF((Project_Register!$AT$13-Project_Register!$AQ$13)&lt;=0,0,IF(1-Project_Register!$AV$13&lt;=0.000001,IF(Assumptions!F$96=Assumptions!$C$10+1,(Project_Register!$AT$13-Project_Register!$AQ$13),0),(Project_Register!$AT$13-Project_Register!$AQ$13)*(F268-F269)/(1-Project_Register!$AV$13)))*Project_Register!$AB$13)</f>
        <v>0</v>
      </c>
      <c r="G274" s="58" t="n">
        <f aca="false">IF(G$5="A",0,IF((Project_Register!$AT$13-Project_Register!$AQ$13)&lt;=0,0,IF(1-Project_Register!$AV$13&lt;=0.000001,IF(Assumptions!G$96=Assumptions!$C$10+1,(Project_Register!$AT$13-Project_Register!$AQ$13),0),(Project_Register!$AT$13-Project_Register!$AQ$13)*(G268-G269)/(1-Project_Register!$AV$13)))*Project_Register!$AB$13)</f>
        <v>0</v>
      </c>
      <c r="H274" s="58" t="n">
        <f aca="false">IF(H$5="A",0,IF((Project_Register!$AT$13-Project_Register!$AQ$13)&lt;=0,0,IF(1-Project_Register!$AV$13&lt;=0.000001,IF(Assumptions!H$96=Assumptions!$C$10+1,(Project_Register!$AT$13-Project_Register!$AQ$13),0),(Project_Register!$AT$13-Project_Register!$AQ$13)*(H268-H269)/(1-Project_Register!$AV$13)))*Project_Register!$AB$13)</f>
        <v>0</v>
      </c>
      <c r="I274" s="58" t="n">
        <f aca="false">IF(I$5="A",0,IF((Project_Register!$AT$13-Project_Register!$AQ$13)&lt;=0,0,IF(1-Project_Register!$AV$13&lt;=0.000001,IF(Assumptions!I$96=Assumptions!$C$10+1,(Project_Register!$AT$13-Project_Register!$AQ$13),0),(Project_Register!$AT$13-Project_Register!$AQ$13)*(I268-I269)/(1-Project_Register!$AV$13)))*Project_Register!$AB$13)</f>
        <v>0</v>
      </c>
      <c r="J274" s="58" t="n">
        <f aca="false">IF(J$5="A",0,IF((Project_Register!$AT$13-Project_Register!$AQ$13)&lt;=0,0,IF(1-Project_Register!$AV$13&lt;=0.000001,IF(Assumptions!J$96=Assumptions!$C$10+1,(Project_Register!$AT$13-Project_Register!$AQ$13),0),(Project_Register!$AT$13-Project_Register!$AQ$13)*(J268-J269)/(1-Project_Register!$AV$13)))*Project_Register!$AB$13)</f>
        <v>0</v>
      </c>
      <c r="K274" s="58" t="n">
        <f aca="false">IF(K$5="A",0,IF((Project_Register!$AT$13-Project_Register!$AQ$13)&lt;=0,0,IF(1-Project_Register!$AV$13&lt;=0.000001,IF(Assumptions!K$96=Assumptions!$C$10+1,(Project_Register!$AT$13-Project_Register!$AQ$13),0),(Project_Register!$AT$13-Project_Register!$AQ$13)*(K268-K269)/(1-Project_Register!$AV$13)))*Project_Register!$AB$13)</f>
        <v>0</v>
      </c>
      <c r="L274" s="58" t="n">
        <f aca="false">IF(L$5="A",0,IF((Project_Register!$AT$13-Project_Register!$AQ$13)&lt;=0,0,IF(1-Project_Register!$AV$13&lt;=0.000001,IF(Assumptions!L$96=Assumptions!$C$10+1,(Project_Register!$AT$13-Project_Register!$AQ$13),0),(Project_Register!$AT$13-Project_Register!$AQ$13)*(L268-L269)/(1-Project_Register!$AV$13)))*Project_Register!$AB$13)</f>
        <v>0</v>
      </c>
      <c r="M274" s="58" t="n">
        <f aca="false">IF(M$5="A",0,IF((Project_Register!$AT$13-Project_Register!$AQ$13)&lt;=0,0,IF(1-Project_Register!$AV$13&lt;=0.000001,IF(Assumptions!M$96=Assumptions!$C$10+1,(Project_Register!$AT$13-Project_Register!$AQ$13),0),(Project_Register!$AT$13-Project_Register!$AQ$13)*(M268-M269)/(1-Project_Register!$AV$13)))*Project_Register!$AB$13)</f>
        <v>0</v>
      </c>
      <c r="N274" s="58" t="n">
        <f aca="false">IF(N$5="A",0,IF((Project_Register!$AT$13-Project_Register!$AQ$13)&lt;=0,0,IF(1-Project_Register!$AV$13&lt;=0.000001,IF(Assumptions!N$96=Assumptions!$C$10+1,(Project_Register!$AT$13-Project_Register!$AQ$13),0),(Project_Register!$AT$13-Project_Register!$AQ$13)*(N268-N269)/(1-Project_Register!$AV$13)))*Project_Register!$AB$13)</f>
        <v>2846.66666666667</v>
      </c>
      <c r="O274" s="58" t="n">
        <f aca="false">IF(O$5="A",0,IF((Project_Register!$AT$13-Project_Register!$AQ$13)&lt;=0,0,IF(1-Project_Register!$AV$13&lt;=0.000001,IF(Assumptions!O$96=Assumptions!$C$10+1,(Project_Register!$AT$13-Project_Register!$AQ$13),0),(Project_Register!$AT$13-Project_Register!$AQ$13)*(O268-O269)/(1-Project_Register!$AV$13)))*Project_Register!$AB$13)</f>
        <v>7116.66666666666</v>
      </c>
      <c r="P274" s="58" t="n">
        <f aca="false">IF(P$5="A",0,IF((Project_Register!$AT$13-Project_Register!$AQ$13)&lt;=0,0,IF(1-Project_Register!$AV$13&lt;=0.000001,IF(Assumptions!P$96=Assumptions!$C$10+1,(Project_Register!$AT$13-Project_Register!$AQ$13),0),(Project_Register!$AT$13-Project_Register!$AQ$13)*(P268-P269)/(1-Project_Register!$AV$13)))*Project_Register!$AB$13)</f>
        <v>9251.66666666667</v>
      </c>
      <c r="Q274" s="58" t="n">
        <f aca="false">IF(Q$5="A",0,IF((Project_Register!$AT$13-Project_Register!$AQ$13)&lt;=0,0,IF(1-Project_Register!$AV$13&lt;=0.000001,IF(Assumptions!Q$96=Assumptions!$C$10+1,(Project_Register!$AT$13-Project_Register!$AQ$13),0),(Project_Register!$AT$13-Project_Register!$AQ$13)*(Q268-Q269)/(1-Project_Register!$AV$13)))*Project_Register!$AB$13)</f>
        <v>9251.66666666667</v>
      </c>
      <c r="R274" s="58" t="n">
        <f aca="false">IF(R$5="A",0,IF((Project_Register!$AT$13-Project_Register!$AQ$13)&lt;=0,0,IF(1-Project_Register!$AV$13&lt;=0.000001,IF(Assumptions!R$96=Assumptions!$C$10+1,(Project_Register!$AT$13-Project_Register!$AQ$13),0),(Project_Register!$AT$13-Project_Register!$AQ$13)*(R268-R269)/(1-Project_Register!$AV$13)))*Project_Register!$AB$13)</f>
        <v>7116.66666666666</v>
      </c>
      <c r="S274" s="58" t="n">
        <f aca="false">IF(S$5="A",0,IF((Project_Register!$AT$13-Project_Register!$AQ$13)&lt;=0,0,IF(1-Project_Register!$AV$13&lt;=0.000001,IF(Assumptions!S$96=Assumptions!$C$10+1,(Project_Register!$AT$13-Project_Register!$AQ$13),0),(Project_Register!$AT$13-Project_Register!$AQ$13)*(S268-S269)/(1-Project_Register!$AV$13)))*Project_Register!$AB$13)</f>
        <v>2846.66666666667</v>
      </c>
      <c r="T274" s="58" t="n">
        <f aca="false">IF(T$5="A",0,IF((Project_Register!$AT$13-Project_Register!$AQ$13)&lt;=0,0,IF(1-Project_Register!$AV$13&lt;=0.000001,IF(Assumptions!T$96=Assumptions!$C$10+1,(Project_Register!$AT$13-Project_Register!$AQ$13),0),(Project_Register!$AT$13-Project_Register!$AQ$13)*(T268-T269)/(1-Project_Register!$AV$13)))*Project_Register!$AB$13)</f>
        <v>0</v>
      </c>
      <c r="U274" s="58" t="n">
        <f aca="false">IF(U$5="A",0,IF((Project_Register!$AT$13-Project_Register!$AQ$13)&lt;=0,0,IF(1-Project_Register!$AV$13&lt;=0.000001,IF(Assumptions!U$96=Assumptions!$C$10+1,(Project_Register!$AT$13-Project_Register!$AQ$13),0),(Project_Register!$AT$13-Project_Register!$AQ$13)*(U268-U269)/(1-Project_Register!$AV$13)))*Project_Register!$AB$13)</f>
        <v>0</v>
      </c>
      <c r="V274" s="58" t="n">
        <f aca="false">IF(V$5="A",0,IF((Project_Register!$AT$13-Project_Register!$AQ$13)&lt;=0,0,IF(1-Project_Register!$AV$13&lt;=0.000001,IF(Assumptions!V$96=Assumptions!$C$10+1,(Project_Register!$AT$13-Project_Register!$AQ$13),0),(Project_Register!$AT$13-Project_Register!$AQ$13)*(V268-V269)/(1-Project_Register!$AV$13)))*Project_Register!$AB$13)</f>
        <v>0</v>
      </c>
      <c r="W274" s="58" t="n">
        <f aca="false">IF(W$5="A",0,IF((Project_Register!$AT$13-Project_Register!$AQ$13)&lt;=0,0,IF(1-Project_Register!$AV$13&lt;=0.000001,IF(Assumptions!W$96=Assumptions!$C$10+1,(Project_Register!$AT$13-Project_Register!$AQ$13),0),(Project_Register!$AT$13-Project_Register!$AQ$13)*(W268-W269)/(1-Project_Register!$AV$13)))*Project_Register!$AB$13)</f>
        <v>0</v>
      </c>
      <c r="X274" s="58" t="n">
        <f aca="false">IF(X$5="A",0,IF((Project_Register!$AT$13-Project_Register!$AQ$13)&lt;=0,0,IF(1-Project_Register!$AV$13&lt;=0.000001,IF(Assumptions!X$96=Assumptions!$C$10+1,(Project_Register!$AT$13-Project_Register!$AQ$13),0),(Project_Register!$AT$13-Project_Register!$AQ$13)*(X268-X269)/(1-Project_Register!$AV$13)))*Project_Register!$AB$13)</f>
        <v>0</v>
      </c>
      <c r="Y274" s="58" t="n">
        <f aca="false">IF(Y$5="A",0,IF((Project_Register!$AT$13-Project_Register!$AQ$13)&lt;=0,0,IF(1-Project_Register!$AV$13&lt;=0.000001,IF(Assumptions!Y$96=Assumptions!$C$10+1,(Project_Register!$AT$13-Project_Register!$AQ$13),0),(Project_Register!$AT$13-Project_Register!$AQ$13)*(Y268-Y269)/(1-Project_Register!$AV$13)))*Project_Register!$AB$13)</f>
        <v>0</v>
      </c>
      <c r="Z274" s="58" t="n">
        <f aca="false">IF(Z$5="A",0,IF((Project_Register!$AT$13-Project_Register!$AQ$13)&lt;=0,0,IF(1-Project_Register!$AV$13&lt;=0.000001,IF(Assumptions!Z$96=Assumptions!$C$10+1,(Project_Register!$AT$13-Project_Register!$AQ$13),0),(Project_Register!$AT$13-Project_Register!$AQ$13)*(Z268-Z269)/(1-Project_Register!$AV$13)))*Project_Register!$AB$13)</f>
        <v>0</v>
      </c>
      <c r="AA274" s="58" t="n">
        <f aca="false">IF(AA$5="A",0,IF((Project_Register!$AT$13-Project_Register!$AQ$13)&lt;=0,0,IF(1-Project_Register!$AV$13&lt;=0.000001,IF(Assumptions!AA$96=Assumptions!$C$10+1,(Project_Register!$AT$13-Project_Register!$AQ$13),0),(Project_Register!$AT$13-Project_Register!$AQ$13)*(AA268-AA269)/(1-Project_Register!$AV$13)))*Project_Register!$AB$13)</f>
        <v>0</v>
      </c>
      <c r="AB274" s="58" t="n">
        <f aca="false">IF(AB$5="A",0,IF((Project_Register!$AT$13-Project_Register!$AQ$13)&lt;=0,0,IF(1-Project_Register!$AV$13&lt;=0.000001,IF(Assumptions!AB$96=Assumptions!$C$10+1,(Project_Register!$AT$13-Project_Register!$AQ$13),0),(Project_Register!$AT$13-Project_Register!$AQ$13)*(AB268-AB269)/(1-Project_Register!$AV$13)))*Project_Register!$AB$13)</f>
        <v>0</v>
      </c>
    </row>
    <row r="275" customFormat="false" ht="15" hidden="false" customHeight="false" outlineLevel="0" collapsed="false">
      <c r="A275" s="67" t="s">
        <v>727</v>
      </c>
      <c r="B275" s="68" t="s">
        <v>728</v>
      </c>
      <c r="C275" s="69" t="n">
        <f aca="false">SUM(E275:P275)</f>
        <v>274500</v>
      </c>
      <c r="D275" s="69" t="n">
        <f aca="false">SUM(Q275:AB275)</f>
        <v>274500</v>
      </c>
      <c r="E275" s="69" t="n">
        <f aca="false">SUM(E270:E274)</f>
        <v>0</v>
      </c>
      <c r="F275" s="69" t="n">
        <f aca="false">SUM(F270:F274)</f>
        <v>0</v>
      </c>
      <c r="G275" s="69" t="n">
        <f aca="false">SUM(G270:G274)</f>
        <v>0</v>
      </c>
      <c r="H275" s="69" t="n">
        <f aca="false">SUM(H270:H274)</f>
        <v>0</v>
      </c>
      <c r="I275" s="69" t="n">
        <f aca="false">SUM(I270:I274)</f>
        <v>0</v>
      </c>
      <c r="J275" s="69" t="n">
        <f aca="false">SUM(J270:J274)</f>
        <v>0</v>
      </c>
      <c r="K275" s="69" t="n">
        <f aca="false">SUM(K270:K274)</f>
        <v>0</v>
      </c>
      <c r="L275" s="69" t="n">
        <f aca="false">SUM(L270:L274)</f>
        <v>0</v>
      </c>
      <c r="M275" s="69" t="n">
        <f aca="false">SUM(M270:M274)</f>
        <v>0</v>
      </c>
      <c r="N275" s="69" t="n">
        <f aca="false">SUM(N270:N274)</f>
        <v>40666.6666666667</v>
      </c>
      <c r="O275" s="69" t="n">
        <f aca="false">SUM(O270:O274)</f>
        <v>101666.666666667</v>
      </c>
      <c r="P275" s="69" t="n">
        <f aca="false">SUM(P270:P274)</f>
        <v>132166.666666667</v>
      </c>
      <c r="Q275" s="69" t="n">
        <f aca="false">SUM(Q270:Q274)</f>
        <v>132166.666666667</v>
      </c>
      <c r="R275" s="69" t="n">
        <f aca="false">SUM(R270:R274)</f>
        <v>101666.666666667</v>
      </c>
      <c r="S275" s="69" t="n">
        <f aca="false">SUM(S270:S274)</f>
        <v>40666.6666666667</v>
      </c>
      <c r="T275" s="69" t="n">
        <f aca="false">SUM(T270:T274)</f>
        <v>0</v>
      </c>
      <c r="U275" s="69" t="n">
        <f aca="false">SUM(U270:U274)</f>
        <v>0</v>
      </c>
      <c r="V275" s="69" t="n">
        <f aca="false">SUM(V270:V274)</f>
        <v>0</v>
      </c>
      <c r="W275" s="69" t="n">
        <f aca="false">SUM(W270:W274)</f>
        <v>0</v>
      </c>
      <c r="X275" s="69" t="n">
        <f aca="false">SUM(X270:X274)</f>
        <v>0</v>
      </c>
      <c r="Y275" s="69" t="n">
        <f aca="false">SUM(Y270:Y274)</f>
        <v>0</v>
      </c>
      <c r="Z275" s="69" t="n">
        <f aca="false">SUM(Z270:Z274)</f>
        <v>0</v>
      </c>
      <c r="AA275" s="69" t="n">
        <f aca="false">SUM(AA270:AA274)</f>
        <v>0</v>
      </c>
      <c r="AB275" s="69" t="n">
        <f aca="false">SUM(AB270:AB274)</f>
        <v>0</v>
      </c>
    </row>
    <row r="276" customFormat="false" ht="15" hidden="false" customHeight="false" outlineLevel="0" collapsed="false">
      <c r="A276" s="27" t="s">
        <v>729</v>
      </c>
      <c r="B276" s="56" t="s">
        <v>730</v>
      </c>
      <c r="C276" s="57" t="n">
        <f aca="false">P276</f>
        <v>274500</v>
      </c>
      <c r="D276" s="57" t="n">
        <f aca="false">AB276</f>
        <v>549000</v>
      </c>
      <c r="E276" s="58" t="n">
        <f aca="false">Project_Register!$AC$13+E275</f>
        <v>0</v>
      </c>
      <c r="F276" s="70" t="n">
        <f aca="false">E276+F275</f>
        <v>0</v>
      </c>
      <c r="G276" s="70" t="n">
        <f aca="false">F276+G275</f>
        <v>0</v>
      </c>
      <c r="H276" s="70" t="n">
        <f aca="false">G276+H275</f>
        <v>0</v>
      </c>
      <c r="I276" s="70" t="n">
        <f aca="false">H276+I275</f>
        <v>0</v>
      </c>
      <c r="J276" s="70" t="n">
        <f aca="false">I276+J275</f>
        <v>0</v>
      </c>
      <c r="K276" s="70" t="n">
        <f aca="false">J276+K275</f>
        <v>0</v>
      </c>
      <c r="L276" s="70" t="n">
        <f aca="false">K276+L275</f>
        <v>0</v>
      </c>
      <c r="M276" s="70" t="n">
        <f aca="false">L276+M275</f>
        <v>0</v>
      </c>
      <c r="N276" s="70" t="n">
        <f aca="false">M276+N275</f>
        <v>40666.6666666667</v>
      </c>
      <c r="O276" s="70" t="n">
        <f aca="false">N276+O275</f>
        <v>142333.333333333</v>
      </c>
      <c r="P276" s="70" t="n">
        <f aca="false">O276+P275</f>
        <v>274500</v>
      </c>
      <c r="Q276" s="70" t="n">
        <f aca="false">P276+Q275</f>
        <v>406666.666666667</v>
      </c>
      <c r="R276" s="70" t="n">
        <f aca="false">Q276+R275</f>
        <v>508333.333333333</v>
      </c>
      <c r="S276" s="70" t="n">
        <f aca="false">R276+S275</f>
        <v>549000</v>
      </c>
      <c r="T276" s="70" t="n">
        <f aca="false">S276+T275</f>
        <v>549000</v>
      </c>
      <c r="U276" s="70" t="n">
        <f aca="false">T276+U275</f>
        <v>549000</v>
      </c>
      <c r="V276" s="70" t="n">
        <f aca="false">U276+V275</f>
        <v>549000</v>
      </c>
      <c r="W276" s="70" t="n">
        <f aca="false">V276+W275</f>
        <v>549000</v>
      </c>
      <c r="X276" s="70" t="n">
        <f aca="false">W276+X275</f>
        <v>549000</v>
      </c>
      <c r="Y276" s="70" t="n">
        <f aca="false">X276+Y275</f>
        <v>549000</v>
      </c>
      <c r="Z276" s="70" t="n">
        <f aca="false">Y276+Z275</f>
        <v>549000</v>
      </c>
      <c r="AA276" s="70" t="n">
        <f aca="false">Z276+AA275</f>
        <v>549000</v>
      </c>
      <c r="AB276" s="70" t="n">
        <f aca="false">AA276+AB275</f>
        <v>549000</v>
      </c>
    </row>
    <row r="277" customFormat="false" ht="15" hidden="false" customHeight="false" outlineLevel="0" collapsed="false">
      <c r="A277" s="27" t="s">
        <v>731</v>
      </c>
      <c r="B277" s="56" t="s">
        <v>732</v>
      </c>
      <c r="C277" s="57" t="n">
        <f aca="false">P277</f>
        <v>549000</v>
      </c>
      <c r="D277" s="57" t="n">
        <f aca="false">AB277</f>
        <v>549000</v>
      </c>
      <c r="E277" s="58" t="n">
        <f aca="false">IF(E$5="A",IF(E276+Project_Register!$AP$13&lt;=0,Project_Register!$AP$13,E276+Project_Register!$AP$13),Project_Register!$AT$13)</f>
        <v>549000</v>
      </c>
      <c r="F277" s="58" t="n">
        <f aca="false">IF(F$5="A",IF(F276+Project_Register!$AP$13&lt;=0,Project_Register!$AP$13,F276+Project_Register!$AP$13),Project_Register!$AT$13)</f>
        <v>549000</v>
      </c>
      <c r="G277" s="58" t="n">
        <f aca="false">IF(G$5="A",IF(G276+Project_Register!$AP$13&lt;=0,Project_Register!$AP$13,G276+Project_Register!$AP$13),Project_Register!$AT$13)</f>
        <v>549000</v>
      </c>
      <c r="H277" s="58" t="n">
        <f aca="false">IF(H$5="A",IF(H276+Project_Register!$AP$13&lt;=0,Project_Register!$AP$13,H276+Project_Register!$AP$13),Project_Register!$AT$13)</f>
        <v>549000</v>
      </c>
      <c r="I277" s="58" t="n">
        <f aca="false">IF(I$5="A",IF(I276+Project_Register!$AP$13&lt;=0,Project_Register!$AP$13,I276+Project_Register!$AP$13),Project_Register!$AT$13)</f>
        <v>549000</v>
      </c>
      <c r="J277" s="58" t="n">
        <f aca="false">IF(J$5="A",IF(J276+Project_Register!$AP$13&lt;=0,Project_Register!$AP$13,J276+Project_Register!$AP$13),Project_Register!$AT$13)</f>
        <v>549000</v>
      </c>
      <c r="K277" s="58" t="n">
        <f aca="false">IF(K$5="A",IF(K276+Project_Register!$AP$13&lt;=0,Project_Register!$AP$13,K276+Project_Register!$AP$13),Project_Register!$AT$13)</f>
        <v>549000</v>
      </c>
      <c r="L277" s="58" t="n">
        <f aca="false">IF(L$5="A",IF(L276+Project_Register!$AP$13&lt;=0,Project_Register!$AP$13,L276+Project_Register!$AP$13),Project_Register!$AT$13)</f>
        <v>549000</v>
      </c>
      <c r="M277" s="58" t="n">
        <f aca="false">IF(M$5="A",IF(M276+Project_Register!$AP$13&lt;=0,Project_Register!$AP$13,M276+Project_Register!$AP$13),Project_Register!$AT$13)</f>
        <v>549000</v>
      </c>
      <c r="N277" s="58" t="n">
        <f aca="false">IF(N$5="A",IF(N276+Project_Register!$AP$13&lt;=0,Project_Register!$AP$13,N276+Project_Register!$AP$13),Project_Register!$AT$13)</f>
        <v>549000</v>
      </c>
      <c r="O277" s="58" t="n">
        <f aca="false">IF(O$5="A",IF(O276+Project_Register!$AP$13&lt;=0,Project_Register!$AP$13,O276+Project_Register!$AP$13),Project_Register!$AT$13)</f>
        <v>549000</v>
      </c>
      <c r="P277" s="58" t="n">
        <f aca="false">IF(P$5="A",IF(P276+Project_Register!$AP$13&lt;=0,Project_Register!$AP$13,P276+Project_Register!$AP$13),Project_Register!$AT$13)</f>
        <v>549000</v>
      </c>
      <c r="Q277" s="58" t="n">
        <f aca="false">IF(Q$5="A",IF(Q276+Project_Register!$AP$13&lt;=0,Project_Register!$AP$13,Q276+Project_Register!$AP$13),Project_Register!$AT$13)</f>
        <v>549000</v>
      </c>
      <c r="R277" s="58" t="n">
        <f aca="false">IF(R$5="A",IF(R276+Project_Register!$AP$13&lt;=0,Project_Register!$AP$13,R276+Project_Register!$AP$13),Project_Register!$AT$13)</f>
        <v>549000</v>
      </c>
      <c r="S277" s="58" t="n">
        <f aca="false">IF(S$5="A",IF(S276+Project_Register!$AP$13&lt;=0,Project_Register!$AP$13,S276+Project_Register!$AP$13),Project_Register!$AT$13)</f>
        <v>549000</v>
      </c>
      <c r="T277" s="58" t="n">
        <f aca="false">IF(T$5="A",IF(T276+Project_Register!$AP$13&lt;=0,Project_Register!$AP$13,T276+Project_Register!$AP$13),Project_Register!$AT$13)</f>
        <v>549000</v>
      </c>
      <c r="U277" s="58" t="n">
        <f aca="false">IF(U$5="A",IF(U276+Project_Register!$AP$13&lt;=0,Project_Register!$AP$13,U276+Project_Register!$AP$13),Project_Register!$AT$13)</f>
        <v>549000</v>
      </c>
      <c r="V277" s="58" t="n">
        <f aca="false">IF(V$5="A",IF(V276+Project_Register!$AP$13&lt;=0,Project_Register!$AP$13,V276+Project_Register!$AP$13),Project_Register!$AT$13)</f>
        <v>549000</v>
      </c>
      <c r="W277" s="58" t="n">
        <f aca="false">IF(W$5="A",IF(W276+Project_Register!$AP$13&lt;=0,Project_Register!$AP$13,W276+Project_Register!$AP$13),Project_Register!$AT$13)</f>
        <v>549000</v>
      </c>
      <c r="X277" s="58" t="n">
        <f aca="false">IF(X$5="A",IF(X276+Project_Register!$AP$13&lt;=0,Project_Register!$AP$13,X276+Project_Register!$AP$13),Project_Register!$AT$13)</f>
        <v>549000</v>
      </c>
      <c r="Y277" s="58" t="n">
        <f aca="false">IF(Y$5="A",IF(Y276+Project_Register!$AP$13&lt;=0,Project_Register!$AP$13,Y276+Project_Register!$AP$13),Project_Register!$AT$13)</f>
        <v>549000</v>
      </c>
      <c r="Z277" s="58" t="n">
        <f aca="false">IF(Z$5="A",IF(Z276+Project_Register!$AP$13&lt;=0,Project_Register!$AP$13,Z276+Project_Register!$AP$13),Project_Register!$AT$13)</f>
        <v>549000</v>
      </c>
      <c r="AA277" s="58" t="n">
        <f aca="false">IF(AA$5="A",IF(AA276+Project_Register!$AP$13&lt;=0,Project_Register!$AP$13,AA276+Project_Register!$AP$13),Project_Register!$AT$13)</f>
        <v>549000</v>
      </c>
      <c r="AB277" s="58" t="n">
        <f aca="false">IF(AB$5="A",IF(AB276+Project_Register!$AP$13&lt;=0,Project_Register!$AP$13,AB276+Project_Register!$AP$13),Project_Register!$AT$13)</f>
        <v>549000</v>
      </c>
    </row>
    <row r="278" customFormat="false" ht="15" hidden="false" customHeight="false" outlineLevel="0" collapsed="false">
      <c r="A278" s="27" t="s">
        <v>733</v>
      </c>
      <c r="B278" s="56" t="s">
        <v>734</v>
      </c>
      <c r="C278" s="59" t="n">
        <f aca="false">P278</f>
        <v>0.5</v>
      </c>
      <c r="D278" s="59" t="n">
        <f aca="false">AB278</f>
        <v>1</v>
      </c>
      <c r="E278" s="60" t="n">
        <f aca="false">IF(E277&lt;=0,0,MIN(1,E276/E277))</f>
        <v>0</v>
      </c>
      <c r="F278" s="60" t="n">
        <f aca="false">IF(F277&lt;=0,0,MIN(1,F276/F277))</f>
        <v>0</v>
      </c>
      <c r="G278" s="60" t="n">
        <f aca="false">IF(G277&lt;=0,0,MIN(1,G276/G277))</f>
        <v>0</v>
      </c>
      <c r="H278" s="60" t="n">
        <f aca="false">IF(H277&lt;=0,0,MIN(1,H276/H277))</f>
        <v>0</v>
      </c>
      <c r="I278" s="60" t="n">
        <f aca="false">IF(I277&lt;=0,0,MIN(1,I276/I277))</f>
        <v>0</v>
      </c>
      <c r="J278" s="60" t="n">
        <f aca="false">IF(J277&lt;=0,0,MIN(1,J276/J277))</f>
        <v>0</v>
      </c>
      <c r="K278" s="60" t="n">
        <f aca="false">IF(K277&lt;=0,0,MIN(1,K276/K277))</f>
        <v>0</v>
      </c>
      <c r="L278" s="60" t="n">
        <f aca="false">IF(L277&lt;=0,0,MIN(1,L276/L277))</f>
        <v>0</v>
      </c>
      <c r="M278" s="60" t="n">
        <f aca="false">IF(M277&lt;=0,0,MIN(1,M276/M277))</f>
        <v>0</v>
      </c>
      <c r="N278" s="60" t="n">
        <f aca="false">IF(N277&lt;=0,0,MIN(1,N276/N277))</f>
        <v>0.0740740740740741</v>
      </c>
      <c r="O278" s="60" t="n">
        <f aca="false">IF(O277&lt;=0,0,MIN(1,O276/O277))</f>
        <v>0.259259259259259</v>
      </c>
      <c r="P278" s="60" t="n">
        <f aca="false">IF(P277&lt;=0,0,MIN(1,P276/P277))</f>
        <v>0.5</v>
      </c>
      <c r="Q278" s="60" t="n">
        <f aca="false">IF(Q277&lt;=0,0,MIN(1,Q276/Q277))</f>
        <v>0.740740740740741</v>
      </c>
      <c r="R278" s="60" t="n">
        <f aca="false">IF(R277&lt;=0,0,MIN(1,R276/R277))</f>
        <v>0.925925925925926</v>
      </c>
      <c r="S278" s="60" t="n">
        <f aca="false">IF(S277&lt;=0,0,MIN(1,S276/S277))</f>
        <v>1</v>
      </c>
      <c r="T278" s="60" t="n">
        <f aca="false">IF(T277&lt;=0,0,MIN(1,T276/T277))</f>
        <v>1</v>
      </c>
      <c r="U278" s="60" t="n">
        <f aca="false">IF(U277&lt;=0,0,MIN(1,U276/U277))</f>
        <v>1</v>
      </c>
      <c r="V278" s="60" t="n">
        <f aca="false">IF(V277&lt;=0,0,MIN(1,V276/V277))</f>
        <v>1</v>
      </c>
      <c r="W278" s="60" t="n">
        <f aca="false">IF(W277&lt;=0,0,MIN(1,W276/W277))</f>
        <v>1</v>
      </c>
      <c r="X278" s="60" t="n">
        <f aca="false">IF(X277&lt;=0,0,MIN(1,X276/X277))</f>
        <v>1</v>
      </c>
      <c r="Y278" s="60" t="n">
        <f aca="false">IF(Y277&lt;=0,0,MIN(1,Y276/Y277))</f>
        <v>1</v>
      </c>
      <c r="Z278" s="60" t="n">
        <f aca="false">IF(Z277&lt;=0,0,MIN(1,Z276/Z277))</f>
        <v>1</v>
      </c>
      <c r="AA278" s="60" t="n">
        <f aca="false">IF(AA277&lt;=0,0,MIN(1,AA276/AA277))</f>
        <v>1</v>
      </c>
      <c r="AB278" s="60" t="n">
        <f aca="false">IF(AB277&lt;=0,0,MIN(1,AB276/AB277))</f>
        <v>1</v>
      </c>
    </row>
    <row r="279" customFormat="false" ht="15" hidden="false" customHeight="false" outlineLevel="0" collapsed="false">
      <c r="A279" s="27" t="s">
        <v>735</v>
      </c>
      <c r="B279" s="56" t="s">
        <v>736</v>
      </c>
      <c r="C279" s="57" t="n">
        <f aca="false">P279</f>
        <v>0</v>
      </c>
      <c r="D279" s="57" t="n">
        <f aca="false">AB279</f>
        <v>0</v>
      </c>
      <c r="E279" s="58" t="n">
        <f aca="false">SUMIFS(Variations!$H$6:$H$21,Variations!$B$6:$B$21,"CF-2604",Variations!$F$6:$F$21,"Approved",Variations!$G$6:$G$21,"&lt;="&amp;Assumptions!E$95)</f>
        <v>0</v>
      </c>
      <c r="F279" s="58" t="n">
        <f aca="false">SUMIFS(Variations!$H$6:$H$21,Variations!$B$6:$B$21,"CF-2604",Variations!$F$6:$F$21,"Approved",Variations!$G$6:$G$21,"&lt;="&amp;Assumptions!F$95)</f>
        <v>0</v>
      </c>
      <c r="G279" s="58" t="n">
        <f aca="false">SUMIFS(Variations!$H$6:$H$21,Variations!$B$6:$B$21,"CF-2604",Variations!$F$6:$F$21,"Approved",Variations!$G$6:$G$21,"&lt;="&amp;Assumptions!G$95)</f>
        <v>0</v>
      </c>
      <c r="H279" s="58" t="n">
        <f aca="false">SUMIFS(Variations!$H$6:$H$21,Variations!$B$6:$B$21,"CF-2604",Variations!$F$6:$F$21,"Approved",Variations!$G$6:$G$21,"&lt;="&amp;Assumptions!H$95)</f>
        <v>0</v>
      </c>
      <c r="I279" s="58" t="n">
        <f aca="false">SUMIFS(Variations!$H$6:$H$21,Variations!$B$6:$B$21,"CF-2604",Variations!$F$6:$F$21,"Approved",Variations!$G$6:$G$21,"&lt;="&amp;Assumptions!I$95)</f>
        <v>0</v>
      </c>
      <c r="J279" s="58" t="n">
        <f aca="false">SUMIFS(Variations!$H$6:$H$21,Variations!$B$6:$B$21,"CF-2604",Variations!$F$6:$F$21,"Approved",Variations!$G$6:$G$21,"&lt;="&amp;Assumptions!J$95)</f>
        <v>0</v>
      </c>
      <c r="K279" s="58" t="n">
        <f aca="false">SUMIFS(Variations!$H$6:$H$21,Variations!$B$6:$B$21,"CF-2604",Variations!$F$6:$F$21,"Approved",Variations!$G$6:$G$21,"&lt;="&amp;Assumptions!K$95)</f>
        <v>0</v>
      </c>
      <c r="L279" s="58" t="n">
        <f aca="false">SUMIFS(Variations!$H$6:$H$21,Variations!$B$6:$B$21,"CF-2604",Variations!$F$6:$F$21,"Approved",Variations!$G$6:$G$21,"&lt;="&amp;Assumptions!L$95)</f>
        <v>0</v>
      </c>
      <c r="M279" s="58" t="n">
        <f aca="false">SUMIFS(Variations!$H$6:$H$21,Variations!$B$6:$B$21,"CF-2604",Variations!$F$6:$F$21,"Approved",Variations!$G$6:$G$21,"&lt;="&amp;Assumptions!M$95)</f>
        <v>0</v>
      </c>
      <c r="N279" s="58" t="n">
        <f aca="false">SUMIFS(Variations!$H$6:$H$21,Variations!$B$6:$B$21,"CF-2604",Variations!$F$6:$F$21,"Approved",Variations!$G$6:$G$21,"&lt;="&amp;Assumptions!N$95)</f>
        <v>0</v>
      </c>
      <c r="O279" s="58" t="n">
        <f aca="false">SUMIFS(Variations!$H$6:$H$21,Variations!$B$6:$B$21,"CF-2604",Variations!$F$6:$F$21,"Approved",Variations!$G$6:$G$21,"&lt;="&amp;Assumptions!O$95)</f>
        <v>0</v>
      </c>
      <c r="P279" s="58" t="n">
        <f aca="false">SUMIFS(Variations!$H$6:$H$21,Variations!$B$6:$B$21,"CF-2604",Variations!$F$6:$F$21,"Approved",Variations!$G$6:$G$21,"&lt;="&amp;Assumptions!P$95)</f>
        <v>0</v>
      </c>
      <c r="Q279" s="58" t="n">
        <f aca="false">SUMIFS(Variations!$H$6:$H$21,Variations!$B$6:$B$21,"CF-2604",Variations!$F$6:$F$21,"Approved",Variations!$G$6:$G$21,"&lt;="&amp;Assumptions!Q$95)</f>
        <v>0</v>
      </c>
      <c r="R279" s="58" t="n">
        <f aca="false">SUMIFS(Variations!$H$6:$H$21,Variations!$B$6:$B$21,"CF-2604",Variations!$F$6:$F$21,"Approved",Variations!$G$6:$G$21,"&lt;="&amp;Assumptions!R$95)</f>
        <v>0</v>
      </c>
      <c r="S279" s="58" t="n">
        <f aca="false">SUMIFS(Variations!$H$6:$H$21,Variations!$B$6:$B$21,"CF-2604",Variations!$F$6:$F$21,"Approved",Variations!$G$6:$G$21,"&lt;="&amp;Assumptions!S$95)</f>
        <v>0</v>
      </c>
      <c r="T279" s="58" t="n">
        <f aca="false">SUMIFS(Variations!$H$6:$H$21,Variations!$B$6:$B$21,"CF-2604",Variations!$F$6:$F$21,"Approved",Variations!$G$6:$G$21,"&lt;="&amp;Assumptions!T$95)</f>
        <v>0</v>
      </c>
      <c r="U279" s="58" t="n">
        <f aca="false">SUMIFS(Variations!$H$6:$H$21,Variations!$B$6:$B$21,"CF-2604",Variations!$F$6:$F$21,"Approved",Variations!$G$6:$G$21,"&lt;="&amp;Assumptions!U$95)</f>
        <v>0</v>
      </c>
      <c r="V279" s="58" t="n">
        <f aca="false">SUMIFS(Variations!$H$6:$H$21,Variations!$B$6:$B$21,"CF-2604",Variations!$F$6:$F$21,"Approved",Variations!$G$6:$G$21,"&lt;="&amp;Assumptions!V$95)</f>
        <v>0</v>
      </c>
      <c r="W279" s="58" t="n">
        <f aca="false">SUMIFS(Variations!$H$6:$H$21,Variations!$B$6:$B$21,"CF-2604",Variations!$F$6:$F$21,"Approved",Variations!$G$6:$G$21,"&lt;="&amp;Assumptions!W$95)</f>
        <v>0</v>
      </c>
      <c r="X279" s="58" t="n">
        <f aca="false">SUMIFS(Variations!$H$6:$H$21,Variations!$B$6:$B$21,"CF-2604",Variations!$F$6:$F$21,"Approved",Variations!$G$6:$G$21,"&lt;="&amp;Assumptions!X$95)</f>
        <v>0</v>
      </c>
      <c r="Y279" s="58" t="n">
        <f aca="false">SUMIFS(Variations!$H$6:$H$21,Variations!$B$6:$B$21,"CF-2604",Variations!$F$6:$F$21,"Approved",Variations!$G$6:$G$21,"&lt;="&amp;Assumptions!Y$95)</f>
        <v>0</v>
      </c>
      <c r="Z279" s="58" t="n">
        <f aca="false">SUMIFS(Variations!$H$6:$H$21,Variations!$B$6:$B$21,"CF-2604",Variations!$F$6:$F$21,"Approved",Variations!$G$6:$G$21,"&lt;="&amp;Assumptions!Z$95)</f>
        <v>0</v>
      </c>
      <c r="AA279" s="58" t="n">
        <f aca="false">SUMIFS(Variations!$H$6:$H$21,Variations!$B$6:$B$21,"CF-2604",Variations!$F$6:$F$21,"Approved",Variations!$G$6:$G$21,"&lt;="&amp;Assumptions!AA$95)</f>
        <v>0</v>
      </c>
      <c r="AB279" s="58" t="n">
        <f aca="false">SUMIFS(Variations!$H$6:$H$21,Variations!$B$6:$B$21,"CF-2604",Variations!$F$6:$F$21,"Approved",Variations!$G$6:$G$21,"&lt;="&amp;Assumptions!AB$95)</f>
        <v>0</v>
      </c>
    </row>
    <row r="280" customFormat="false" ht="15" hidden="false" customHeight="false" outlineLevel="0" collapsed="false">
      <c r="A280" s="27" t="s">
        <v>737</v>
      </c>
      <c r="B280" s="56"/>
      <c r="C280" s="57" t="n">
        <f aca="false">P280</f>
        <v>0</v>
      </c>
      <c r="D280" s="57" t="n">
        <f aca="false">AB280</f>
        <v>0</v>
      </c>
      <c r="E280" s="58" t="n">
        <f aca="false">SUMIFS(Variations!$E$6:$E$21,Variations!$B$6:$B$21,"CF-2604",Variations!$D$6:$D$21,"&lt;="&amp;Assumptions!E$95,Variations!$G$6:$G$21,"&gt;"&amp;Assumptions!E$95)</f>
        <v>0</v>
      </c>
      <c r="F280" s="58" t="n">
        <f aca="false">SUMIFS(Variations!$E$6:$E$21,Variations!$B$6:$B$21,"CF-2604",Variations!$D$6:$D$21,"&lt;="&amp;Assumptions!F$95,Variations!$G$6:$G$21,"&gt;"&amp;Assumptions!F$95)</f>
        <v>0</v>
      </c>
      <c r="G280" s="58" t="n">
        <f aca="false">SUMIFS(Variations!$E$6:$E$21,Variations!$B$6:$B$21,"CF-2604",Variations!$D$6:$D$21,"&lt;="&amp;Assumptions!G$95,Variations!$G$6:$G$21,"&gt;"&amp;Assumptions!G$95)</f>
        <v>0</v>
      </c>
      <c r="H280" s="58" t="n">
        <f aca="false">SUMIFS(Variations!$E$6:$E$21,Variations!$B$6:$B$21,"CF-2604",Variations!$D$6:$D$21,"&lt;="&amp;Assumptions!H$95,Variations!$G$6:$G$21,"&gt;"&amp;Assumptions!H$95)</f>
        <v>0</v>
      </c>
      <c r="I280" s="58" t="n">
        <f aca="false">SUMIFS(Variations!$E$6:$E$21,Variations!$B$6:$B$21,"CF-2604",Variations!$D$6:$D$21,"&lt;="&amp;Assumptions!I$95,Variations!$G$6:$G$21,"&gt;"&amp;Assumptions!I$95)</f>
        <v>0</v>
      </c>
      <c r="J280" s="58" t="n">
        <f aca="false">SUMIFS(Variations!$E$6:$E$21,Variations!$B$6:$B$21,"CF-2604",Variations!$D$6:$D$21,"&lt;="&amp;Assumptions!J$95,Variations!$G$6:$G$21,"&gt;"&amp;Assumptions!J$95)</f>
        <v>0</v>
      </c>
      <c r="K280" s="58" t="n">
        <f aca="false">SUMIFS(Variations!$E$6:$E$21,Variations!$B$6:$B$21,"CF-2604",Variations!$D$6:$D$21,"&lt;="&amp;Assumptions!K$95,Variations!$G$6:$G$21,"&gt;"&amp;Assumptions!K$95)</f>
        <v>0</v>
      </c>
      <c r="L280" s="58" t="n">
        <f aca="false">SUMIFS(Variations!$E$6:$E$21,Variations!$B$6:$B$21,"CF-2604",Variations!$D$6:$D$21,"&lt;="&amp;Assumptions!L$95,Variations!$G$6:$G$21,"&gt;"&amp;Assumptions!L$95)</f>
        <v>0</v>
      </c>
      <c r="M280" s="58" t="n">
        <f aca="false">SUMIFS(Variations!$E$6:$E$21,Variations!$B$6:$B$21,"CF-2604",Variations!$D$6:$D$21,"&lt;="&amp;Assumptions!M$95,Variations!$G$6:$G$21,"&gt;"&amp;Assumptions!M$95)</f>
        <v>0</v>
      </c>
      <c r="N280" s="58" t="n">
        <f aca="false">SUMIFS(Variations!$E$6:$E$21,Variations!$B$6:$B$21,"CF-2604",Variations!$D$6:$D$21,"&lt;="&amp;Assumptions!N$95,Variations!$G$6:$G$21,"&gt;"&amp;Assumptions!N$95)</f>
        <v>0</v>
      </c>
      <c r="O280" s="58" t="n">
        <f aca="false">SUMIFS(Variations!$E$6:$E$21,Variations!$B$6:$B$21,"CF-2604",Variations!$D$6:$D$21,"&lt;="&amp;Assumptions!O$95,Variations!$G$6:$G$21,"&gt;"&amp;Assumptions!O$95)</f>
        <v>0</v>
      </c>
      <c r="P280" s="58" t="n">
        <f aca="false">SUMIFS(Variations!$E$6:$E$21,Variations!$B$6:$B$21,"CF-2604",Variations!$D$6:$D$21,"&lt;="&amp;Assumptions!P$95,Variations!$G$6:$G$21,"&gt;"&amp;Assumptions!P$95)</f>
        <v>0</v>
      </c>
      <c r="Q280" s="58" t="n">
        <f aca="false">SUMIFS(Variations!$E$6:$E$21,Variations!$B$6:$B$21,"CF-2604",Variations!$D$6:$D$21,"&lt;="&amp;Assumptions!Q$95,Variations!$G$6:$G$21,"&gt;"&amp;Assumptions!Q$95)</f>
        <v>0</v>
      </c>
      <c r="R280" s="58" t="n">
        <f aca="false">SUMIFS(Variations!$E$6:$E$21,Variations!$B$6:$B$21,"CF-2604",Variations!$D$6:$D$21,"&lt;="&amp;Assumptions!R$95,Variations!$G$6:$G$21,"&gt;"&amp;Assumptions!R$95)</f>
        <v>0</v>
      </c>
      <c r="S280" s="58" t="n">
        <f aca="false">SUMIFS(Variations!$E$6:$E$21,Variations!$B$6:$B$21,"CF-2604",Variations!$D$6:$D$21,"&lt;="&amp;Assumptions!S$95,Variations!$G$6:$G$21,"&gt;"&amp;Assumptions!S$95)</f>
        <v>0</v>
      </c>
      <c r="T280" s="58" t="n">
        <f aca="false">SUMIFS(Variations!$E$6:$E$21,Variations!$B$6:$B$21,"CF-2604",Variations!$D$6:$D$21,"&lt;="&amp;Assumptions!T$95,Variations!$G$6:$G$21,"&gt;"&amp;Assumptions!T$95)</f>
        <v>0</v>
      </c>
      <c r="U280" s="58" t="n">
        <f aca="false">SUMIFS(Variations!$E$6:$E$21,Variations!$B$6:$B$21,"CF-2604",Variations!$D$6:$D$21,"&lt;="&amp;Assumptions!U$95,Variations!$G$6:$G$21,"&gt;"&amp;Assumptions!U$95)</f>
        <v>0</v>
      </c>
      <c r="V280" s="58" t="n">
        <f aca="false">SUMIFS(Variations!$E$6:$E$21,Variations!$B$6:$B$21,"CF-2604",Variations!$D$6:$D$21,"&lt;="&amp;Assumptions!V$95,Variations!$G$6:$G$21,"&gt;"&amp;Assumptions!V$95)</f>
        <v>0</v>
      </c>
      <c r="W280" s="58" t="n">
        <f aca="false">SUMIFS(Variations!$E$6:$E$21,Variations!$B$6:$B$21,"CF-2604",Variations!$D$6:$D$21,"&lt;="&amp;Assumptions!W$95,Variations!$G$6:$G$21,"&gt;"&amp;Assumptions!W$95)</f>
        <v>0</v>
      </c>
      <c r="X280" s="58" t="n">
        <f aca="false">SUMIFS(Variations!$E$6:$E$21,Variations!$B$6:$B$21,"CF-2604",Variations!$D$6:$D$21,"&lt;="&amp;Assumptions!X$95,Variations!$G$6:$G$21,"&gt;"&amp;Assumptions!X$95)</f>
        <v>0</v>
      </c>
      <c r="Y280" s="58" t="n">
        <f aca="false">SUMIFS(Variations!$E$6:$E$21,Variations!$B$6:$B$21,"CF-2604",Variations!$D$6:$D$21,"&lt;="&amp;Assumptions!Y$95,Variations!$G$6:$G$21,"&gt;"&amp;Assumptions!Y$95)</f>
        <v>0</v>
      </c>
      <c r="Z280" s="58" t="n">
        <f aca="false">SUMIFS(Variations!$E$6:$E$21,Variations!$B$6:$B$21,"CF-2604",Variations!$D$6:$D$21,"&lt;="&amp;Assumptions!Z$95,Variations!$G$6:$G$21,"&gt;"&amp;Assumptions!Z$95)</f>
        <v>0</v>
      </c>
      <c r="AA280" s="58" t="n">
        <f aca="false">SUMIFS(Variations!$E$6:$E$21,Variations!$B$6:$B$21,"CF-2604",Variations!$D$6:$D$21,"&lt;="&amp;Assumptions!AA$95,Variations!$G$6:$G$21,"&gt;"&amp;Assumptions!AA$95)</f>
        <v>0</v>
      </c>
      <c r="AB280" s="58" t="n">
        <f aca="false">SUMIFS(Variations!$E$6:$E$21,Variations!$B$6:$B$21,"CF-2604",Variations!$D$6:$D$21,"&lt;="&amp;Assumptions!AB$95,Variations!$G$6:$G$21,"&gt;"&amp;Assumptions!AB$95)</f>
        <v>0</v>
      </c>
    </row>
    <row r="281" customFormat="false" ht="15" hidden="false" customHeight="false" outlineLevel="0" collapsed="false">
      <c r="A281" s="27" t="s">
        <v>738</v>
      </c>
      <c r="B281" s="56"/>
      <c r="C281" s="57" t="n">
        <f aca="false">P281</f>
        <v>0</v>
      </c>
      <c r="D281" s="57" t="n">
        <f aca="false">AB281</f>
        <v>0</v>
      </c>
      <c r="E281" s="58" t="n">
        <f aca="false">SUMIFS(Variations!$E$6:$E$21,Variations!$B$6:$B$21,"CF-2604",Variations!$F$6:$F$21,"Pending",Variations!$G$6:$G$21,"&lt;="&amp;Assumptions!E$95)</f>
        <v>0</v>
      </c>
      <c r="F281" s="58" t="n">
        <f aca="false">SUMIFS(Variations!$E$6:$E$21,Variations!$B$6:$B$21,"CF-2604",Variations!$F$6:$F$21,"Pending",Variations!$G$6:$G$21,"&lt;="&amp;Assumptions!F$95)</f>
        <v>0</v>
      </c>
      <c r="G281" s="58" t="n">
        <f aca="false">SUMIFS(Variations!$E$6:$E$21,Variations!$B$6:$B$21,"CF-2604",Variations!$F$6:$F$21,"Pending",Variations!$G$6:$G$21,"&lt;="&amp;Assumptions!G$95)</f>
        <v>0</v>
      </c>
      <c r="H281" s="58" t="n">
        <f aca="false">SUMIFS(Variations!$E$6:$E$21,Variations!$B$6:$B$21,"CF-2604",Variations!$F$6:$F$21,"Pending",Variations!$G$6:$G$21,"&lt;="&amp;Assumptions!H$95)</f>
        <v>0</v>
      </c>
      <c r="I281" s="58" t="n">
        <f aca="false">SUMIFS(Variations!$E$6:$E$21,Variations!$B$6:$B$21,"CF-2604",Variations!$F$6:$F$21,"Pending",Variations!$G$6:$G$21,"&lt;="&amp;Assumptions!I$95)</f>
        <v>0</v>
      </c>
      <c r="J281" s="58" t="n">
        <f aca="false">SUMIFS(Variations!$E$6:$E$21,Variations!$B$6:$B$21,"CF-2604",Variations!$F$6:$F$21,"Pending",Variations!$G$6:$G$21,"&lt;="&amp;Assumptions!J$95)</f>
        <v>0</v>
      </c>
      <c r="K281" s="58" t="n">
        <f aca="false">SUMIFS(Variations!$E$6:$E$21,Variations!$B$6:$B$21,"CF-2604",Variations!$F$6:$F$21,"Pending",Variations!$G$6:$G$21,"&lt;="&amp;Assumptions!K$95)</f>
        <v>0</v>
      </c>
      <c r="L281" s="58" t="n">
        <f aca="false">SUMIFS(Variations!$E$6:$E$21,Variations!$B$6:$B$21,"CF-2604",Variations!$F$6:$F$21,"Pending",Variations!$G$6:$G$21,"&lt;="&amp;Assumptions!L$95)</f>
        <v>0</v>
      </c>
      <c r="M281" s="58" t="n">
        <f aca="false">SUMIFS(Variations!$E$6:$E$21,Variations!$B$6:$B$21,"CF-2604",Variations!$F$6:$F$21,"Pending",Variations!$G$6:$G$21,"&lt;="&amp;Assumptions!M$95)</f>
        <v>0</v>
      </c>
      <c r="N281" s="58" t="n">
        <f aca="false">SUMIFS(Variations!$E$6:$E$21,Variations!$B$6:$B$21,"CF-2604",Variations!$F$6:$F$21,"Pending",Variations!$G$6:$G$21,"&lt;="&amp;Assumptions!N$95)</f>
        <v>0</v>
      </c>
      <c r="O281" s="58" t="n">
        <f aca="false">SUMIFS(Variations!$E$6:$E$21,Variations!$B$6:$B$21,"CF-2604",Variations!$F$6:$F$21,"Pending",Variations!$G$6:$G$21,"&lt;="&amp;Assumptions!O$95)</f>
        <v>0</v>
      </c>
      <c r="P281" s="58" t="n">
        <f aca="false">SUMIFS(Variations!$E$6:$E$21,Variations!$B$6:$B$21,"CF-2604",Variations!$F$6:$F$21,"Pending",Variations!$G$6:$G$21,"&lt;="&amp;Assumptions!P$95)</f>
        <v>0</v>
      </c>
      <c r="Q281" s="58" t="n">
        <f aca="false">SUMIFS(Variations!$E$6:$E$21,Variations!$B$6:$B$21,"CF-2604",Variations!$F$6:$F$21,"Pending",Variations!$G$6:$G$21,"&lt;="&amp;Assumptions!Q$95)</f>
        <v>0</v>
      </c>
      <c r="R281" s="58" t="n">
        <f aca="false">SUMIFS(Variations!$E$6:$E$21,Variations!$B$6:$B$21,"CF-2604",Variations!$F$6:$F$21,"Pending",Variations!$G$6:$G$21,"&lt;="&amp;Assumptions!R$95)</f>
        <v>0</v>
      </c>
      <c r="S281" s="58" t="n">
        <f aca="false">SUMIFS(Variations!$E$6:$E$21,Variations!$B$6:$B$21,"CF-2604",Variations!$F$6:$F$21,"Pending",Variations!$G$6:$G$21,"&lt;="&amp;Assumptions!S$95)</f>
        <v>0</v>
      </c>
      <c r="T281" s="58" t="n">
        <f aca="false">SUMIFS(Variations!$E$6:$E$21,Variations!$B$6:$B$21,"CF-2604",Variations!$F$6:$F$21,"Pending",Variations!$G$6:$G$21,"&lt;="&amp;Assumptions!T$95)</f>
        <v>0</v>
      </c>
      <c r="U281" s="58" t="n">
        <f aca="false">SUMIFS(Variations!$E$6:$E$21,Variations!$B$6:$B$21,"CF-2604",Variations!$F$6:$F$21,"Pending",Variations!$G$6:$G$21,"&lt;="&amp;Assumptions!U$95)</f>
        <v>0</v>
      </c>
      <c r="V281" s="58" t="n">
        <f aca="false">SUMIFS(Variations!$E$6:$E$21,Variations!$B$6:$B$21,"CF-2604",Variations!$F$6:$F$21,"Pending",Variations!$G$6:$G$21,"&lt;="&amp;Assumptions!V$95)</f>
        <v>0</v>
      </c>
      <c r="W281" s="58" t="n">
        <f aca="false">SUMIFS(Variations!$E$6:$E$21,Variations!$B$6:$B$21,"CF-2604",Variations!$F$6:$F$21,"Pending",Variations!$G$6:$G$21,"&lt;="&amp;Assumptions!W$95)</f>
        <v>0</v>
      </c>
      <c r="X281" s="58" t="n">
        <f aca="false">SUMIFS(Variations!$E$6:$E$21,Variations!$B$6:$B$21,"CF-2604",Variations!$F$6:$F$21,"Pending",Variations!$G$6:$G$21,"&lt;="&amp;Assumptions!X$95)</f>
        <v>0</v>
      </c>
      <c r="Y281" s="58" t="n">
        <f aca="false">SUMIFS(Variations!$E$6:$E$21,Variations!$B$6:$B$21,"CF-2604",Variations!$F$6:$F$21,"Pending",Variations!$G$6:$G$21,"&lt;="&amp;Assumptions!Y$95)</f>
        <v>0</v>
      </c>
      <c r="Z281" s="58" t="n">
        <f aca="false">SUMIFS(Variations!$E$6:$E$21,Variations!$B$6:$B$21,"CF-2604",Variations!$F$6:$F$21,"Pending",Variations!$G$6:$G$21,"&lt;="&amp;Assumptions!Z$95)</f>
        <v>0</v>
      </c>
      <c r="AA281" s="58" t="n">
        <f aca="false">SUMIFS(Variations!$E$6:$E$21,Variations!$B$6:$B$21,"CF-2604",Variations!$F$6:$F$21,"Pending",Variations!$G$6:$G$21,"&lt;="&amp;Assumptions!AA$95)</f>
        <v>0</v>
      </c>
      <c r="AB281" s="58" t="n">
        <f aca="false">SUMIFS(Variations!$E$6:$E$21,Variations!$B$6:$B$21,"CF-2604",Variations!$F$6:$F$21,"Pending",Variations!$G$6:$G$21,"&lt;="&amp;Assumptions!AB$95)</f>
        <v>0</v>
      </c>
    </row>
    <row r="282" customFormat="false" ht="15" hidden="false" customHeight="false" outlineLevel="0" collapsed="false">
      <c r="A282" s="27" t="s">
        <v>739</v>
      </c>
      <c r="B282" s="56" t="s">
        <v>740</v>
      </c>
      <c r="C282" s="57" t="n">
        <f aca="false">P282</f>
        <v>640000</v>
      </c>
      <c r="D282" s="57" t="n">
        <f aca="false">AB282</f>
        <v>640000</v>
      </c>
      <c r="E282" s="58" t="n">
        <f aca="false">Project_Register!$AO$13+E279+Assumptions!$C$74*E280+Assumptions!$F$121*E281</f>
        <v>640000</v>
      </c>
      <c r="F282" s="58" t="n">
        <f aca="false">Project_Register!$AO$13+F279+Assumptions!$C$74*F280+Assumptions!$F$121*F281</f>
        <v>640000</v>
      </c>
      <c r="G282" s="58" t="n">
        <f aca="false">Project_Register!$AO$13+G279+Assumptions!$C$74*G280+Assumptions!$F$121*G281</f>
        <v>640000</v>
      </c>
      <c r="H282" s="58" t="n">
        <f aca="false">Project_Register!$AO$13+H279+Assumptions!$C$74*H280+Assumptions!$F$121*H281</f>
        <v>640000</v>
      </c>
      <c r="I282" s="58" t="n">
        <f aca="false">Project_Register!$AO$13+I279+Assumptions!$C$74*I280+Assumptions!$F$121*I281</f>
        <v>640000</v>
      </c>
      <c r="J282" s="58" t="n">
        <f aca="false">Project_Register!$AO$13+J279+Assumptions!$C$74*J280+Assumptions!$F$121*J281</f>
        <v>640000</v>
      </c>
      <c r="K282" s="58" t="n">
        <f aca="false">Project_Register!$AO$13+K279+Assumptions!$C$74*K280+Assumptions!$F$121*K281</f>
        <v>640000</v>
      </c>
      <c r="L282" s="58" t="n">
        <f aca="false">Project_Register!$AO$13+L279+Assumptions!$C$74*L280+Assumptions!$F$121*L281</f>
        <v>640000</v>
      </c>
      <c r="M282" s="58" t="n">
        <f aca="false">Project_Register!$AO$13+M279+Assumptions!$C$74*M280+Assumptions!$F$121*M281</f>
        <v>640000</v>
      </c>
      <c r="N282" s="58" t="n">
        <f aca="false">Project_Register!$AO$13+N279+Assumptions!$C$74*N280+Assumptions!$F$121*N281</f>
        <v>640000</v>
      </c>
      <c r="O282" s="58" t="n">
        <f aca="false">Project_Register!$AO$13+O279+Assumptions!$C$74*O280+Assumptions!$F$121*O281</f>
        <v>640000</v>
      </c>
      <c r="P282" s="58" t="n">
        <f aca="false">Project_Register!$AO$13+P279+Assumptions!$C$74*P280+Assumptions!$F$121*P281</f>
        <v>640000</v>
      </c>
      <c r="Q282" s="58" t="n">
        <f aca="false">Project_Register!$AO$13+Q279+Assumptions!$C$74*Q280+Assumptions!$F$121*Q281</f>
        <v>640000</v>
      </c>
      <c r="R282" s="58" t="n">
        <f aca="false">Project_Register!$AO$13+R279+Assumptions!$C$74*R280+Assumptions!$F$121*R281</f>
        <v>640000</v>
      </c>
      <c r="S282" s="58" t="n">
        <f aca="false">Project_Register!$AO$13+S279+Assumptions!$C$74*S280+Assumptions!$F$121*S281</f>
        <v>640000</v>
      </c>
      <c r="T282" s="58" t="n">
        <f aca="false">Project_Register!$AO$13+T279+Assumptions!$C$74*T280+Assumptions!$F$121*T281</f>
        <v>640000</v>
      </c>
      <c r="U282" s="58" t="n">
        <f aca="false">Project_Register!$AO$13+U279+Assumptions!$C$74*U280+Assumptions!$F$121*U281</f>
        <v>640000</v>
      </c>
      <c r="V282" s="58" t="n">
        <f aca="false">Project_Register!$AO$13+V279+Assumptions!$C$74*V280+Assumptions!$F$121*V281</f>
        <v>640000</v>
      </c>
      <c r="W282" s="58" t="n">
        <f aca="false">Project_Register!$AO$13+W279+Assumptions!$C$74*W280+Assumptions!$F$121*W281</f>
        <v>640000</v>
      </c>
      <c r="X282" s="58" t="n">
        <f aca="false">Project_Register!$AO$13+X279+Assumptions!$C$74*X280+Assumptions!$F$121*X281</f>
        <v>640000</v>
      </c>
      <c r="Y282" s="58" t="n">
        <f aca="false">Project_Register!$AO$13+Y279+Assumptions!$C$74*Y280+Assumptions!$F$121*Y281</f>
        <v>640000</v>
      </c>
      <c r="Z282" s="58" t="n">
        <f aca="false">Project_Register!$AO$13+Z279+Assumptions!$C$74*Z280+Assumptions!$F$121*Z281</f>
        <v>640000</v>
      </c>
      <c r="AA282" s="58" t="n">
        <f aca="false">Project_Register!$AO$13+AA279+Assumptions!$C$74*AA280+Assumptions!$F$121*AA281</f>
        <v>640000</v>
      </c>
      <c r="AB282" s="58" t="n">
        <f aca="false">Project_Register!$AO$13+AB279+Assumptions!$C$74*AB280+Assumptions!$F$121*AB281</f>
        <v>640000</v>
      </c>
    </row>
    <row r="283" customFormat="false" ht="15" hidden="false" customHeight="false" outlineLevel="0" collapsed="false">
      <c r="A283" s="27" t="s">
        <v>741</v>
      </c>
      <c r="B283" s="56" t="s">
        <v>742</v>
      </c>
      <c r="C283" s="57" t="n">
        <f aca="false">P283</f>
        <v>320000</v>
      </c>
      <c r="D283" s="57" t="n">
        <f aca="false">AB283</f>
        <v>640000</v>
      </c>
      <c r="E283" s="58" t="n">
        <f aca="false">IF(E$5="A",Project_Register!$AD$13+0,E278*E282)</f>
        <v>0</v>
      </c>
      <c r="F283" s="70" t="n">
        <f aca="false">IF(F$5="A",E283+0,F278*F282)</f>
        <v>0</v>
      </c>
      <c r="G283" s="70" t="n">
        <f aca="false">IF(G$5="A",F283+0,G278*G282)</f>
        <v>0</v>
      </c>
      <c r="H283" s="70" t="n">
        <f aca="false">IF(H$5="A",G283+0,H278*H282)</f>
        <v>0</v>
      </c>
      <c r="I283" s="70" t="n">
        <f aca="false">IF(I$5="A",H283+0,I278*I282)</f>
        <v>0</v>
      </c>
      <c r="J283" s="70" t="n">
        <f aca="false">IF(J$5="A",I283+0,J278*J282)</f>
        <v>0</v>
      </c>
      <c r="K283" s="70" t="n">
        <f aca="false">IF(K$5="A",J283+0,K278*K282)</f>
        <v>0</v>
      </c>
      <c r="L283" s="70" t="n">
        <f aca="false">IF(L$5="A",K283+0,L278*L282)</f>
        <v>0</v>
      </c>
      <c r="M283" s="70" t="n">
        <f aca="false">IF(M$5="A",L283+0,M278*M282)</f>
        <v>0</v>
      </c>
      <c r="N283" s="70" t="n">
        <f aca="false">IF(N$5="A",M283+0,N278*N282)</f>
        <v>47407.4074074074</v>
      </c>
      <c r="O283" s="70" t="n">
        <f aca="false">IF(O$5="A",N283+0,O278*O282)</f>
        <v>165925.925925926</v>
      </c>
      <c r="P283" s="70" t="n">
        <f aca="false">IF(P$5="A",O283+0,P278*P282)</f>
        <v>320000</v>
      </c>
      <c r="Q283" s="70" t="n">
        <f aca="false">IF(Q$5="A",P283+0,Q278*Q282)</f>
        <v>474074.074074074</v>
      </c>
      <c r="R283" s="70" t="n">
        <f aca="false">IF(R$5="A",Q283+0,R278*R282)</f>
        <v>592592.592592593</v>
      </c>
      <c r="S283" s="70" t="n">
        <f aca="false">IF(S$5="A",R283+0,S278*S282)</f>
        <v>640000</v>
      </c>
      <c r="T283" s="70" t="n">
        <f aca="false">IF(T$5="A",S283+0,T278*T282)</f>
        <v>640000</v>
      </c>
      <c r="U283" s="70" t="n">
        <f aca="false">IF(U$5="A",T283+0,U278*U282)</f>
        <v>640000</v>
      </c>
      <c r="V283" s="70" t="n">
        <f aca="false">IF(V$5="A",U283+0,V278*V282)</f>
        <v>640000</v>
      </c>
      <c r="W283" s="70" t="n">
        <f aca="false">IF(W$5="A",V283+0,W278*W282)</f>
        <v>640000</v>
      </c>
      <c r="X283" s="70" t="n">
        <f aca="false">IF(X$5="A",W283+0,X278*X282)</f>
        <v>640000</v>
      </c>
      <c r="Y283" s="70" t="n">
        <f aca="false">IF(Y$5="A",X283+0,Y278*Y282)</f>
        <v>640000</v>
      </c>
      <c r="Z283" s="70" t="n">
        <f aca="false">IF(Z$5="A",Y283+0,Z278*Z282)</f>
        <v>640000</v>
      </c>
      <c r="AA283" s="70" t="n">
        <f aca="false">IF(AA$5="A",Z283+0,AA278*AA282)</f>
        <v>640000</v>
      </c>
      <c r="AB283" s="70" t="n">
        <f aca="false">IF(AB$5="A",AA283+0,AB278*AB282)</f>
        <v>640000</v>
      </c>
    </row>
    <row r="284" customFormat="false" ht="15" hidden="false" customHeight="false" outlineLevel="0" collapsed="false">
      <c r="A284" s="67" t="s">
        <v>743</v>
      </c>
      <c r="B284" s="68" t="s">
        <v>744</v>
      </c>
      <c r="C284" s="69" t="n">
        <f aca="false">SUM(E284:P284)</f>
        <v>320000</v>
      </c>
      <c r="D284" s="69" t="n">
        <f aca="false">SUM(Q284:AB284)</f>
        <v>320000</v>
      </c>
      <c r="E284" s="74" t="n">
        <f aca="false">E283-Project_Register!$AD$13</f>
        <v>0</v>
      </c>
      <c r="F284" s="69" t="n">
        <f aca="false">F283-E283</f>
        <v>0</v>
      </c>
      <c r="G284" s="69" t="n">
        <f aca="false">G283-F283</f>
        <v>0</v>
      </c>
      <c r="H284" s="69" t="n">
        <f aca="false">H283-G283</f>
        <v>0</v>
      </c>
      <c r="I284" s="69" t="n">
        <f aca="false">I283-H283</f>
        <v>0</v>
      </c>
      <c r="J284" s="69" t="n">
        <f aca="false">J283-I283</f>
        <v>0</v>
      </c>
      <c r="K284" s="69" t="n">
        <f aca="false">K283-J283</f>
        <v>0</v>
      </c>
      <c r="L284" s="69" t="n">
        <f aca="false">L283-K283</f>
        <v>0</v>
      </c>
      <c r="M284" s="69" t="n">
        <f aca="false">M283-L283</f>
        <v>0</v>
      </c>
      <c r="N284" s="69" t="n">
        <f aca="false">N283-M283</f>
        <v>47407.4074074074</v>
      </c>
      <c r="O284" s="69" t="n">
        <f aca="false">O283-N283</f>
        <v>118518.518518519</v>
      </c>
      <c r="P284" s="69" t="n">
        <f aca="false">P283-O283</f>
        <v>154074.074074074</v>
      </c>
      <c r="Q284" s="69" t="n">
        <f aca="false">Q283-P283</f>
        <v>154074.074074074</v>
      </c>
      <c r="R284" s="69" t="n">
        <f aca="false">R283-Q283</f>
        <v>118518.518518518</v>
      </c>
      <c r="S284" s="69" t="n">
        <f aca="false">S283-R283</f>
        <v>47407.4074074074</v>
      </c>
      <c r="T284" s="69" t="n">
        <f aca="false">T283-S283</f>
        <v>0</v>
      </c>
      <c r="U284" s="69" t="n">
        <f aca="false">U283-T283</f>
        <v>0</v>
      </c>
      <c r="V284" s="69" t="n">
        <f aca="false">V283-U283</f>
        <v>0</v>
      </c>
      <c r="W284" s="69" t="n">
        <f aca="false">W283-V283</f>
        <v>0</v>
      </c>
      <c r="X284" s="69" t="n">
        <f aca="false">X283-W283</f>
        <v>0</v>
      </c>
      <c r="Y284" s="69" t="n">
        <f aca="false">Y283-X283</f>
        <v>0</v>
      </c>
      <c r="Z284" s="69" t="n">
        <f aca="false">Z283-Y283</f>
        <v>0</v>
      </c>
      <c r="AA284" s="69" t="n">
        <f aca="false">AA283-Z283</f>
        <v>0</v>
      </c>
      <c r="AB284" s="69" t="n">
        <f aca="false">AB283-AA283</f>
        <v>0</v>
      </c>
    </row>
    <row r="285" customFormat="false" ht="15" hidden="false" customHeight="false" outlineLevel="0" collapsed="false">
      <c r="A285" s="27" t="s">
        <v>745</v>
      </c>
      <c r="B285" s="56" t="s">
        <v>746</v>
      </c>
      <c r="C285" s="57" t="n">
        <f aca="false">P285</f>
        <v>0</v>
      </c>
      <c r="D285" s="57" t="n">
        <f aca="false">AB285</f>
        <v>0</v>
      </c>
      <c r="E285" s="70" t="n">
        <f aca="false">MAX(0,E277-E282)*(1-E278)</f>
        <v>0</v>
      </c>
      <c r="F285" s="70" t="n">
        <f aca="false">MAX(0,F277-F282)*(1-F278)</f>
        <v>0</v>
      </c>
      <c r="G285" s="70" t="n">
        <f aca="false">MAX(0,G277-G282)*(1-G278)</f>
        <v>0</v>
      </c>
      <c r="H285" s="70" t="n">
        <f aca="false">MAX(0,H277-H282)*(1-H278)</f>
        <v>0</v>
      </c>
      <c r="I285" s="70" t="n">
        <f aca="false">MAX(0,I277-I282)*(1-I278)</f>
        <v>0</v>
      </c>
      <c r="J285" s="70" t="n">
        <f aca="false">MAX(0,J277-J282)*(1-J278)</f>
        <v>0</v>
      </c>
      <c r="K285" s="70" t="n">
        <f aca="false">MAX(0,K277-K282)*(1-K278)</f>
        <v>0</v>
      </c>
      <c r="L285" s="70" t="n">
        <f aca="false">MAX(0,L277-L282)*(1-L278)</f>
        <v>0</v>
      </c>
      <c r="M285" s="70" t="n">
        <f aca="false">MAX(0,M277-M282)*(1-M278)</f>
        <v>0</v>
      </c>
      <c r="N285" s="70" t="n">
        <f aca="false">MAX(0,N277-N282)*(1-N278)</f>
        <v>0</v>
      </c>
      <c r="O285" s="70" t="n">
        <f aca="false">MAX(0,O277-O282)*(1-O278)</f>
        <v>0</v>
      </c>
      <c r="P285" s="70" t="n">
        <f aca="false">MAX(0,P277-P282)*(1-P278)</f>
        <v>0</v>
      </c>
      <c r="Q285" s="70" t="n">
        <f aca="false">MAX(0,Q277-Q282)*(1-Q278)</f>
        <v>0</v>
      </c>
      <c r="R285" s="70" t="n">
        <f aca="false">MAX(0,R277-R282)*(1-R278)</f>
        <v>0</v>
      </c>
      <c r="S285" s="70" t="n">
        <f aca="false">MAX(0,S277-S282)*(1-S278)</f>
        <v>0</v>
      </c>
      <c r="T285" s="70" t="n">
        <f aca="false">MAX(0,T277-T282)*(1-T278)</f>
        <v>0</v>
      </c>
      <c r="U285" s="70" t="n">
        <f aca="false">MAX(0,U277-U282)*(1-U278)</f>
        <v>0</v>
      </c>
      <c r="V285" s="70" t="n">
        <f aca="false">MAX(0,V277-V282)*(1-V278)</f>
        <v>0</v>
      </c>
      <c r="W285" s="70" t="n">
        <f aca="false">MAX(0,W277-W282)*(1-W278)</f>
        <v>0</v>
      </c>
      <c r="X285" s="70" t="n">
        <f aca="false">MAX(0,X277-X282)*(1-X278)</f>
        <v>0</v>
      </c>
      <c r="Y285" s="70" t="n">
        <f aca="false">MAX(0,Y277-Y282)*(1-Y278)</f>
        <v>0</v>
      </c>
      <c r="Z285" s="70" t="n">
        <f aca="false">MAX(0,Z277-Z282)*(1-Z278)</f>
        <v>0</v>
      </c>
      <c r="AA285" s="70" t="n">
        <f aca="false">MAX(0,AA277-AA282)*(1-AA278)</f>
        <v>0</v>
      </c>
      <c r="AB285" s="70" t="n">
        <f aca="false">MAX(0,AB277-AB282)*(1-AB278)</f>
        <v>0</v>
      </c>
    </row>
    <row r="286" customFormat="false" ht="15" hidden="false" customHeight="false" outlineLevel="0" collapsed="false">
      <c r="A286" s="27" t="s">
        <v>747</v>
      </c>
      <c r="B286" s="56"/>
      <c r="C286" s="57" t="n">
        <f aca="false">SUM(E286:P286)</f>
        <v>0</v>
      </c>
      <c r="D286" s="57" t="n">
        <f aca="false">SUM(Q286:AB286)</f>
        <v>0</v>
      </c>
      <c r="E286" s="70" t="n">
        <f aca="false">-(E285-0)</f>
        <v>-0</v>
      </c>
      <c r="F286" s="70" t="n">
        <f aca="false">-(F285-E285)</f>
        <v>-0</v>
      </c>
      <c r="G286" s="70" t="n">
        <f aca="false">-(G285-F285)</f>
        <v>-0</v>
      </c>
      <c r="H286" s="70" t="n">
        <f aca="false">-(H285-G285)</f>
        <v>-0</v>
      </c>
      <c r="I286" s="70" t="n">
        <f aca="false">-(I285-H285)</f>
        <v>-0</v>
      </c>
      <c r="J286" s="70" t="n">
        <f aca="false">-(J285-I285)</f>
        <v>-0</v>
      </c>
      <c r="K286" s="70" t="n">
        <f aca="false">-(K285-J285)</f>
        <v>-0</v>
      </c>
      <c r="L286" s="70" t="n">
        <f aca="false">-(L285-K285)</f>
        <v>-0</v>
      </c>
      <c r="M286" s="70" t="n">
        <f aca="false">-(M285-L285)</f>
        <v>-0</v>
      </c>
      <c r="N286" s="70" t="n">
        <f aca="false">-(N285-M285)</f>
        <v>-0</v>
      </c>
      <c r="O286" s="70" t="n">
        <f aca="false">-(O285-N285)</f>
        <v>-0</v>
      </c>
      <c r="P286" s="70" t="n">
        <f aca="false">-(P285-O285)</f>
        <v>-0</v>
      </c>
      <c r="Q286" s="70" t="n">
        <f aca="false">-(Q285-P285)</f>
        <v>-0</v>
      </c>
      <c r="R286" s="70" t="n">
        <f aca="false">-(R285-Q285)</f>
        <v>-0</v>
      </c>
      <c r="S286" s="70" t="n">
        <f aca="false">-(S285-R285)</f>
        <v>-0</v>
      </c>
      <c r="T286" s="70" t="n">
        <f aca="false">-(T285-S285)</f>
        <v>-0</v>
      </c>
      <c r="U286" s="70" t="n">
        <f aca="false">-(U285-T285)</f>
        <v>-0</v>
      </c>
      <c r="V286" s="70" t="n">
        <f aca="false">-(V285-U285)</f>
        <v>-0</v>
      </c>
      <c r="W286" s="70" t="n">
        <f aca="false">-(W285-V285)</f>
        <v>-0</v>
      </c>
      <c r="X286" s="70" t="n">
        <f aca="false">-(X285-W285)</f>
        <v>-0</v>
      </c>
      <c r="Y286" s="70" t="n">
        <f aca="false">-(Y285-X285)</f>
        <v>-0</v>
      </c>
      <c r="Z286" s="70" t="n">
        <f aca="false">-(Z285-Y285)</f>
        <v>-0</v>
      </c>
      <c r="AA286" s="70" t="n">
        <f aca="false">-(AA285-Z285)</f>
        <v>-0</v>
      </c>
      <c r="AB286" s="70" t="n">
        <f aca="false">-(AB285-AA285)</f>
        <v>-0</v>
      </c>
    </row>
    <row r="287" customFormat="false" ht="15" hidden="false" customHeight="false" outlineLevel="0" collapsed="false">
      <c r="A287" s="67" t="s">
        <v>748</v>
      </c>
      <c r="B287" s="68" t="s">
        <v>749</v>
      </c>
      <c r="C287" s="69" t="n">
        <f aca="false">SUM(E287:P287)</f>
        <v>45500</v>
      </c>
      <c r="D287" s="69" t="n">
        <f aca="false">SUM(Q287:AB287)</f>
        <v>45500</v>
      </c>
      <c r="E287" s="69" t="n">
        <f aca="false">E284-E275+E286</f>
        <v>0</v>
      </c>
      <c r="F287" s="69" t="n">
        <f aca="false">F284-F275+F286</f>
        <v>0</v>
      </c>
      <c r="G287" s="69" t="n">
        <f aca="false">G284-G275+G286</f>
        <v>0</v>
      </c>
      <c r="H287" s="69" t="n">
        <f aca="false">H284-H275+H286</f>
        <v>0</v>
      </c>
      <c r="I287" s="69" t="n">
        <f aca="false">I284-I275+I286</f>
        <v>0</v>
      </c>
      <c r="J287" s="69" t="n">
        <f aca="false">J284-J275+J286</f>
        <v>0</v>
      </c>
      <c r="K287" s="69" t="n">
        <f aca="false">K284-K275+K286</f>
        <v>0</v>
      </c>
      <c r="L287" s="69" t="n">
        <f aca="false">L284-L275+L286</f>
        <v>0</v>
      </c>
      <c r="M287" s="69" t="n">
        <f aca="false">M284-M275+M286</f>
        <v>0</v>
      </c>
      <c r="N287" s="69" t="n">
        <f aca="false">N284-N275+N286</f>
        <v>6740.74074074074</v>
      </c>
      <c r="O287" s="69" t="n">
        <f aca="false">O284-O275+O286</f>
        <v>16851.8518518519</v>
      </c>
      <c r="P287" s="69" t="n">
        <f aca="false">P284-P275+P286</f>
        <v>21907.4074074074</v>
      </c>
      <c r="Q287" s="69" t="n">
        <f aca="false">Q284-Q275+Q286</f>
        <v>21907.4074074075</v>
      </c>
      <c r="R287" s="69" t="n">
        <f aca="false">R284-R275+R286</f>
        <v>16851.8518518518</v>
      </c>
      <c r="S287" s="69" t="n">
        <f aca="false">S284-S275+S286</f>
        <v>6740.74074074069</v>
      </c>
      <c r="T287" s="69" t="n">
        <f aca="false">T284-T275+T286</f>
        <v>0</v>
      </c>
      <c r="U287" s="69" t="n">
        <f aca="false">U284-U275+U286</f>
        <v>0</v>
      </c>
      <c r="V287" s="69" t="n">
        <f aca="false">V284-V275+V286</f>
        <v>0</v>
      </c>
      <c r="W287" s="69" t="n">
        <f aca="false">W284-W275+W286</f>
        <v>0</v>
      </c>
      <c r="X287" s="69" t="n">
        <f aca="false">X284-X275+X286</f>
        <v>0</v>
      </c>
      <c r="Y287" s="69" t="n">
        <f aca="false">Y284-Y275+Y286</f>
        <v>0</v>
      </c>
      <c r="Z287" s="69" t="n">
        <f aca="false">Z284-Z275+Z286</f>
        <v>0</v>
      </c>
      <c r="AA287" s="69" t="n">
        <f aca="false">AA284-AA275+AA286</f>
        <v>0</v>
      </c>
      <c r="AB287" s="69" t="n">
        <f aca="false">AB284-AB275+AB286</f>
        <v>0</v>
      </c>
    </row>
    <row r="288" customFormat="false" ht="15" hidden="false" customHeight="false" outlineLevel="0" collapsed="false">
      <c r="A288" s="27" t="s">
        <v>750</v>
      </c>
      <c r="B288" s="56"/>
      <c r="C288" s="57" t="n">
        <f aca="false">P288</f>
        <v>640000</v>
      </c>
      <c r="D288" s="57" t="n">
        <f aca="false">AB288</f>
        <v>640000</v>
      </c>
      <c r="E288" s="58" t="n">
        <f aca="false">Project_Register!$AO$13+E279+Assumptions!$F$121*E281</f>
        <v>640000</v>
      </c>
      <c r="F288" s="58" t="n">
        <f aca="false">Project_Register!$AO$13+F279+Assumptions!$F$121*F281</f>
        <v>640000</v>
      </c>
      <c r="G288" s="58" t="n">
        <f aca="false">Project_Register!$AO$13+G279+Assumptions!$F$121*G281</f>
        <v>640000</v>
      </c>
      <c r="H288" s="58" t="n">
        <f aca="false">Project_Register!$AO$13+H279+Assumptions!$F$121*H281</f>
        <v>640000</v>
      </c>
      <c r="I288" s="58" t="n">
        <f aca="false">Project_Register!$AO$13+I279+Assumptions!$F$121*I281</f>
        <v>640000</v>
      </c>
      <c r="J288" s="58" t="n">
        <f aca="false">Project_Register!$AO$13+J279+Assumptions!$F$121*J281</f>
        <v>640000</v>
      </c>
      <c r="K288" s="58" t="n">
        <f aca="false">Project_Register!$AO$13+K279+Assumptions!$F$121*K281</f>
        <v>640000</v>
      </c>
      <c r="L288" s="58" t="n">
        <f aca="false">Project_Register!$AO$13+L279+Assumptions!$F$121*L281</f>
        <v>640000</v>
      </c>
      <c r="M288" s="58" t="n">
        <f aca="false">Project_Register!$AO$13+M279+Assumptions!$F$121*M281</f>
        <v>640000</v>
      </c>
      <c r="N288" s="58" t="n">
        <f aca="false">Project_Register!$AO$13+N279+Assumptions!$F$121*N281</f>
        <v>640000</v>
      </c>
      <c r="O288" s="58" t="n">
        <f aca="false">Project_Register!$AO$13+O279+Assumptions!$F$121*O281</f>
        <v>640000</v>
      </c>
      <c r="P288" s="58" t="n">
        <f aca="false">Project_Register!$AO$13+P279+Assumptions!$F$121*P281</f>
        <v>640000</v>
      </c>
      <c r="Q288" s="58" t="n">
        <f aca="false">Project_Register!$AO$13+Q279+Assumptions!$F$121*Q281</f>
        <v>640000</v>
      </c>
      <c r="R288" s="58" t="n">
        <f aca="false">Project_Register!$AO$13+R279+Assumptions!$F$121*R281</f>
        <v>640000</v>
      </c>
      <c r="S288" s="58" t="n">
        <f aca="false">Project_Register!$AO$13+S279+Assumptions!$F$121*S281</f>
        <v>640000</v>
      </c>
      <c r="T288" s="58" t="n">
        <f aca="false">Project_Register!$AO$13+T279+Assumptions!$F$121*T281</f>
        <v>640000</v>
      </c>
      <c r="U288" s="58" t="n">
        <f aca="false">Project_Register!$AO$13+U279+Assumptions!$F$121*U281</f>
        <v>640000</v>
      </c>
      <c r="V288" s="58" t="n">
        <f aca="false">Project_Register!$AO$13+V279+Assumptions!$F$121*V281</f>
        <v>640000</v>
      </c>
      <c r="W288" s="58" t="n">
        <f aca="false">Project_Register!$AO$13+W279+Assumptions!$F$121*W281</f>
        <v>640000</v>
      </c>
      <c r="X288" s="58" t="n">
        <f aca="false">Project_Register!$AO$13+X279+Assumptions!$F$121*X281</f>
        <v>640000</v>
      </c>
      <c r="Y288" s="58" t="n">
        <f aca="false">Project_Register!$AO$13+Y279+Assumptions!$F$121*Y281</f>
        <v>640000</v>
      </c>
      <c r="Z288" s="58" t="n">
        <f aca="false">Project_Register!$AO$13+Z279+Assumptions!$F$121*Z281</f>
        <v>640000</v>
      </c>
      <c r="AA288" s="58" t="n">
        <f aca="false">Project_Register!$AO$13+AA279+Assumptions!$F$121*AA281</f>
        <v>640000</v>
      </c>
      <c r="AB288" s="58" t="n">
        <f aca="false">Project_Register!$AO$13+AB279+Assumptions!$F$121*AB281</f>
        <v>640000</v>
      </c>
    </row>
    <row r="289" customFormat="false" ht="15" hidden="false" customHeight="false" outlineLevel="0" collapsed="false">
      <c r="A289" s="27" t="s">
        <v>751</v>
      </c>
      <c r="B289" s="56" t="s">
        <v>752</v>
      </c>
      <c r="C289" s="57" t="n">
        <f aca="false">P289</f>
        <v>165925.925925926</v>
      </c>
      <c r="D289" s="57" t="n">
        <f aca="false">AB289</f>
        <v>640000</v>
      </c>
      <c r="E289" s="58" t="n">
        <f aca="false">IF(E$5="A",Project_Register!$AE$13+0,IF(Assumptions!E$96&gt;=Project_Register!$AM$13,E288,MIN(E288,MAX(Project_Register!$AE$13,0*E288))))</f>
        <v>0</v>
      </c>
      <c r="F289" s="58" t="n">
        <f aca="false">IF(F$5="A",E289+0,IF(Assumptions!F$96&gt;=Project_Register!$AM$13,F288,MIN(F288,MAX(E289,E278*F288))))</f>
        <v>0</v>
      </c>
      <c r="G289" s="58" t="n">
        <f aca="false">IF(G$5="A",F289+0,IF(Assumptions!G$96&gt;=Project_Register!$AM$13,G288,MIN(G288,MAX(F289,F278*G288))))</f>
        <v>0</v>
      </c>
      <c r="H289" s="58" t="n">
        <f aca="false">IF(H$5="A",G289+0,IF(Assumptions!H$96&gt;=Project_Register!$AM$13,H288,MIN(H288,MAX(G289,G278*H288))))</f>
        <v>0</v>
      </c>
      <c r="I289" s="58" t="n">
        <f aca="false">IF(I$5="A",H289+0,IF(Assumptions!I$96&gt;=Project_Register!$AM$13,I288,MIN(I288,MAX(H289,H278*I288))))</f>
        <v>0</v>
      </c>
      <c r="J289" s="58" t="n">
        <f aca="false">IF(J$5="A",I289+0,IF(Assumptions!J$96&gt;=Project_Register!$AM$13,J288,MIN(J288,MAX(I289,I278*J288))))</f>
        <v>0</v>
      </c>
      <c r="K289" s="58" t="n">
        <f aca="false">IF(K$5="A",J289+0,IF(Assumptions!K$96&gt;=Project_Register!$AM$13,K288,MIN(K288,MAX(J289,J278*K288))))</f>
        <v>0</v>
      </c>
      <c r="L289" s="58" t="n">
        <f aca="false">IF(L$5="A",K289+0,IF(Assumptions!L$96&gt;=Project_Register!$AM$13,L288,MIN(L288,MAX(K289,K278*L288))))</f>
        <v>0</v>
      </c>
      <c r="M289" s="58" t="n">
        <f aca="false">IF(M$5="A",L289+0,IF(Assumptions!M$96&gt;=Project_Register!$AM$13,M288,MIN(M288,MAX(L289,L278*M288))))</f>
        <v>0</v>
      </c>
      <c r="N289" s="58" t="n">
        <f aca="false">IF(N$5="A",M289+0,IF(Assumptions!N$96&gt;=Project_Register!$AM$13,N288,MIN(N288,MAX(M289,M278*N288))))</f>
        <v>0</v>
      </c>
      <c r="O289" s="58" t="n">
        <f aca="false">IF(O$5="A",N289+0,IF(Assumptions!O$96&gt;=Project_Register!$AM$13,O288,MIN(O288,MAX(N289,N278*O288))))</f>
        <v>47407.4074074074</v>
      </c>
      <c r="P289" s="58" t="n">
        <f aca="false">IF(P$5="A",O289+0,IF(Assumptions!P$96&gt;=Project_Register!$AM$13,P288,MIN(P288,MAX(O289,O278*P288))))</f>
        <v>165925.925925926</v>
      </c>
      <c r="Q289" s="58" t="n">
        <f aca="false">IF(Q$5="A",P289+0,IF(Assumptions!Q$96&gt;=Project_Register!$AM$13,Q288,MIN(Q288,MAX(P289,P278*Q288))))</f>
        <v>320000</v>
      </c>
      <c r="R289" s="58" t="n">
        <f aca="false">IF(R$5="A",Q289+0,IF(Assumptions!R$96&gt;=Project_Register!$AM$13,R288,MIN(R288,MAX(Q289,Q278*R288))))</f>
        <v>474074.074074074</v>
      </c>
      <c r="S289" s="58" t="n">
        <f aca="false">IF(S$5="A",R289+0,IF(Assumptions!S$96&gt;=Project_Register!$AM$13,S288,MIN(S288,MAX(R289,R278*S288))))</f>
        <v>592592.592592593</v>
      </c>
      <c r="T289" s="58" t="n">
        <f aca="false">IF(T$5="A",S289+0,IF(Assumptions!T$96&gt;=Project_Register!$AM$13,T288,MIN(T288,MAX(S289,S278*T288))))</f>
        <v>640000</v>
      </c>
      <c r="U289" s="58" t="n">
        <f aca="false">IF(U$5="A",T289+0,IF(Assumptions!U$96&gt;=Project_Register!$AM$13,U288,MIN(U288,MAX(T289,T278*U288))))</f>
        <v>640000</v>
      </c>
      <c r="V289" s="58" t="n">
        <f aca="false">IF(V$5="A",U289+0,IF(Assumptions!V$96&gt;=Project_Register!$AM$13,V288,MIN(V288,MAX(U289,U278*V288))))</f>
        <v>640000</v>
      </c>
      <c r="W289" s="58" t="n">
        <f aca="false">IF(W$5="A",V289+0,IF(Assumptions!W$96&gt;=Project_Register!$AM$13,W288,MIN(W288,MAX(V289,V278*W288))))</f>
        <v>640000</v>
      </c>
      <c r="X289" s="58" t="n">
        <f aca="false">IF(X$5="A",W289+0,IF(Assumptions!X$96&gt;=Project_Register!$AM$13,X288,MIN(X288,MAX(W289,W278*X288))))</f>
        <v>640000</v>
      </c>
      <c r="Y289" s="58" t="n">
        <f aca="false">IF(Y$5="A",X289+0,IF(Assumptions!Y$96&gt;=Project_Register!$AM$13,Y288,MIN(Y288,MAX(X289,X278*Y288))))</f>
        <v>640000</v>
      </c>
      <c r="Z289" s="58" t="n">
        <f aca="false">IF(Z$5="A",Y289+0,IF(Assumptions!Z$96&gt;=Project_Register!$AM$13,Z288,MIN(Z288,MAX(Y289,Y278*Z288))))</f>
        <v>640000</v>
      </c>
      <c r="AA289" s="58" t="n">
        <f aca="false">IF(AA$5="A",Z289+0,IF(Assumptions!AA$96&gt;=Project_Register!$AM$13,AA288,MIN(AA288,MAX(Z289,Z278*AA288))))</f>
        <v>640000</v>
      </c>
      <c r="AB289" s="58" t="n">
        <f aca="false">IF(AB$5="A",AA289+0,IF(Assumptions!AB$96&gt;=Project_Register!$AM$13,AB288,MIN(AB288,MAX(AA289,AA278*AB288))))</f>
        <v>640000</v>
      </c>
    </row>
    <row r="290" customFormat="false" ht="15" hidden="false" customHeight="false" outlineLevel="0" collapsed="false">
      <c r="A290" s="27" t="s">
        <v>753</v>
      </c>
      <c r="B290" s="56"/>
      <c r="C290" s="57" t="n">
        <f aca="false">SUM(E290:P290)</f>
        <v>165925.925925926</v>
      </c>
      <c r="D290" s="57" t="n">
        <f aca="false">SUM(Q290:AB290)</f>
        <v>474074.074074074</v>
      </c>
      <c r="E290" s="58" t="n">
        <f aca="false">E289-Project_Register!$AE$13</f>
        <v>0</v>
      </c>
      <c r="F290" s="70" t="n">
        <f aca="false">F289-E289</f>
        <v>0</v>
      </c>
      <c r="G290" s="70" t="n">
        <f aca="false">G289-F289</f>
        <v>0</v>
      </c>
      <c r="H290" s="70" t="n">
        <f aca="false">H289-G289</f>
        <v>0</v>
      </c>
      <c r="I290" s="70" t="n">
        <f aca="false">I289-H289</f>
        <v>0</v>
      </c>
      <c r="J290" s="70" t="n">
        <f aca="false">J289-I289</f>
        <v>0</v>
      </c>
      <c r="K290" s="70" t="n">
        <f aca="false">K289-J289</f>
        <v>0</v>
      </c>
      <c r="L290" s="70" t="n">
        <f aca="false">L289-K289</f>
        <v>0</v>
      </c>
      <c r="M290" s="70" t="n">
        <f aca="false">M289-L289</f>
        <v>0</v>
      </c>
      <c r="N290" s="70" t="n">
        <f aca="false">N289-M289</f>
        <v>0</v>
      </c>
      <c r="O290" s="70" t="n">
        <f aca="false">O289-N289</f>
        <v>47407.4074074074</v>
      </c>
      <c r="P290" s="70" t="n">
        <f aca="false">P289-O289</f>
        <v>118518.518518519</v>
      </c>
      <c r="Q290" s="70" t="n">
        <f aca="false">Q289-P289</f>
        <v>154074.074074074</v>
      </c>
      <c r="R290" s="70" t="n">
        <f aca="false">R289-Q289</f>
        <v>154074.074074074</v>
      </c>
      <c r="S290" s="70" t="n">
        <f aca="false">S289-R289</f>
        <v>118518.518518518</v>
      </c>
      <c r="T290" s="70" t="n">
        <f aca="false">T289-S289</f>
        <v>47407.4074074074</v>
      </c>
      <c r="U290" s="70" t="n">
        <f aca="false">U289-T289</f>
        <v>0</v>
      </c>
      <c r="V290" s="70" t="n">
        <f aca="false">V289-U289</f>
        <v>0</v>
      </c>
      <c r="W290" s="70" t="n">
        <f aca="false">W289-V289</f>
        <v>0</v>
      </c>
      <c r="X290" s="70" t="n">
        <f aca="false">X289-W289</f>
        <v>0</v>
      </c>
      <c r="Y290" s="70" t="n">
        <f aca="false">Y289-X289</f>
        <v>0</v>
      </c>
      <c r="Z290" s="70" t="n">
        <f aca="false">Z289-Y289</f>
        <v>0</v>
      </c>
      <c r="AA290" s="70" t="n">
        <f aca="false">AA289-Z289</f>
        <v>0</v>
      </c>
      <c r="AB290" s="70" t="n">
        <f aca="false">AB289-AA289</f>
        <v>0</v>
      </c>
    </row>
    <row r="291" customFormat="false" ht="15" hidden="false" customHeight="false" outlineLevel="0" collapsed="false">
      <c r="A291" s="27" t="s">
        <v>754</v>
      </c>
      <c r="B291" s="56" t="s">
        <v>755</v>
      </c>
      <c r="C291" s="57" t="n">
        <f aca="false">P291</f>
        <v>8296.2962962963</v>
      </c>
      <c r="D291" s="57" t="n">
        <f aca="false">AB291</f>
        <v>16000</v>
      </c>
      <c r="E291" s="58" t="n">
        <f aca="false">Project_Register!$Q$13*E289*(1-Project_Register!$R$13*(Assumptions!E$96&gt;=Project_Register!$AK$13+1)-(1-Project_Register!$R$13)*(Assumptions!E$96&gt;=Project_Register!$AN$13))</f>
        <v>0</v>
      </c>
      <c r="F291" s="58" t="n">
        <f aca="false">Project_Register!$Q$13*F289*(1-Project_Register!$R$13*(Assumptions!F$96&gt;=Project_Register!$AK$13+1)-(1-Project_Register!$R$13)*(Assumptions!F$96&gt;=Project_Register!$AN$13))</f>
        <v>0</v>
      </c>
      <c r="G291" s="58" t="n">
        <f aca="false">Project_Register!$Q$13*G289*(1-Project_Register!$R$13*(Assumptions!G$96&gt;=Project_Register!$AK$13+1)-(1-Project_Register!$R$13)*(Assumptions!G$96&gt;=Project_Register!$AN$13))</f>
        <v>0</v>
      </c>
      <c r="H291" s="58" t="n">
        <f aca="false">Project_Register!$Q$13*H289*(1-Project_Register!$R$13*(Assumptions!H$96&gt;=Project_Register!$AK$13+1)-(1-Project_Register!$R$13)*(Assumptions!H$96&gt;=Project_Register!$AN$13))</f>
        <v>0</v>
      </c>
      <c r="I291" s="58" t="n">
        <f aca="false">Project_Register!$Q$13*I289*(1-Project_Register!$R$13*(Assumptions!I$96&gt;=Project_Register!$AK$13+1)-(1-Project_Register!$R$13)*(Assumptions!I$96&gt;=Project_Register!$AN$13))</f>
        <v>0</v>
      </c>
      <c r="J291" s="58" t="n">
        <f aca="false">Project_Register!$Q$13*J289*(1-Project_Register!$R$13*(Assumptions!J$96&gt;=Project_Register!$AK$13+1)-(1-Project_Register!$R$13)*(Assumptions!J$96&gt;=Project_Register!$AN$13))</f>
        <v>0</v>
      </c>
      <c r="K291" s="58" t="n">
        <f aca="false">Project_Register!$Q$13*K289*(1-Project_Register!$R$13*(Assumptions!K$96&gt;=Project_Register!$AK$13+1)-(1-Project_Register!$R$13)*(Assumptions!K$96&gt;=Project_Register!$AN$13))</f>
        <v>0</v>
      </c>
      <c r="L291" s="58" t="n">
        <f aca="false">Project_Register!$Q$13*L289*(1-Project_Register!$R$13*(Assumptions!L$96&gt;=Project_Register!$AK$13+1)-(1-Project_Register!$R$13)*(Assumptions!L$96&gt;=Project_Register!$AN$13))</f>
        <v>0</v>
      </c>
      <c r="M291" s="58" t="n">
        <f aca="false">Project_Register!$Q$13*M289*(1-Project_Register!$R$13*(Assumptions!M$96&gt;=Project_Register!$AK$13+1)-(1-Project_Register!$R$13)*(Assumptions!M$96&gt;=Project_Register!$AN$13))</f>
        <v>0</v>
      </c>
      <c r="N291" s="58" t="n">
        <f aca="false">Project_Register!$Q$13*N289*(1-Project_Register!$R$13*(Assumptions!N$96&gt;=Project_Register!$AK$13+1)-(1-Project_Register!$R$13)*(Assumptions!N$96&gt;=Project_Register!$AN$13))</f>
        <v>0</v>
      </c>
      <c r="O291" s="58" t="n">
        <f aca="false">Project_Register!$Q$13*O289*(1-Project_Register!$R$13*(Assumptions!O$96&gt;=Project_Register!$AK$13+1)-(1-Project_Register!$R$13)*(Assumptions!O$96&gt;=Project_Register!$AN$13))</f>
        <v>2370.37037037037</v>
      </c>
      <c r="P291" s="58" t="n">
        <f aca="false">Project_Register!$Q$13*P289*(1-Project_Register!$R$13*(Assumptions!P$96&gt;=Project_Register!$AK$13+1)-(1-Project_Register!$R$13)*(Assumptions!P$96&gt;=Project_Register!$AN$13))</f>
        <v>8296.2962962963</v>
      </c>
      <c r="Q291" s="58" t="n">
        <f aca="false">Project_Register!$Q$13*Q289*(1-Project_Register!$R$13*(Assumptions!Q$96&gt;=Project_Register!$AK$13+1)-(1-Project_Register!$R$13)*(Assumptions!Q$96&gt;=Project_Register!$AN$13))</f>
        <v>16000</v>
      </c>
      <c r="R291" s="58" t="n">
        <f aca="false">Project_Register!$Q$13*R289*(1-Project_Register!$R$13*(Assumptions!R$96&gt;=Project_Register!$AK$13+1)-(1-Project_Register!$R$13)*(Assumptions!R$96&gt;=Project_Register!$AN$13))</f>
        <v>23703.7037037037</v>
      </c>
      <c r="S291" s="58" t="n">
        <f aca="false">Project_Register!$Q$13*S289*(1-Project_Register!$R$13*(Assumptions!S$96&gt;=Project_Register!$AK$13+1)-(1-Project_Register!$R$13)*(Assumptions!S$96&gt;=Project_Register!$AN$13))</f>
        <v>29629.6296296296</v>
      </c>
      <c r="T291" s="58" t="n">
        <f aca="false">Project_Register!$Q$13*T289*(1-Project_Register!$R$13*(Assumptions!T$96&gt;=Project_Register!$AK$13+1)-(1-Project_Register!$R$13)*(Assumptions!T$96&gt;=Project_Register!$AN$13))</f>
        <v>16000</v>
      </c>
      <c r="U291" s="58" t="n">
        <f aca="false">Project_Register!$Q$13*U289*(1-Project_Register!$R$13*(Assumptions!U$96&gt;=Project_Register!$AK$13+1)-(1-Project_Register!$R$13)*(Assumptions!U$96&gt;=Project_Register!$AN$13))</f>
        <v>16000</v>
      </c>
      <c r="V291" s="58" t="n">
        <f aca="false">Project_Register!$Q$13*V289*(1-Project_Register!$R$13*(Assumptions!V$96&gt;=Project_Register!$AK$13+1)-(1-Project_Register!$R$13)*(Assumptions!V$96&gt;=Project_Register!$AN$13))</f>
        <v>16000</v>
      </c>
      <c r="W291" s="58" t="n">
        <f aca="false">Project_Register!$Q$13*W289*(1-Project_Register!$R$13*(Assumptions!W$96&gt;=Project_Register!$AK$13+1)-(1-Project_Register!$R$13)*(Assumptions!W$96&gt;=Project_Register!$AN$13))</f>
        <v>16000</v>
      </c>
      <c r="X291" s="58" t="n">
        <f aca="false">Project_Register!$Q$13*X289*(1-Project_Register!$R$13*(Assumptions!X$96&gt;=Project_Register!$AK$13+1)-(1-Project_Register!$R$13)*(Assumptions!X$96&gt;=Project_Register!$AN$13))</f>
        <v>16000</v>
      </c>
      <c r="Y291" s="58" t="n">
        <f aca="false">Project_Register!$Q$13*Y289*(1-Project_Register!$R$13*(Assumptions!Y$96&gt;=Project_Register!$AK$13+1)-(1-Project_Register!$R$13)*(Assumptions!Y$96&gt;=Project_Register!$AN$13))</f>
        <v>16000</v>
      </c>
      <c r="Z291" s="58" t="n">
        <f aca="false">Project_Register!$Q$13*Z289*(1-Project_Register!$R$13*(Assumptions!Z$96&gt;=Project_Register!$AK$13+1)-(1-Project_Register!$R$13)*(Assumptions!Z$96&gt;=Project_Register!$AN$13))</f>
        <v>16000</v>
      </c>
      <c r="AA291" s="58" t="n">
        <f aca="false">Project_Register!$Q$13*AA289*(1-Project_Register!$R$13*(Assumptions!AA$96&gt;=Project_Register!$AK$13+1)-(1-Project_Register!$R$13)*(Assumptions!AA$96&gt;=Project_Register!$AN$13))</f>
        <v>16000</v>
      </c>
      <c r="AB291" s="58" t="n">
        <f aca="false">Project_Register!$Q$13*AB289*(1-Project_Register!$R$13*(Assumptions!AB$96&gt;=Project_Register!$AK$13+1)-(1-Project_Register!$R$13)*(Assumptions!AB$96&gt;=Project_Register!$AN$13))</f>
        <v>16000</v>
      </c>
    </row>
    <row r="292" customFormat="false" ht="15" hidden="false" customHeight="false" outlineLevel="0" collapsed="false">
      <c r="A292" s="27" t="s">
        <v>756</v>
      </c>
      <c r="B292" s="56"/>
      <c r="C292" s="57" t="n">
        <f aca="false">SUM(E292:P292)</f>
        <v>8296.2962962963</v>
      </c>
      <c r="D292" s="57" t="n">
        <f aca="false">SUM(Q292:AB292)</f>
        <v>7703.7037037037</v>
      </c>
      <c r="E292" s="58" t="n">
        <f aca="false">E291-Project_Register!$AW$13</f>
        <v>0</v>
      </c>
      <c r="F292" s="70" t="n">
        <f aca="false">F291-E291</f>
        <v>0</v>
      </c>
      <c r="G292" s="70" t="n">
        <f aca="false">G291-F291</f>
        <v>0</v>
      </c>
      <c r="H292" s="70" t="n">
        <f aca="false">H291-G291</f>
        <v>0</v>
      </c>
      <c r="I292" s="70" t="n">
        <f aca="false">I291-H291</f>
        <v>0</v>
      </c>
      <c r="J292" s="70" t="n">
        <f aca="false">J291-I291</f>
        <v>0</v>
      </c>
      <c r="K292" s="70" t="n">
        <f aca="false">K291-J291</f>
        <v>0</v>
      </c>
      <c r="L292" s="70" t="n">
        <f aca="false">L291-K291</f>
        <v>0</v>
      </c>
      <c r="M292" s="70" t="n">
        <f aca="false">M291-L291</f>
        <v>0</v>
      </c>
      <c r="N292" s="70" t="n">
        <f aca="false">N291-M291</f>
        <v>0</v>
      </c>
      <c r="O292" s="70" t="n">
        <f aca="false">O291-N291</f>
        <v>2370.37037037037</v>
      </c>
      <c r="P292" s="70" t="n">
        <f aca="false">P291-O291</f>
        <v>5925.92592592593</v>
      </c>
      <c r="Q292" s="70" t="n">
        <f aca="false">Q291-P291</f>
        <v>7703.7037037037</v>
      </c>
      <c r="R292" s="70" t="n">
        <f aca="false">R291-Q291</f>
        <v>7703.70370370371</v>
      </c>
      <c r="S292" s="70" t="n">
        <f aca="false">S291-R291</f>
        <v>5925.92592592592</v>
      </c>
      <c r="T292" s="70" t="n">
        <f aca="false">T291-S291</f>
        <v>-13629.6296296296</v>
      </c>
      <c r="U292" s="70" t="n">
        <f aca="false">U291-T291</f>
        <v>0</v>
      </c>
      <c r="V292" s="70" t="n">
        <f aca="false">V291-U291</f>
        <v>0</v>
      </c>
      <c r="W292" s="70" t="n">
        <f aca="false">W291-V291</f>
        <v>0</v>
      </c>
      <c r="X292" s="70" t="n">
        <f aca="false">X291-W291</f>
        <v>0</v>
      </c>
      <c r="Y292" s="70" t="n">
        <f aca="false">Y291-X291</f>
        <v>0</v>
      </c>
      <c r="Z292" s="70" t="n">
        <f aca="false">Z291-Y291</f>
        <v>0</v>
      </c>
      <c r="AA292" s="70" t="n">
        <f aca="false">AA291-Z291</f>
        <v>0</v>
      </c>
      <c r="AB292" s="70" t="n">
        <f aca="false">AB291-AA291</f>
        <v>0</v>
      </c>
    </row>
    <row r="293" customFormat="false" ht="15" hidden="false" customHeight="false" outlineLevel="0" collapsed="false">
      <c r="A293" s="27" t="s">
        <v>757</v>
      </c>
      <c r="B293" s="56"/>
      <c r="C293" s="57" t="n">
        <f aca="false">SUM(E293:P293)</f>
        <v>157629.62962963</v>
      </c>
      <c r="D293" s="57" t="n">
        <f aca="false">SUM(Q293:AB293)</f>
        <v>466370.37037037</v>
      </c>
      <c r="E293" s="70" t="n">
        <f aca="false">E290-E292</f>
        <v>0</v>
      </c>
      <c r="F293" s="70" t="n">
        <f aca="false">F290-F292</f>
        <v>0</v>
      </c>
      <c r="G293" s="70" t="n">
        <f aca="false">G290-G292</f>
        <v>0</v>
      </c>
      <c r="H293" s="70" t="n">
        <f aca="false">H290-H292</f>
        <v>0</v>
      </c>
      <c r="I293" s="70" t="n">
        <f aca="false">I290-I292</f>
        <v>0</v>
      </c>
      <c r="J293" s="70" t="n">
        <f aca="false">J290-J292</f>
        <v>0</v>
      </c>
      <c r="K293" s="70" t="n">
        <f aca="false">K290-K292</f>
        <v>0</v>
      </c>
      <c r="L293" s="70" t="n">
        <f aca="false">L290-L292</f>
        <v>0</v>
      </c>
      <c r="M293" s="70" t="n">
        <f aca="false">M290-M292</f>
        <v>0</v>
      </c>
      <c r="N293" s="70" t="n">
        <f aca="false">N290-N292</f>
        <v>0</v>
      </c>
      <c r="O293" s="70" t="n">
        <f aca="false">O290-O292</f>
        <v>45037.037037037</v>
      </c>
      <c r="P293" s="70" t="n">
        <f aca="false">P290-P292</f>
        <v>112592.592592593</v>
      </c>
      <c r="Q293" s="70" t="n">
        <f aca="false">Q290-Q292</f>
        <v>146370.37037037</v>
      </c>
      <c r="R293" s="70" t="n">
        <f aca="false">R290-R292</f>
        <v>146370.370370371</v>
      </c>
      <c r="S293" s="70" t="n">
        <f aca="false">S290-S292</f>
        <v>112592.592592592</v>
      </c>
      <c r="T293" s="70" t="n">
        <f aca="false">T290-T292</f>
        <v>61037.0370370371</v>
      </c>
      <c r="U293" s="70" t="n">
        <f aca="false">U290-U292</f>
        <v>0</v>
      </c>
      <c r="V293" s="70" t="n">
        <f aca="false">V290-V292</f>
        <v>0</v>
      </c>
      <c r="W293" s="70" t="n">
        <f aca="false">W290-W292</f>
        <v>0</v>
      </c>
      <c r="X293" s="70" t="n">
        <f aca="false">X290-X292</f>
        <v>0</v>
      </c>
      <c r="Y293" s="70" t="n">
        <f aca="false">Y290-Y292</f>
        <v>0</v>
      </c>
      <c r="Z293" s="70" t="n">
        <f aca="false">Z290-Z292</f>
        <v>0</v>
      </c>
      <c r="AA293" s="70" t="n">
        <f aca="false">AA290-AA292</f>
        <v>0</v>
      </c>
      <c r="AB293" s="70" t="n">
        <f aca="false">AB290-AB292</f>
        <v>0</v>
      </c>
    </row>
    <row r="294" customFormat="false" ht="15" hidden="false" customHeight="false" outlineLevel="0" collapsed="false">
      <c r="A294" s="27" t="s">
        <v>758</v>
      </c>
      <c r="B294" s="56" t="s">
        <v>759</v>
      </c>
      <c r="C294" s="57" t="n">
        <f aca="false">SUM(E294:P294)</f>
        <v>21280</v>
      </c>
      <c r="D294" s="57" t="n">
        <f aca="false">SUM(Q294:AB294)</f>
        <v>62960</v>
      </c>
      <c r="E294" s="58" t="n">
        <f aca="false">E293*Project_Register!$W$13</f>
        <v>0</v>
      </c>
      <c r="F294" s="58" t="n">
        <f aca="false">F293*Project_Register!$W$13</f>
        <v>0</v>
      </c>
      <c r="G294" s="58" t="n">
        <f aca="false">G293*Project_Register!$W$13</f>
        <v>0</v>
      </c>
      <c r="H294" s="58" t="n">
        <f aca="false">H293*Project_Register!$W$13</f>
        <v>0</v>
      </c>
      <c r="I294" s="58" t="n">
        <f aca="false">I293*Project_Register!$W$13</f>
        <v>0</v>
      </c>
      <c r="J294" s="58" t="n">
        <f aca="false">J293*Project_Register!$W$13</f>
        <v>0</v>
      </c>
      <c r="K294" s="58" t="n">
        <f aca="false">K293*Project_Register!$W$13</f>
        <v>0</v>
      </c>
      <c r="L294" s="58" t="n">
        <f aca="false">L293*Project_Register!$W$13</f>
        <v>0</v>
      </c>
      <c r="M294" s="58" t="n">
        <f aca="false">M293*Project_Register!$W$13</f>
        <v>0</v>
      </c>
      <c r="N294" s="58" t="n">
        <f aca="false">N293*Project_Register!$W$13</f>
        <v>0</v>
      </c>
      <c r="O294" s="58" t="n">
        <f aca="false">O293*Project_Register!$W$13</f>
        <v>6080</v>
      </c>
      <c r="P294" s="58" t="n">
        <f aca="false">P293*Project_Register!$W$13</f>
        <v>15200</v>
      </c>
      <c r="Q294" s="58" t="n">
        <f aca="false">Q293*Project_Register!$W$13</f>
        <v>19760</v>
      </c>
      <c r="R294" s="58" t="n">
        <f aca="false">R293*Project_Register!$W$13</f>
        <v>19760</v>
      </c>
      <c r="S294" s="58" t="n">
        <f aca="false">S293*Project_Register!$W$13</f>
        <v>15200</v>
      </c>
      <c r="T294" s="58" t="n">
        <f aca="false">T293*Project_Register!$W$13</f>
        <v>8240</v>
      </c>
      <c r="U294" s="58" t="n">
        <f aca="false">U293*Project_Register!$W$13</f>
        <v>0</v>
      </c>
      <c r="V294" s="58" t="n">
        <f aca="false">V293*Project_Register!$W$13</f>
        <v>0</v>
      </c>
      <c r="W294" s="58" t="n">
        <f aca="false">W293*Project_Register!$W$13</f>
        <v>0</v>
      </c>
      <c r="X294" s="58" t="n">
        <f aca="false">X293*Project_Register!$W$13</f>
        <v>0</v>
      </c>
      <c r="Y294" s="58" t="n">
        <f aca="false">Y293*Project_Register!$W$13</f>
        <v>0</v>
      </c>
      <c r="Z294" s="58" t="n">
        <f aca="false">Z293*Project_Register!$W$13</f>
        <v>0</v>
      </c>
      <c r="AA294" s="58" t="n">
        <f aca="false">AA293*Project_Register!$W$13</f>
        <v>0</v>
      </c>
      <c r="AB294" s="58" t="n">
        <f aca="false">AB293*Project_Register!$W$13</f>
        <v>0</v>
      </c>
    </row>
    <row r="295" customFormat="false" ht="15" hidden="false" customHeight="false" outlineLevel="0" collapsed="false">
      <c r="A295" s="27" t="s">
        <v>760</v>
      </c>
      <c r="B295" s="56"/>
      <c r="C295" s="57" t="n">
        <f aca="false">SUM(E295:P295)</f>
        <v>178909.62962963</v>
      </c>
      <c r="D295" s="57" t="n">
        <f aca="false">SUM(Q295:AB295)</f>
        <v>529330.37037037</v>
      </c>
      <c r="E295" s="70" t="n">
        <f aca="false">E293+E294</f>
        <v>0</v>
      </c>
      <c r="F295" s="70" t="n">
        <f aca="false">F293+F294</f>
        <v>0</v>
      </c>
      <c r="G295" s="70" t="n">
        <f aca="false">G293+G294</f>
        <v>0</v>
      </c>
      <c r="H295" s="70" t="n">
        <f aca="false">H293+H294</f>
        <v>0</v>
      </c>
      <c r="I295" s="70" t="n">
        <f aca="false">I293+I294</f>
        <v>0</v>
      </c>
      <c r="J295" s="70" t="n">
        <f aca="false">J293+J294</f>
        <v>0</v>
      </c>
      <c r="K295" s="70" t="n">
        <f aca="false">K293+K294</f>
        <v>0</v>
      </c>
      <c r="L295" s="70" t="n">
        <f aca="false">L293+L294</f>
        <v>0</v>
      </c>
      <c r="M295" s="70" t="n">
        <f aca="false">M293+M294</f>
        <v>0</v>
      </c>
      <c r="N295" s="70" t="n">
        <f aca="false">N293+N294</f>
        <v>0</v>
      </c>
      <c r="O295" s="70" t="n">
        <f aca="false">O293+O294</f>
        <v>51117.037037037</v>
      </c>
      <c r="P295" s="70" t="n">
        <f aca="false">P293+P294</f>
        <v>127792.592592593</v>
      </c>
      <c r="Q295" s="70" t="n">
        <f aca="false">Q293+Q294</f>
        <v>166130.37037037</v>
      </c>
      <c r="R295" s="70" t="n">
        <f aca="false">R293+R294</f>
        <v>166130.370370371</v>
      </c>
      <c r="S295" s="70" t="n">
        <f aca="false">S293+S294</f>
        <v>127792.592592592</v>
      </c>
      <c r="T295" s="70" t="n">
        <f aca="false">T293+T294</f>
        <v>69277.0370370371</v>
      </c>
      <c r="U295" s="70" t="n">
        <f aca="false">U293+U294</f>
        <v>0</v>
      </c>
      <c r="V295" s="70" t="n">
        <f aca="false">V293+V294</f>
        <v>0</v>
      </c>
      <c r="W295" s="70" t="n">
        <f aca="false">W293+W294</f>
        <v>0</v>
      </c>
      <c r="X295" s="70" t="n">
        <f aca="false">X293+X294</f>
        <v>0</v>
      </c>
      <c r="Y295" s="70" t="n">
        <f aca="false">Y293+Y294</f>
        <v>0</v>
      </c>
      <c r="Z295" s="70" t="n">
        <f aca="false">Z293+Z294</f>
        <v>0</v>
      </c>
      <c r="AA295" s="70" t="n">
        <f aca="false">AA293+AA294</f>
        <v>0</v>
      </c>
      <c r="AB295" s="70" t="n">
        <f aca="false">AB293+AB294</f>
        <v>0</v>
      </c>
    </row>
    <row r="296" customFormat="false" ht="15" hidden="false" customHeight="false" outlineLevel="0" collapsed="false">
      <c r="A296" s="27" t="s">
        <v>761</v>
      </c>
      <c r="B296" s="56" t="s">
        <v>762</v>
      </c>
      <c r="C296" s="57" t="n">
        <f aca="false">SUM(E296:P296)</f>
        <v>51117.037037037</v>
      </c>
      <c r="D296" s="57" t="n">
        <f aca="false">SUM(Q296:AB296)</f>
        <v>657122.962962963</v>
      </c>
      <c r="E296" s="58" t="n">
        <f aca="false">IF(E$5="A",0,Project_Register!$AF$13+E295-(E295*MIN(1,Project_Register!$AY$13/30)+0*MIN(1,MAX(0,(Project_Register!$AY$13-30)/30))))</f>
        <v>0</v>
      </c>
      <c r="F296" s="58" t="n">
        <f aca="false">IF(F$5="A",0,E297+F295-(F295*MIN(1,Project_Register!$AY$13/30)+E295*MIN(1,MAX(0,(Project_Register!$AY$13-30)/30))))</f>
        <v>0</v>
      </c>
      <c r="G296" s="58" t="n">
        <f aca="false">IF(G$5="A",0,F297+G295-(G295*MIN(1,Project_Register!$AY$13/30)+F295*MIN(1,MAX(0,(Project_Register!$AY$13-30)/30))))</f>
        <v>0</v>
      </c>
      <c r="H296" s="58" t="n">
        <f aca="false">IF(H$5="A",0,G297+H295-(H295*MIN(1,Project_Register!$AY$13/30)+G295*MIN(1,MAX(0,(Project_Register!$AY$13-30)/30))))</f>
        <v>0</v>
      </c>
      <c r="I296" s="58" t="n">
        <f aca="false">IF(I$5="A",0,H297+I295-(I295*MIN(1,Project_Register!$AY$13/30)+H295*MIN(1,MAX(0,(Project_Register!$AY$13-30)/30))))</f>
        <v>0</v>
      </c>
      <c r="J296" s="58" t="n">
        <f aca="false">IF(J$5="A",0,I297+J295-(J295*MIN(1,Project_Register!$AY$13/30)+I295*MIN(1,MAX(0,(Project_Register!$AY$13-30)/30))))</f>
        <v>0</v>
      </c>
      <c r="K296" s="58" t="n">
        <f aca="false">IF(K$5="A",0,J297+K295-(K295*MIN(1,Project_Register!$AY$13/30)+J295*MIN(1,MAX(0,(Project_Register!$AY$13-30)/30))))</f>
        <v>0</v>
      </c>
      <c r="L296" s="58" t="n">
        <f aca="false">IF(L$5="A",0,K297+L295-(L295*MIN(1,Project_Register!$AY$13/30)+K295*MIN(1,MAX(0,(Project_Register!$AY$13-30)/30))))</f>
        <v>0</v>
      </c>
      <c r="M296" s="58" t="n">
        <f aca="false">IF(M$5="A",0,L297+M295-(M295*MIN(1,Project_Register!$AY$13/30)+L295*MIN(1,MAX(0,(Project_Register!$AY$13-30)/30))))</f>
        <v>0</v>
      </c>
      <c r="N296" s="58" t="n">
        <f aca="false">IF(N$5="A",0,M297+N295-(N295*MIN(1,Project_Register!$AY$13/30)+M295*MIN(1,MAX(0,(Project_Register!$AY$13-30)/30))))</f>
        <v>0</v>
      </c>
      <c r="O296" s="58" t="n">
        <f aca="false">IF(O$5="A",0,N297+O295-(O295*MIN(1,Project_Register!$AY$13/30)+N295*MIN(1,MAX(0,(Project_Register!$AY$13-30)/30))))</f>
        <v>0</v>
      </c>
      <c r="P296" s="58" t="n">
        <f aca="false">IF(P$5="A",0,O297+P295-(P295*MIN(1,Project_Register!$AY$13/30)+O295*MIN(1,MAX(0,(Project_Register!$AY$13-30)/30))))</f>
        <v>51117.037037037</v>
      </c>
      <c r="Q296" s="58" t="n">
        <f aca="false">IF(Q$5="A",0,P297+Q295-(Q295*MIN(1,Project_Register!$AY$13/30)+P295*MIN(1,MAX(0,(Project_Register!$AY$13-30)/30))))</f>
        <v>127792.592592593</v>
      </c>
      <c r="R296" s="58" t="n">
        <f aca="false">IF(R$5="A",0,Q297+R295-(R295*MIN(1,Project_Register!$AY$13/30)+Q295*MIN(1,MAX(0,(Project_Register!$AY$13-30)/30))))</f>
        <v>166130.37037037</v>
      </c>
      <c r="S296" s="58" t="n">
        <f aca="false">IF(S$5="A",0,R297+S295-(S295*MIN(1,Project_Register!$AY$13/30)+R295*MIN(1,MAX(0,(Project_Register!$AY$13-30)/30))))</f>
        <v>166130.370370371</v>
      </c>
      <c r="T296" s="58" t="n">
        <f aca="false">IF(T$5="A",0,S297+T295-(T295*MIN(1,Project_Register!$AY$13/30)+S295*MIN(1,MAX(0,(Project_Register!$AY$13-30)/30))))</f>
        <v>127792.592592592</v>
      </c>
      <c r="U296" s="58" t="n">
        <f aca="false">IF(U$5="A",0,T297+U295-(U295*MIN(1,Project_Register!$AY$13/30)+T295*MIN(1,MAX(0,(Project_Register!$AY$13-30)/30))))</f>
        <v>69277.0370370371</v>
      </c>
      <c r="V296" s="58" t="n">
        <f aca="false">IF(V$5="A",0,U297+V295-(V295*MIN(1,Project_Register!$AY$13/30)+U295*MIN(1,MAX(0,(Project_Register!$AY$13-30)/30))))</f>
        <v>0</v>
      </c>
      <c r="W296" s="58" t="n">
        <f aca="false">IF(W$5="A",0,V297+W295-(W295*MIN(1,Project_Register!$AY$13/30)+V295*MIN(1,MAX(0,(Project_Register!$AY$13-30)/30))))</f>
        <v>0</v>
      </c>
      <c r="X296" s="58" t="n">
        <f aca="false">IF(X$5="A",0,W297+X295-(X295*MIN(1,Project_Register!$AY$13/30)+W295*MIN(1,MAX(0,(Project_Register!$AY$13-30)/30))))</f>
        <v>0</v>
      </c>
      <c r="Y296" s="58" t="n">
        <f aca="false">IF(Y$5="A",0,X297+Y295-(Y295*MIN(1,Project_Register!$AY$13/30)+X295*MIN(1,MAX(0,(Project_Register!$AY$13-30)/30))))</f>
        <v>0</v>
      </c>
      <c r="Z296" s="58" t="n">
        <f aca="false">IF(Z$5="A",0,Y297+Z295-(Z295*MIN(1,Project_Register!$AY$13/30)+Y295*MIN(1,MAX(0,(Project_Register!$AY$13-30)/30))))</f>
        <v>0</v>
      </c>
      <c r="AA296" s="58" t="n">
        <f aca="false">IF(AA$5="A",0,Z297+AA295-(AA295*MIN(1,Project_Register!$AY$13/30)+Z295*MIN(1,MAX(0,(Project_Register!$AY$13-30)/30))))</f>
        <v>0</v>
      </c>
      <c r="AB296" s="58" t="n">
        <f aca="false">IF(AB$5="A",0,AA297+AB295-(AB295*MIN(1,Project_Register!$AY$13/30)+AA295*MIN(1,MAX(0,(Project_Register!$AY$13-30)/30))))</f>
        <v>0</v>
      </c>
    </row>
    <row r="297" customFormat="false" ht="15" hidden="false" customHeight="false" outlineLevel="0" collapsed="false">
      <c r="A297" s="27" t="s">
        <v>763</v>
      </c>
      <c r="B297" s="56" t="s">
        <v>764</v>
      </c>
      <c r="C297" s="57" t="n">
        <f aca="false">P297</f>
        <v>127792.592592593</v>
      </c>
      <c r="D297" s="57" t="n">
        <f aca="false">AB297</f>
        <v>0</v>
      </c>
      <c r="E297" s="58" t="n">
        <f aca="false">Project_Register!$AF$13+E295-E296</f>
        <v>0</v>
      </c>
      <c r="F297" s="70" t="n">
        <f aca="false">E297+F295-F296</f>
        <v>0</v>
      </c>
      <c r="G297" s="70" t="n">
        <f aca="false">F297+G295-G296</f>
        <v>0</v>
      </c>
      <c r="H297" s="70" t="n">
        <f aca="false">G297+H295-H296</f>
        <v>0</v>
      </c>
      <c r="I297" s="70" t="n">
        <f aca="false">H297+I295-I296</f>
        <v>0</v>
      </c>
      <c r="J297" s="70" t="n">
        <f aca="false">I297+J295-J296</f>
        <v>0</v>
      </c>
      <c r="K297" s="70" t="n">
        <f aca="false">J297+K295-K296</f>
        <v>0</v>
      </c>
      <c r="L297" s="70" t="n">
        <f aca="false">K297+L295-L296</f>
        <v>0</v>
      </c>
      <c r="M297" s="70" t="n">
        <f aca="false">L297+M295-M296</f>
        <v>0</v>
      </c>
      <c r="N297" s="70" t="n">
        <f aca="false">M297+N295-N296</f>
        <v>0</v>
      </c>
      <c r="O297" s="70" t="n">
        <f aca="false">N297+O295-O296</f>
        <v>51117.037037037</v>
      </c>
      <c r="P297" s="70" t="n">
        <f aca="false">O297+P295-P296</f>
        <v>127792.592592593</v>
      </c>
      <c r="Q297" s="70" t="n">
        <f aca="false">P297+Q295-Q296</f>
        <v>166130.37037037</v>
      </c>
      <c r="R297" s="70" t="n">
        <f aca="false">Q297+R295-R296</f>
        <v>166130.370370371</v>
      </c>
      <c r="S297" s="70" t="n">
        <f aca="false">R297+S295-S296</f>
        <v>127792.592592592</v>
      </c>
      <c r="T297" s="70" t="n">
        <f aca="false">S297+T295-T296</f>
        <v>69277.0370370371</v>
      </c>
      <c r="U297" s="70" t="n">
        <f aca="false">T297+U295-U296</f>
        <v>0</v>
      </c>
      <c r="V297" s="70" t="n">
        <f aca="false">U297+V295-V296</f>
        <v>0</v>
      </c>
      <c r="W297" s="70" t="n">
        <f aca="false">V297+W295-W296</f>
        <v>0</v>
      </c>
      <c r="X297" s="70" t="n">
        <f aca="false">W297+X295-X296</f>
        <v>0</v>
      </c>
      <c r="Y297" s="70" t="n">
        <f aca="false">X297+Y295-Y296</f>
        <v>0</v>
      </c>
      <c r="Z297" s="70" t="n">
        <f aca="false">Y297+Z295-Z296</f>
        <v>0</v>
      </c>
      <c r="AA297" s="70" t="n">
        <f aca="false">Z297+AA295-AA296</f>
        <v>0</v>
      </c>
      <c r="AB297" s="70" t="n">
        <f aca="false">AA297+AB295-AB296</f>
        <v>0</v>
      </c>
    </row>
    <row r="298" customFormat="false" ht="15" hidden="false" customHeight="false" outlineLevel="0" collapsed="false">
      <c r="A298" s="27" t="s">
        <v>765</v>
      </c>
      <c r="B298" s="56" t="s">
        <v>766</v>
      </c>
      <c r="C298" s="57" t="n">
        <f aca="false">P298</f>
        <v>154074.074074074</v>
      </c>
      <c r="D298" s="57" t="n">
        <f aca="false">AB298</f>
        <v>0</v>
      </c>
      <c r="E298" s="70" t="n">
        <f aca="false">E283-E289</f>
        <v>0</v>
      </c>
      <c r="F298" s="70" t="n">
        <f aca="false">F283-F289</f>
        <v>0</v>
      </c>
      <c r="G298" s="70" t="n">
        <f aca="false">G283-G289</f>
        <v>0</v>
      </c>
      <c r="H298" s="70" t="n">
        <f aca="false">H283-H289</f>
        <v>0</v>
      </c>
      <c r="I298" s="70" t="n">
        <f aca="false">I283-I289</f>
        <v>0</v>
      </c>
      <c r="J298" s="70" t="n">
        <f aca="false">J283-J289</f>
        <v>0</v>
      </c>
      <c r="K298" s="70" t="n">
        <f aca="false">K283-K289</f>
        <v>0</v>
      </c>
      <c r="L298" s="70" t="n">
        <f aca="false">L283-L289</f>
        <v>0</v>
      </c>
      <c r="M298" s="70" t="n">
        <f aca="false">M283-M289</f>
        <v>0</v>
      </c>
      <c r="N298" s="70" t="n">
        <f aca="false">N283-N289</f>
        <v>47407.4074074074</v>
      </c>
      <c r="O298" s="70" t="n">
        <f aca="false">O283-O289</f>
        <v>118518.518518519</v>
      </c>
      <c r="P298" s="70" t="n">
        <f aca="false">P283-P289</f>
        <v>154074.074074074</v>
      </c>
      <c r="Q298" s="70" t="n">
        <f aca="false">Q283-Q289</f>
        <v>154074.074074074</v>
      </c>
      <c r="R298" s="70" t="n">
        <f aca="false">R283-R289</f>
        <v>118518.518518518</v>
      </c>
      <c r="S298" s="70" t="n">
        <f aca="false">S283-S289</f>
        <v>47407.4074074074</v>
      </c>
      <c r="T298" s="70" t="n">
        <f aca="false">T283-T289</f>
        <v>0</v>
      </c>
      <c r="U298" s="70" t="n">
        <f aca="false">U283-U289</f>
        <v>0</v>
      </c>
      <c r="V298" s="70" t="n">
        <f aca="false">V283-V289</f>
        <v>0</v>
      </c>
      <c r="W298" s="70" t="n">
        <f aca="false">W283-W289</f>
        <v>0</v>
      </c>
      <c r="X298" s="70" t="n">
        <f aca="false">X283-X289</f>
        <v>0</v>
      </c>
      <c r="Y298" s="70" t="n">
        <f aca="false">Y283-Y289</f>
        <v>0</v>
      </c>
      <c r="Z298" s="70" t="n">
        <f aca="false">Z283-Z289</f>
        <v>0</v>
      </c>
      <c r="AA298" s="70" t="n">
        <f aca="false">AA283-AA289</f>
        <v>0</v>
      </c>
      <c r="AB298" s="70" t="n">
        <f aca="false">AB283-AB289</f>
        <v>0</v>
      </c>
    </row>
    <row r="299" customFormat="false" ht="15" hidden="false" customHeight="false" outlineLevel="0" collapsed="false">
      <c r="A299" s="27" t="s">
        <v>767</v>
      </c>
      <c r="B299" s="56"/>
      <c r="C299" s="57" t="n">
        <f aca="false">P299</f>
        <v>154074.074074074</v>
      </c>
      <c r="D299" s="57" t="n">
        <f aca="false">AB299</f>
        <v>0</v>
      </c>
      <c r="E299" s="70" t="n">
        <f aca="false">MAX(0,E298)</f>
        <v>0</v>
      </c>
      <c r="F299" s="70" t="n">
        <f aca="false">MAX(0,F298)</f>
        <v>0</v>
      </c>
      <c r="G299" s="70" t="n">
        <f aca="false">MAX(0,G298)</f>
        <v>0</v>
      </c>
      <c r="H299" s="70" t="n">
        <f aca="false">MAX(0,H298)</f>
        <v>0</v>
      </c>
      <c r="I299" s="70" t="n">
        <f aca="false">MAX(0,I298)</f>
        <v>0</v>
      </c>
      <c r="J299" s="70" t="n">
        <f aca="false">MAX(0,J298)</f>
        <v>0</v>
      </c>
      <c r="K299" s="70" t="n">
        <f aca="false">MAX(0,K298)</f>
        <v>0</v>
      </c>
      <c r="L299" s="70" t="n">
        <f aca="false">MAX(0,L298)</f>
        <v>0</v>
      </c>
      <c r="M299" s="70" t="n">
        <f aca="false">MAX(0,M298)</f>
        <v>0</v>
      </c>
      <c r="N299" s="70" t="n">
        <f aca="false">MAX(0,N298)</f>
        <v>47407.4074074074</v>
      </c>
      <c r="O299" s="70" t="n">
        <f aca="false">MAX(0,O298)</f>
        <v>118518.518518519</v>
      </c>
      <c r="P299" s="70" t="n">
        <f aca="false">MAX(0,P298)</f>
        <v>154074.074074074</v>
      </c>
      <c r="Q299" s="70" t="n">
        <f aca="false">MAX(0,Q298)</f>
        <v>154074.074074074</v>
      </c>
      <c r="R299" s="70" t="n">
        <f aca="false">MAX(0,R298)</f>
        <v>118518.518518518</v>
      </c>
      <c r="S299" s="70" t="n">
        <f aca="false">MAX(0,S298)</f>
        <v>47407.4074074074</v>
      </c>
      <c r="T299" s="70" t="n">
        <f aca="false">MAX(0,T298)</f>
        <v>0</v>
      </c>
      <c r="U299" s="70" t="n">
        <f aca="false">MAX(0,U298)</f>
        <v>0</v>
      </c>
      <c r="V299" s="70" t="n">
        <f aca="false">MAX(0,V298)</f>
        <v>0</v>
      </c>
      <c r="W299" s="70" t="n">
        <f aca="false">MAX(0,W298)</f>
        <v>0</v>
      </c>
      <c r="X299" s="70" t="n">
        <f aca="false">MAX(0,X298)</f>
        <v>0</v>
      </c>
      <c r="Y299" s="70" t="n">
        <f aca="false">MAX(0,Y298)</f>
        <v>0</v>
      </c>
      <c r="Z299" s="70" t="n">
        <f aca="false">MAX(0,Z298)</f>
        <v>0</v>
      </c>
      <c r="AA299" s="70" t="n">
        <f aca="false">MAX(0,AA298)</f>
        <v>0</v>
      </c>
      <c r="AB299" s="70" t="n">
        <f aca="false">MAX(0,AB298)</f>
        <v>0</v>
      </c>
    </row>
    <row r="300" customFormat="false" ht="15" hidden="false" customHeight="false" outlineLevel="0" collapsed="false">
      <c r="A300" s="27" t="s">
        <v>768</v>
      </c>
      <c r="B300" s="56"/>
      <c r="C300" s="57" t="n">
        <f aca="false">P300</f>
        <v>0</v>
      </c>
      <c r="D300" s="57" t="n">
        <f aca="false">AB300</f>
        <v>-0</v>
      </c>
      <c r="E300" s="70" t="n">
        <f aca="false">MAX(0,-E298)</f>
        <v>-0</v>
      </c>
      <c r="F300" s="70" t="n">
        <f aca="false">MAX(0,-F298)</f>
        <v>-0</v>
      </c>
      <c r="G300" s="70" t="n">
        <f aca="false">MAX(0,-G298)</f>
        <v>-0</v>
      </c>
      <c r="H300" s="70" t="n">
        <f aca="false">MAX(0,-H298)</f>
        <v>-0</v>
      </c>
      <c r="I300" s="70" t="n">
        <f aca="false">MAX(0,-I298)</f>
        <v>-0</v>
      </c>
      <c r="J300" s="70" t="n">
        <f aca="false">MAX(0,-J298)</f>
        <v>-0</v>
      </c>
      <c r="K300" s="70" t="n">
        <f aca="false">MAX(0,-K298)</f>
        <v>-0</v>
      </c>
      <c r="L300" s="70" t="n">
        <f aca="false">MAX(0,-L298)</f>
        <v>-0</v>
      </c>
      <c r="M300" s="70" t="n">
        <f aca="false">MAX(0,-M298)</f>
        <v>-0</v>
      </c>
      <c r="N300" s="70" t="n">
        <f aca="false">MAX(0,-N298)</f>
        <v>0</v>
      </c>
      <c r="O300" s="70" t="n">
        <f aca="false">MAX(0,-O298)</f>
        <v>0</v>
      </c>
      <c r="P300" s="70" t="n">
        <f aca="false">MAX(0,-P298)</f>
        <v>0</v>
      </c>
      <c r="Q300" s="70" t="n">
        <f aca="false">MAX(0,-Q298)</f>
        <v>0</v>
      </c>
      <c r="R300" s="70" t="n">
        <f aca="false">MAX(0,-R298)</f>
        <v>0</v>
      </c>
      <c r="S300" s="70" t="n">
        <f aca="false">MAX(0,-S298)</f>
        <v>0</v>
      </c>
      <c r="T300" s="70" t="n">
        <f aca="false">MAX(0,-T298)</f>
        <v>-0</v>
      </c>
      <c r="U300" s="70" t="n">
        <f aca="false">MAX(0,-U298)</f>
        <v>-0</v>
      </c>
      <c r="V300" s="70" t="n">
        <f aca="false">MAX(0,-V298)</f>
        <v>-0</v>
      </c>
      <c r="W300" s="70" t="n">
        <f aca="false">MAX(0,-W298)</f>
        <v>-0</v>
      </c>
      <c r="X300" s="70" t="n">
        <f aca="false">MAX(0,-X298)</f>
        <v>-0</v>
      </c>
      <c r="Y300" s="70" t="n">
        <f aca="false">MAX(0,-Y298)</f>
        <v>-0</v>
      </c>
      <c r="Z300" s="70" t="n">
        <f aca="false">MAX(0,-Z298)</f>
        <v>-0</v>
      </c>
      <c r="AA300" s="70" t="n">
        <f aca="false">MAX(0,-AA298)</f>
        <v>-0</v>
      </c>
      <c r="AB300" s="70" t="n">
        <f aca="false">MAX(0,-AB298)</f>
        <v>-0</v>
      </c>
    </row>
    <row r="301" customFormat="false" ht="15" hidden="false" customHeight="false" outlineLevel="0" collapsed="false">
      <c r="A301" s="27" t="s">
        <v>769</v>
      </c>
      <c r="B301" s="56"/>
      <c r="C301" s="57" t="n">
        <f aca="false">P301</f>
        <v>137250</v>
      </c>
      <c r="D301" s="57" t="n">
        <f aca="false">AB301</f>
        <v>274500</v>
      </c>
      <c r="E301" s="58" t="n">
        <f aca="false">Project_Register!$AG$13+E271</f>
        <v>0</v>
      </c>
      <c r="F301" s="70" t="n">
        <f aca="false">E301+F271</f>
        <v>0</v>
      </c>
      <c r="G301" s="70" t="n">
        <f aca="false">F301+G271</f>
        <v>0</v>
      </c>
      <c r="H301" s="70" t="n">
        <f aca="false">G301+H271</f>
        <v>0</v>
      </c>
      <c r="I301" s="70" t="n">
        <f aca="false">H301+I271</f>
        <v>0</v>
      </c>
      <c r="J301" s="70" t="n">
        <f aca="false">I301+J271</f>
        <v>0</v>
      </c>
      <c r="K301" s="70" t="n">
        <f aca="false">J301+K271</f>
        <v>0</v>
      </c>
      <c r="L301" s="70" t="n">
        <f aca="false">K301+L271</f>
        <v>0</v>
      </c>
      <c r="M301" s="70" t="n">
        <f aca="false">L301+M271</f>
        <v>0</v>
      </c>
      <c r="N301" s="70" t="n">
        <f aca="false">M301+N271</f>
        <v>20333.3333333333</v>
      </c>
      <c r="O301" s="70" t="n">
        <f aca="false">N301+O271</f>
        <v>71166.6666666667</v>
      </c>
      <c r="P301" s="70" t="n">
        <f aca="false">O301+P271</f>
        <v>137250</v>
      </c>
      <c r="Q301" s="70" t="n">
        <f aca="false">P301+Q271</f>
        <v>203333.333333333</v>
      </c>
      <c r="R301" s="70" t="n">
        <f aca="false">Q301+R271</f>
        <v>254166.666666667</v>
      </c>
      <c r="S301" s="70" t="n">
        <f aca="false">R301+S271</f>
        <v>274500</v>
      </c>
      <c r="T301" s="70" t="n">
        <f aca="false">S301+T271</f>
        <v>274500</v>
      </c>
      <c r="U301" s="70" t="n">
        <f aca="false">T301+U271</f>
        <v>274500</v>
      </c>
      <c r="V301" s="70" t="n">
        <f aca="false">U301+V271</f>
        <v>274500</v>
      </c>
      <c r="W301" s="70" t="n">
        <f aca="false">V301+W271</f>
        <v>274500</v>
      </c>
      <c r="X301" s="70" t="n">
        <f aca="false">W301+X271</f>
        <v>274500</v>
      </c>
      <c r="Y301" s="70" t="n">
        <f aca="false">X301+Y271</f>
        <v>274500</v>
      </c>
      <c r="Z301" s="70" t="n">
        <f aca="false">Y301+Z271</f>
        <v>274500</v>
      </c>
      <c r="AA301" s="70" t="n">
        <f aca="false">Z301+AA271</f>
        <v>274500</v>
      </c>
      <c r="AB301" s="70" t="n">
        <f aca="false">AA301+AB271</f>
        <v>274500</v>
      </c>
    </row>
    <row r="302" customFormat="false" ht="15" hidden="false" customHeight="false" outlineLevel="0" collapsed="false">
      <c r="A302" s="27" t="s">
        <v>770</v>
      </c>
      <c r="B302" s="56"/>
      <c r="C302" s="57" t="n">
        <f aca="false">P302</f>
        <v>6862.5</v>
      </c>
      <c r="D302" s="57" t="n">
        <f aca="false">AB302</f>
        <v>6862.5</v>
      </c>
      <c r="E302" s="58" t="n">
        <f aca="false">Project_Register!$U$13*E301*(1-Project_Register!$R$13*(Assumptions!E$96&gt;=Project_Register!$AK$13+1)-(1-Project_Register!$R$13)*(Assumptions!E$96&gt;=Project_Register!$AN$13))</f>
        <v>0</v>
      </c>
      <c r="F302" s="58" t="n">
        <f aca="false">Project_Register!$U$13*F301*(1-Project_Register!$R$13*(Assumptions!F$96&gt;=Project_Register!$AK$13+1)-(1-Project_Register!$R$13)*(Assumptions!F$96&gt;=Project_Register!$AN$13))</f>
        <v>0</v>
      </c>
      <c r="G302" s="58" t="n">
        <f aca="false">Project_Register!$U$13*G301*(1-Project_Register!$R$13*(Assumptions!G$96&gt;=Project_Register!$AK$13+1)-(1-Project_Register!$R$13)*(Assumptions!G$96&gt;=Project_Register!$AN$13))</f>
        <v>0</v>
      </c>
      <c r="H302" s="58" t="n">
        <f aca="false">Project_Register!$U$13*H301*(1-Project_Register!$R$13*(Assumptions!H$96&gt;=Project_Register!$AK$13+1)-(1-Project_Register!$R$13)*(Assumptions!H$96&gt;=Project_Register!$AN$13))</f>
        <v>0</v>
      </c>
      <c r="I302" s="58" t="n">
        <f aca="false">Project_Register!$U$13*I301*(1-Project_Register!$R$13*(Assumptions!I$96&gt;=Project_Register!$AK$13+1)-(1-Project_Register!$R$13)*(Assumptions!I$96&gt;=Project_Register!$AN$13))</f>
        <v>0</v>
      </c>
      <c r="J302" s="58" t="n">
        <f aca="false">Project_Register!$U$13*J301*(1-Project_Register!$R$13*(Assumptions!J$96&gt;=Project_Register!$AK$13+1)-(1-Project_Register!$R$13)*(Assumptions!J$96&gt;=Project_Register!$AN$13))</f>
        <v>0</v>
      </c>
      <c r="K302" s="58" t="n">
        <f aca="false">Project_Register!$U$13*K301*(1-Project_Register!$R$13*(Assumptions!K$96&gt;=Project_Register!$AK$13+1)-(1-Project_Register!$R$13)*(Assumptions!K$96&gt;=Project_Register!$AN$13))</f>
        <v>0</v>
      </c>
      <c r="L302" s="58" t="n">
        <f aca="false">Project_Register!$U$13*L301*(1-Project_Register!$R$13*(Assumptions!L$96&gt;=Project_Register!$AK$13+1)-(1-Project_Register!$R$13)*(Assumptions!L$96&gt;=Project_Register!$AN$13))</f>
        <v>0</v>
      </c>
      <c r="M302" s="58" t="n">
        <f aca="false">Project_Register!$U$13*M301*(1-Project_Register!$R$13*(Assumptions!M$96&gt;=Project_Register!$AK$13+1)-(1-Project_Register!$R$13)*(Assumptions!M$96&gt;=Project_Register!$AN$13))</f>
        <v>0</v>
      </c>
      <c r="N302" s="58" t="n">
        <f aca="false">Project_Register!$U$13*N301*(1-Project_Register!$R$13*(Assumptions!N$96&gt;=Project_Register!$AK$13+1)-(1-Project_Register!$R$13)*(Assumptions!N$96&gt;=Project_Register!$AN$13))</f>
        <v>1016.66666666667</v>
      </c>
      <c r="O302" s="58" t="n">
        <f aca="false">Project_Register!$U$13*O301*(1-Project_Register!$R$13*(Assumptions!O$96&gt;=Project_Register!$AK$13+1)-(1-Project_Register!$R$13)*(Assumptions!O$96&gt;=Project_Register!$AN$13))</f>
        <v>3558.33333333333</v>
      </c>
      <c r="P302" s="58" t="n">
        <f aca="false">Project_Register!$U$13*P301*(1-Project_Register!$R$13*(Assumptions!P$96&gt;=Project_Register!$AK$13+1)-(1-Project_Register!$R$13)*(Assumptions!P$96&gt;=Project_Register!$AN$13))</f>
        <v>6862.5</v>
      </c>
      <c r="Q302" s="58" t="n">
        <f aca="false">Project_Register!$U$13*Q301*(1-Project_Register!$R$13*(Assumptions!Q$96&gt;=Project_Register!$AK$13+1)-(1-Project_Register!$R$13)*(Assumptions!Q$96&gt;=Project_Register!$AN$13))</f>
        <v>10166.6666666667</v>
      </c>
      <c r="R302" s="58" t="n">
        <f aca="false">Project_Register!$U$13*R301*(1-Project_Register!$R$13*(Assumptions!R$96&gt;=Project_Register!$AK$13+1)-(1-Project_Register!$R$13)*(Assumptions!R$96&gt;=Project_Register!$AN$13))</f>
        <v>12708.3333333333</v>
      </c>
      <c r="S302" s="58" t="n">
        <f aca="false">Project_Register!$U$13*S301*(1-Project_Register!$R$13*(Assumptions!S$96&gt;=Project_Register!$AK$13+1)-(1-Project_Register!$R$13)*(Assumptions!S$96&gt;=Project_Register!$AN$13))</f>
        <v>13725</v>
      </c>
      <c r="T302" s="58" t="n">
        <f aca="false">Project_Register!$U$13*T301*(1-Project_Register!$R$13*(Assumptions!T$96&gt;=Project_Register!$AK$13+1)-(1-Project_Register!$R$13)*(Assumptions!T$96&gt;=Project_Register!$AN$13))</f>
        <v>6862.5</v>
      </c>
      <c r="U302" s="58" t="n">
        <f aca="false">Project_Register!$U$13*U301*(1-Project_Register!$R$13*(Assumptions!U$96&gt;=Project_Register!$AK$13+1)-(1-Project_Register!$R$13)*(Assumptions!U$96&gt;=Project_Register!$AN$13))</f>
        <v>6862.5</v>
      </c>
      <c r="V302" s="58" t="n">
        <f aca="false">Project_Register!$U$13*V301*(1-Project_Register!$R$13*(Assumptions!V$96&gt;=Project_Register!$AK$13+1)-(1-Project_Register!$R$13)*(Assumptions!V$96&gt;=Project_Register!$AN$13))</f>
        <v>6862.5</v>
      </c>
      <c r="W302" s="58" t="n">
        <f aca="false">Project_Register!$U$13*W301*(1-Project_Register!$R$13*(Assumptions!W$96&gt;=Project_Register!$AK$13+1)-(1-Project_Register!$R$13)*(Assumptions!W$96&gt;=Project_Register!$AN$13))</f>
        <v>6862.5</v>
      </c>
      <c r="X302" s="58" t="n">
        <f aca="false">Project_Register!$U$13*X301*(1-Project_Register!$R$13*(Assumptions!X$96&gt;=Project_Register!$AK$13+1)-(1-Project_Register!$R$13)*(Assumptions!X$96&gt;=Project_Register!$AN$13))</f>
        <v>6862.5</v>
      </c>
      <c r="Y302" s="58" t="n">
        <f aca="false">Project_Register!$U$13*Y301*(1-Project_Register!$R$13*(Assumptions!Y$96&gt;=Project_Register!$AK$13+1)-(1-Project_Register!$R$13)*(Assumptions!Y$96&gt;=Project_Register!$AN$13))</f>
        <v>6862.5</v>
      </c>
      <c r="Z302" s="58" t="n">
        <f aca="false">Project_Register!$U$13*Z301*(1-Project_Register!$R$13*(Assumptions!Z$96&gt;=Project_Register!$AK$13+1)-(1-Project_Register!$R$13)*(Assumptions!Z$96&gt;=Project_Register!$AN$13))</f>
        <v>6862.5</v>
      </c>
      <c r="AA302" s="58" t="n">
        <f aca="false">Project_Register!$U$13*AA301*(1-Project_Register!$R$13*(Assumptions!AA$96&gt;=Project_Register!$AK$13+1)-(1-Project_Register!$R$13)*(Assumptions!AA$96&gt;=Project_Register!$AN$13))</f>
        <v>6862.5</v>
      </c>
      <c r="AB302" s="58" t="n">
        <f aca="false">Project_Register!$U$13*AB301*(1-Project_Register!$R$13*(Assumptions!AB$96&gt;=Project_Register!$AK$13+1)-(1-Project_Register!$R$13)*(Assumptions!AB$96&gt;=Project_Register!$AN$13))</f>
        <v>6862.5</v>
      </c>
    </row>
    <row r="303" customFormat="false" ht="15" hidden="false" customHeight="false" outlineLevel="0" collapsed="false">
      <c r="A303" s="27" t="s">
        <v>771</v>
      </c>
      <c r="B303" s="56"/>
      <c r="C303" s="57" t="n">
        <f aca="false">SUM(E303:P303)</f>
        <v>6862.5</v>
      </c>
      <c r="D303" s="57" t="n">
        <f aca="false">SUM(Q303:AB303)</f>
        <v>0</v>
      </c>
      <c r="E303" s="58" t="n">
        <f aca="false">E302-Project_Register!$AX$13</f>
        <v>0</v>
      </c>
      <c r="F303" s="70" t="n">
        <f aca="false">F302-E302</f>
        <v>0</v>
      </c>
      <c r="G303" s="70" t="n">
        <f aca="false">G302-F302</f>
        <v>0</v>
      </c>
      <c r="H303" s="70" t="n">
        <f aca="false">H302-G302</f>
        <v>0</v>
      </c>
      <c r="I303" s="70" t="n">
        <f aca="false">I302-H302</f>
        <v>0</v>
      </c>
      <c r="J303" s="70" t="n">
        <f aca="false">J302-I302</f>
        <v>0</v>
      </c>
      <c r="K303" s="70" t="n">
        <f aca="false">K302-J302</f>
        <v>0</v>
      </c>
      <c r="L303" s="70" t="n">
        <f aca="false">L302-K302</f>
        <v>0</v>
      </c>
      <c r="M303" s="70" t="n">
        <f aca="false">M302-L302</f>
        <v>0</v>
      </c>
      <c r="N303" s="70" t="n">
        <f aca="false">N302-M302</f>
        <v>1016.66666666667</v>
      </c>
      <c r="O303" s="70" t="n">
        <f aca="false">O302-N302</f>
        <v>2541.66666666667</v>
      </c>
      <c r="P303" s="70" t="n">
        <f aca="false">P302-O302</f>
        <v>3304.16666666667</v>
      </c>
      <c r="Q303" s="70" t="n">
        <f aca="false">Q302-P302</f>
        <v>3304.16666666667</v>
      </c>
      <c r="R303" s="70" t="n">
        <f aca="false">R302-Q302</f>
        <v>2541.66666666666</v>
      </c>
      <c r="S303" s="70" t="n">
        <f aca="false">S302-R302</f>
        <v>1016.66666666667</v>
      </c>
      <c r="T303" s="70" t="n">
        <f aca="false">T302-S302</f>
        <v>-6862.5</v>
      </c>
      <c r="U303" s="70" t="n">
        <f aca="false">U302-T302</f>
        <v>0</v>
      </c>
      <c r="V303" s="70" t="n">
        <f aca="false">V302-U302</f>
        <v>0</v>
      </c>
      <c r="W303" s="70" t="n">
        <f aca="false">W302-V302</f>
        <v>0</v>
      </c>
      <c r="X303" s="70" t="n">
        <f aca="false">X302-W302</f>
        <v>0</v>
      </c>
      <c r="Y303" s="70" t="n">
        <f aca="false">Y302-X302</f>
        <v>0</v>
      </c>
      <c r="Z303" s="70" t="n">
        <f aca="false">Z302-Y302</f>
        <v>0</v>
      </c>
      <c r="AA303" s="70" t="n">
        <f aca="false">AA302-Z302</f>
        <v>0</v>
      </c>
      <c r="AB303" s="70" t="n">
        <f aca="false">AB302-AA302</f>
        <v>0</v>
      </c>
    </row>
    <row r="304" customFormat="false" ht="15" hidden="false" customHeight="false" outlineLevel="0" collapsed="false">
      <c r="A304" s="27" t="s">
        <v>772</v>
      </c>
      <c r="B304" s="56" t="s">
        <v>773</v>
      </c>
      <c r="C304" s="57" t="n">
        <f aca="false">P304</f>
        <v>64000</v>
      </c>
      <c r="D304" s="57" t="n">
        <f aca="false">AB304</f>
        <v>0</v>
      </c>
      <c r="E304" s="58" t="n">
        <f aca="false">Project_Register!$V$13*Project_Register!$AO$13*(Assumptions!E$96&gt;=Project_Register!$AL$13)*(Assumptions!E$96&lt;=Project_Register!$AK$13)</f>
        <v>0</v>
      </c>
      <c r="F304" s="58" t="n">
        <f aca="false">Project_Register!$V$13*Project_Register!$AO$13*(Assumptions!F$96&gt;=Project_Register!$AL$13)*(Assumptions!F$96&lt;=Project_Register!$AK$13)</f>
        <v>0</v>
      </c>
      <c r="G304" s="58" t="n">
        <f aca="false">Project_Register!$V$13*Project_Register!$AO$13*(Assumptions!G$96&gt;=Project_Register!$AL$13)*(Assumptions!G$96&lt;=Project_Register!$AK$13)</f>
        <v>0</v>
      </c>
      <c r="H304" s="58" t="n">
        <f aca="false">Project_Register!$V$13*Project_Register!$AO$13*(Assumptions!H$96&gt;=Project_Register!$AL$13)*(Assumptions!H$96&lt;=Project_Register!$AK$13)</f>
        <v>0</v>
      </c>
      <c r="I304" s="58" t="n">
        <f aca="false">Project_Register!$V$13*Project_Register!$AO$13*(Assumptions!I$96&gt;=Project_Register!$AL$13)*(Assumptions!I$96&lt;=Project_Register!$AK$13)</f>
        <v>0</v>
      </c>
      <c r="J304" s="58" t="n">
        <f aca="false">Project_Register!$V$13*Project_Register!$AO$13*(Assumptions!J$96&gt;=Project_Register!$AL$13)*(Assumptions!J$96&lt;=Project_Register!$AK$13)</f>
        <v>0</v>
      </c>
      <c r="K304" s="58" t="n">
        <f aca="false">Project_Register!$V$13*Project_Register!$AO$13*(Assumptions!K$96&gt;=Project_Register!$AL$13)*(Assumptions!K$96&lt;=Project_Register!$AK$13)</f>
        <v>0</v>
      </c>
      <c r="L304" s="58" t="n">
        <f aca="false">Project_Register!$V$13*Project_Register!$AO$13*(Assumptions!L$96&gt;=Project_Register!$AL$13)*(Assumptions!L$96&lt;=Project_Register!$AK$13)</f>
        <v>64000</v>
      </c>
      <c r="M304" s="58" t="n">
        <f aca="false">Project_Register!$V$13*Project_Register!$AO$13*(Assumptions!M$96&gt;=Project_Register!$AL$13)*(Assumptions!M$96&lt;=Project_Register!$AK$13)</f>
        <v>64000</v>
      </c>
      <c r="N304" s="58" t="n">
        <f aca="false">Project_Register!$V$13*Project_Register!$AO$13*(Assumptions!N$96&gt;=Project_Register!$AL$13)*(Assumptions!N$96&lt;=Project_Register!$AK$13)</f>
        <v>64000</v>
      </c>
      <c r="O304" s="58" t="n">
        <f aca="false">Project_Register!$V$13*Project_Register!$AO$13*(Assumptions!O$96&gt;=Project_Register!$AL$13)*(Assumptions!O$96&lt;=Project_Register!$AK$13)</f>
        <v>64000</v>
      </c>
      <c r="P304" s="58" t="n">
        <f aca="false">Project_Register!$V$13*Project_Register!$AO$13*(Assumptions!P$96&gt;=Project_Register!$AL$13)*(Assumptions!P$96&lt;=Project_Register!$AK$13)</f>
        <v>64000</v>
      </c>
      <c r="Q304" s="58" t="n">
        <f aca="false">Project_Register!$V$13*Project_Register!$AO$13*(Assumptions!Q$96&gt;=Project_Register!$AL$13)*(Assumptions!Q$96&lt;=Project_Register!$AK$13)</f>
        <v>64000</v>
      </c>
      <c r="R304" s="58" t="n">
        <f aca="false">Project_Register!$V$13*Project_Register!$AO$13*(Assumptions!R$96&gt;=Project_Register!$AL$13)*(Assumptions!R$96&lt;=Project_Register!$AK$13)</f>
        <v>64000</v>
      </c>
      <c r="S304" s="58" t="n">
        <f aca="false">Project_Register!$V$13*Project_Register!$AO$13*(Assumptions!S$96&gt;=Project_Register!$AL$13)*(Assumptions!S$96&lt;=Project_Register!$AK$13)</f>
        <v>64000</v>
      </c>
      <c r="T304" s="58" t="n">
        <f aca="false">Project_Register!$V$13*Project_Register!$AO$13*(Assumptions!T$96&gt;=Project_Register!$AL$13)*(Assumptions!T$96&lt;=Project_Register!$AK$13)</f>
        <v>0</v>
      </c>
      <c r="U304" s="58" t="n">
        <f aca="false">Project_Register!$V$13*Project_Register!$AO$13*(Assumptions!U$96&gt;=Project_Register!$AL$13)*(Assumptions!U$96&lt;=Project_Register!$AK$13)</f>
        <v>0</v>
      </c>
      <c r="V304" s="58" t="n">
        <f aca="false">Project_Register!$V$13*Project_Register!$AO$13*(Assumptions!V$96&gt;=Project_Register!$AL$13)*(Assumptions!V$96&lt;=Project_Register!$AK$13)</f>
        <v>0</v>
      </c>
      <c r="W304" s="58" t="n">
        <f aca="false">Project_Register!$V$13*Project_Register!$AO$13*(Assumptions!W$96&gt;=Project_Register!$AL$13)*(Assumptions!W$96&lt;=Project_Register!$AK$13)</f>
        <v>0</v>
      </c>
      <c r="X304" s="58" t="n">
        <f aca="false">Project_Register!$V$13*Project_Register!$AO$13*(Assumptions!X$96&gt;=Project_Register!$AL$13)*(Assumptions!X$96&lt;=Project_Register!$AK$13)</f>
        <v>0</v>
      </c>
      <c r="Y304" s="58" t="n">
        <f aca="false">Project_Register!$V$13*Project_Register!$AO$13*(Assumptions!Y$96&gt;=Project_Register!$AL$13)*(Assumptions!Y$96&lt;=Project_Register!$AK$13)</f>
        <v>0</v>
      </c>
      <c r="Z304" s="58" t="n">
        <f aca="false">Project_Register!$V$13*Project_Register!$AO$13*(Assumptions!Z$96&gt;=Project_Register!$AL$13)*(Assumptions!Z$96&lt;=Project_Register!$AK$13)</f>
        <v>0</v>
      </c>
      <c r="AA304" s="58" t="n">
        <f aca="false">Project_Register!$V$13*Project_Register!$AO$13*(Assumptions!AA$96&gt;=Project_Register!$AL$13)*(Assumptions!AA$96&lt;=Project_Register!$AK$13)</f>
        <v>0</v>
      </c>
      <c r="AB304" s="58" t="n">
        <f aca="false">Project_Register!$V$13*Project_Register!$AO$13*(Assumptions!AB$96&gt;=Project_Register!$AL$13)*(Assumptions!AB$96&lt;=Project_Register!$AK$13)</f>
        <v>0</v>
      </c>
    </row>
    <row r="305" customFormat="false" ht="15" hidden="false" customHeight="false" outlineLevel="0" collapsed="false">
      <c r="A305" s="27" t="s">
        <v>774</v>
      </c>
      <c r="B305" s="56"/>
      <c r="C305" s="57" t="n">
        <f aca="false">P305</f>
        <v>320000</v>
      </c>
      <c r="D305" s="57" t="n">
        <f aca="false">AB305</f>
        <v>0</v>
      </c>
      <c r="E305" s="58" t="n">
        <f aca="false">IF(OR(Project_Register!$E$13="Pipeline",Assumptions!E$96&gt;=Project_Register!$AL$13),MAX(0,E282-E283),0)</f>
        <v>0</v>
      </c>
      <c r="F305" s="58" t="n">
        <f aca="false">IF(OR(Project_Register!$E$13="Pipeline",Assumptions!F$96&gt;=Project_Register!$AL$13),MAX(0,F282-F283),0)</f>
        <v>0</v>
      </c>
      <c r="G305" s="58" t="n">
        <f aca="false">IF(OR(Project_Register!$E$13="Pipeline",Assumptions!G$96&gt;=Project_Register!$AL$13),MAX(0,G282-G283),0)</f>
        <v>0</v>
      </c>
      <c r="H305" s="58" t="n">
        <f aca="false">IF(OR(Project_Register!$E$13="Pipeline",Assumptions!H$96&gt;=Project_Register!$AL$13),MAX(0,H282-H283),0)</f>
        <v>0</v>
      </c>
      <c r="I305" s="58" t="n">
        <f aca="false">IF(OR(Project_Register!$E$13="Pipeline",Assumptions!I$96&gt;=Project_Register!$AL$13),MAX(0,I282-I283),0)</f>
        <v>0</v>
      </c>
      <c r="J305" s="58" t="n">
        <f aca="false">IF(OR(Project_Register!$E$13="Pipeline",Assumptions!J$96&gt;=Project_Register!$AL$13),MAX(0,J282-J283),0)</f>
        <v>0</v>
      </c>
      <c r="K305" s="58" t="n">
        <f aca="false">IF(OR(Project_Register!$E$13="Pipeline",Assumptions!K$96&gt;=Project_Register!$AL$13),MAX(0,K282-K283),0)</f>
        <v>0</v>
      </c>
      <c r="L305" s="58" t="n">
        <f aca="false">IF(OR(Project_Register!$E$13="Pipeline",Assumptions!L$96&gt;=Project_Register!$AL$13),MAX(0,L282-L283),0)</f>
        <v>640000</v>
      </c>
      <c r="M305" s="58" t="n">
        <f aca="false">IF(OR(Project_Register!$E$13="Pipeline",Assumptions!M$96&gt;=Project_Register!$AL$13),MAX(0,M282-M283),0)</f>
        <v>640000</v>
      </c>
      <c r="N305" s="58" t="n">
        <f aca="false">IF(OR(Project_Register!$E$13="Pipeline",Assumptions!N$96&gt;=Project_Register!$AL$13),MAX(0,N282-N283),0)</f>
        <v>592592.592592593</v>
      </c>
      <c r="O305" s="58" t="n">
        <f aca="false">IF(OR(Project_Register!$E$13="Pipeline",Assumptions!O$96&gt;=Project_Register!$AL$13),MAX(0,O282-O283),0)</f>
        <v>474074.074074074</v>
      </c>
      <c r="P305" s="58" t="n">
        <f aca="false">IF(OR(Project_Register!$E$13="Pipeline",Assumptions!P$96&gt;=Project_Register!$AL$13),MAX(0,P282-P283),0)</f>
        <v>320000</v>
      </c>
      <c r="Q305" s="58" t="n">
        <f aca="false">IF(OR(Project_Register!$E$13="Pipeline",Assumptions!Q$96&gt;=Project_Register!$AL$13),MAX(0,Q282-Q283),0)</f>
        <v>165925.925925926</v>
      </c>
      <c r="R305" s="58" t="n">
        <f aca="false">IF(OR(Project_Register!$E$13="Pipeline",Assumptions!R$96&gt;=Project_Register!$AL$13),MAX(0,R282-R283),0)</f>
        <v>47407.4074074074</v>
      </c>
      <c r="S305" s="58" t="n">
        <f aca="false">IF(OR(Project_Register!$E$13="Pipeline",Assumptions!S$96&gt;=Project_Register!$AL$13),MAX(0,S282-S283),0)</f>
        <v>0</v>
      </c>
      <c r="T305" s="58" t="n">
        <f aca="false">IF(OR(Project_Register!$E$13="Pipeline",Assumptions!T$96&gt;=Project_Register!$AL$13),MAX(0,T282-T283),0)</f>
        <v>0</v>
      </c>
      <c r="U305" s="58" t="n">
        <f aca="false">IF(OR(Project_Register!$E$13="Pipeline",Assumptions!U$96&gt;=Project_Register!$AL$13),MAX(0,U282-U283),0)</f>
        <v>0</v>
      </c>
      <c r="V305" s="58" t="n">
        <f aca="false">IF(OR(Project_Register!$E$13="Pipeline",Assumptions!V$96&gt;=Project_Register!$AL$13),MAX(0,V282-V283),0)</f>
        <v>0</v>
      </c>
      <c r="W305" s="58" t="n">
        <f aca="false">IF(OR(Project_Register!$E$13="Pipeline",Assumptions!W$96&gt;=Project_Register!$AL$13),MAX(0,W282-W283),0)</f>
        <v>0</v>
      </c>
      <c r="X305" s="58" t="n">
        <f aca="false">IF(OR(Project_Register!$E$13="Pipeline",Assumptions!X$96&gt;=Project_Register!$AL$13),MAX(0,X282-X283),0)</f>
        <v>0</v>
      </c>
      <c r="Y305" s="58" t="n">
        <f aca="false">IF(OR(Project_Register!$E$13="Pipeline",Assumptions!Y$96&gt;=Project_Register!$AL$13),MAX(0,Y282-Y283),0)</f>
        <v>0</v>
      </c>
      <c r="Z305" s="58" t="n">
        <f aca="false">IF(OR(Project_Register!$E$13="Pipeline",Assumptions!Z$96&gt;=Project_Register!$AL$13),MAX(0,Z282-Z283),0)</f>
        <v>0</v>
      </c>
      <c r="AA305" s="58" t="n">
        <f aca="false">IF(OR(Project_Register!$E$13="Pipeline",Assumptions!AA$96&gt;=Project_Register!$AL$13),MAX(0,AA282-AA283),0)</f>
        <v>0</v>
      </c>
      <c r="AB305" s="58" t="n">
        <f aca="false">IF(OR(Project_Register!$E$13="Pipeline",Assumptions!AB$96&gt;=Project_Register!$AL$13),MAX(0,AB282-AB283),0)</f>
        <v>0</v>
      </c>
    </row>
    <row r="306" customFormat="false" ht="15" hidden="false" customHeight="false" outlineLevel="0" collapsed="false">
      <c r="A306" s="27" t="s">
        <v>775</v>
      </c>
      <c r="B306" s="56"/>
      <c r="C306" s="57" t="n">
        <f aca="false">SUM(E306:P306)</f>
        <v>640000</v>
      </c>
      <c r="D306" s="57" t="n">
        <f aca="false">SUM(Q306:AB306)</f>
        <v>0</v>
      </c>
      <c r="E306" s="58" t="n">
        <f aca="false">IF(Assumptions!E$96=Project_Register!$AL$13,Project_Register!$AO$13,0)</f>
        <v>0</v>
      </c>
      <c r="F306" s="58" t="n">
        <f aca="false">IF(Assumptions!F$96=Project_Register!$AL$13,Project_Register!$AO$13,0)</f>
        <v>0</v>
      </c>
      <c r="G306" s="58" t="n">
        <f aca="false">IF(Assumptions!G$96=Project_Register!$AL$13,Project_Register!$AO$13,0)</f>
        <v>0</v>
      </c>
      <c r="H306" s="58" t="n">
        <f aca="false">IF(Assumptions!H$96=Project_Register!$AL$13,Project_Register!$AO$13,0)</f>
        <v>0</v>
      </c>
      <c r="I306" s="58" t="n">
        <f aca="false">IF(Assumptions!I$96=Project_Register!$AL$13,Project_Register!$AO$13,0)</f>
        <v>0</v>
      </c>
      <c r="J306" s="58" t="n">
        <f aca="false">IF(Assumptions!J$96=Project_Register!$AL$13,Project_Register!$AO$13,0)</f>
        <v>0</v>
      </c>
      <c r="K306" s="58" t="n">
        <f aca="false">IF(Assumptions!K$96=Project_Register!$AL$13,Project_Register!$AO$13,0)</f>
        <v>0</v>
      </c>
      <c r="L306" s="58" t="n">
        <f aca="false">IF(Assumptions!L$96=Project_Register!$AL$13,Project_Register!$AO$13,0)</f>
        <v>640000</v>
      </c>
      <c r="M306" s="58" t="n">
        <f aca="false">IF(Assumptions!M$96=Project_Register!$AL$13,Project_Register!$AO$13,0)</f>
        <v>0</v>
      </c>
      <c r="N306" s="58" t="n">
        <f aca="false">IF(Assumptions!N$96=Project_Register!$AL$13,Project_Register!$AO$13,0)</f>
        <v>0</v>
      </c>
      <c r="O306" s="58" t="n">
        <f aca="false">IF(Assumptions!O$96=Project_Register!$AL$13,Project_Register!$AO$13,0)</f>
        <v>0</v>
      </c>
      <c r="P306" s="58" t="n">
        <f aca="false">IF(Assumptions!P$96=Project_Register!$AL$13,Project_Register!$AO$13,0)</f>
        <v>0</v>
      </c>
      <c r="Q306" s="58" t="n">
        <f aca="false">IF(Assumptions!Q$96=Project_Register!$AL$13,Project_Register!$AO$13,0)</f>
        <v>0</v>
      </c>
      <c r="R306" s="58" t="n">
        <f aca="false">IF(Assumptions!R$96=Project_Register!$AL$13,Project_Register!$AO$13,0)</f>
        <v>0</v>
      </c>
      <c r="S306" s="58" t="n">
        <f aca="false">IF(Assumptions!S$96=Project_Register!$AL$13,Project_Register!$AO$13,0)</f>
        <v>0</v>
      </c>
      <c r="T306" s="58" t="n">
        <f aca="false">IF(Assumptions!T$96=Project_Register!$AL$13,Project_Register!$AO$13,0)</f>
        <v>0</v>
      </c>
      <c r="U306" s="58" t="n">
        <f aca="false">IF(Assumptions!U$96=Project_Register!$AL$13,Project_Register!$AO$13,0)</f>
        <v>0</v>
      </c>
      <c r="V306" s="58" t="n">
        <f aca="false">IF(Assumptions!V$96=Project_Register!$AL$13,Project_Register!$AO$13,0)</f>
        <v>0</v>
      </c>
      <c r="W306" s="58" t="n">
        <f aca="false">IF(Assumptions!W$96=Project_Register!$AL$13,Project_Register!$AO$13,0)</f>
        <v>0</v>
      </c>
      <c r="X306" s="58" t="n">
        <f aca="false">IF(Assumptions!X$96=Project_Register!$AL$13,Project_Register!$AO$13,0)</f>
        <v>0</v>
      </c>
      <c r="Y306" s="58" t="n">
        <f aca="false">IF(Assumptions!Y$96=Project_Register!$AL$13,Project_Register!$AO$13,0)</f>
        <v>0</v>
      </c>
      <c r="Z306" s="58" t="n">
        <f aca="false">IF(Assumptions!Z$96=Project_Register!$AL$13,Project_Register!$AO$13,0)</f>
        <v>0</v>
      </c>
      <c r="AA306" s="58" t="n">
        <f aca="false">IF(Assumptions!AA$96=Project_Register!$AL$13,Project_Register!$AO$13,0)</f>
        <v>0</v>
      </c>
      <c r="AB306" s="58" t="n">
        <f aca="false">IF(Assumptions!AB$96=Project_Register!$AL$13,Project_Register!$AO$13,0)</f>
        <v>0</v>
      </c>
    </row>
    <row r="308" customFormat="false" ht="15" hidden="false" customHeight="false" outlineLevel="0" collapsed="false">
      <c r="A308" s="21" t="s">
        <v>784</v>
      </c>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row>
    <row r="309" customFormat="false" ht="15" hidden="false" customHeight="false" outlineLevel="0" collapsed="false">
      <c r="A309" s="27" t="s">
        <v>716</v>
      </c>
      <c r="B309" s="56" t="s">
        <v>717</v>
      </c>
      <c r="E309" s="104" t="n">
        <f aca="false">MIN(1,MAX(0,(Assumptions!E$96-Project_Register!$AJ$14+1)/(Project_Register!$AK$14-Project_Register!$AJ$14+1)))</f>
        <v>0</v>
      </c>
      <c r="F309" s="104" t="n">
        <f aca="false">MIN(1,MAX(0,(Assumptions!F$96-Project_Register!$AJ$14+1)/(Project_Register!$AK$14-Project_Register!$AJ$14+1)))</f>
        <v>0</v>
      </c>
      <c r="G309" s="104" t="n">
        <f aca="false">MIN(1,MAX(0,(Assumptions!G$96-Project_Register!$AJ$14+1)/(Project_Register!$AK$14-Project_Register!$AJ$14+1)))</f>
        <v>0</v>
      </c>
      <c r="H309" s="104" t="n">
        <f aca="false">MIN(1,MAX(0,(Assumptions!H$96-Project_Register!$AJ$14+1)/(Project_Register!$AK$14-Project_Register!$AJ$14+1)))</f>
        <v>0</v>
      </c>
      <c r="I309" s="104" t="n">
        <f aca="false">MIN(1,MAX(0,(Assumptions!I$96-Project_Register!$AJ$14+1)/(Project_Register!$AK$14-Project_Register!$AJ$14+1)))</f>
        <v>0</v>
      </c>
      <c r="J309" s="104" t="n">
        <f aca="false">MIN(1,MAX(0,(Assumptions!J$96-Project_Register!$AJ$14+1)/(Project_Register!$AK$14-Project_Register!$AJ$14+1)))</f>
        <v>0</v>
      </c>
      <c r="K309" s="104" t="n">
        <f aca="false">MIN(1,MAX(0,(Assumptions!K$96-Project_Register!$AJ$14+1)/(Project_Register!$AK$14-Project_Register!$AJ$14+1)))</f>
        <v>0</v>
      </c>
      <c r="L309" s="104" t="n">
        <f aca="false">MIN(1,MAX(0,(Assumptions!L$96-Project_Register!$AJ$14+1)/(Project_Register!$AK$14-Project_Register!$AJ$14+1)))</f>
        <v>0</v>
      </c>
      <c r="M309" s="104" t="n">
        <f aca="false">MIN(1,MAX(0,(Assumptions!M$96-Project_Register!$AJ$14+1)/(Project_Register!$AK$14-Project_Register!$AJ$14+1)))</f>
        <v>0</v>
      </c>
      <c r="N309" s="104" t="n">
        <f aca="false">MIN(1,MAX(0,(Assumptions!N$96-Project_Register!$AJ$14+1)/(Project_Register!$AK$14-Project_Register!$AJ$14+1)))</f>
        <v>0</v>
      </c>
      <c r="O309" s="104" t="n">
        <f aca="false">MIN(1,MAX(0,(Assumptions!O$96-Project_Register!$AJ$14+1)/(Project_Register!$AK$14-Project_Register!$AJ$14+1)))</f>
        <v>0</v>
      </c>
      <c r="P309" s="104" t="n">
        <f aca="false">MIN(1,MAX(0,(Assumptions!P$96-Project_Register!$AJ$14+1)/(Project_Register!$AK$14-Project_Register!$AJ$14+1)))</f>
        <v>0</v>
      </c>
      <c r="Q309" s="104" t="n">
        <f aca="false">MIN(1,MAX(0,(Assumptions!Q$96-Project_Register!$AJ$14+1)/(Project_Register!$AK$14-Project_Register!$AJ$14+1)))</f>
        <v>0</v>
      </c>
      <c r="R309" s="104" t="n">
        <f aca="false">MIN(1,MAX(0,(Assumptions!R$96-Project_Register!$AJ$14+1)/(Project_Register!$AK$14-Project_Register!$AJ$14+1)))</f>
        <v>0</v>
      </c>
      <c r="S309" s="104" t="n">
        <f aca="false">MIN(1,MAX(0,(Assumptions!S$96-Project_Register!$AJ$14+1)/(Project_Register!$AK$14-Project_Register!$AJ$14+1)))</f>
        <v>0.111111111111111</v>
      </c>
      <c r="T309" s="104" t="n">
        <f aca="false">MIN(1,MAX(0,(Assumptions!T$96-Project_Register!$AJ$14+1)/(Project_Register!$AK$14-Project_Register!$AJ$14+1)))</f>
        <v>0.222222222222222</v>
      </c>
      <c r="U309" s="104" t="n">
        <f aca="false">MIN(1,MAX(0,(Assumptions!U$96-Project_Register!$AJ$14+1)/(Project_Register!$AK$14-Project_Register!$AJ$14+1)))</f>
        <v>0.333333333333333</v>
      </c>
      <c r="V309" s="104" t="n">
        <f aca="false">MIN(1,MAX(0,(Assumptions!V$96-Project_Register!$AJ$14+1)/(Project_Register!$AK$14-Project_Register!$AJ$14+1)))</f>
        <v>0.444444444444444</v>
      </c>
      <c r="W309" s="104" t="n">
        <f aca="false">MIN(1,MAX(0,(Assumptions!W$96-Project_Register!$AJ$14+1)/(Project_Register!$AK$14-Project_Register!$AJ$14+1)))</f>
        <v>0.555555555555556</v>
      </c>
      <c r="X309" s="104" t="n">
        <f aca="false">MIN(1,MAX(0,(Assumptions!X$96-Project_Register!$AJ$14+1)/(Project_Register!$AK$14-Project_Register!$AJ$14+1)))</f>
        <v>0.666666666666667</v>
      </c>
      <c r="Y309" s="104" t="n">
        <f aca="false">MIN(1,MAX(0,(Assumptions!Y$96-Project_Register!$AJ$14+1)/(Project_Register!$AK$14-Project_Register!$AJ$14+1)))</f>
        <v>0.777777777777778</v>
      </c>
      <c r="Z309" s="104" t="n">
        <f aca="false">MIN(1,MAX(0,(Assumptions!Z$96-Project_Register!$AJ$14+1)/(Project_Register!$AK$14-Project_Register!$AJ$14+1)))</f>
        <v>0.888888888888889</v>
      </c>
      <c r="AA309" s="104" t="n">
        <f aca="false">MIN(1,MAX(0,(Assumptions!AA$96-Project_Register!$AJ$14+1)/(Project_Register!$AK$14-Project_Register!$AJ$14+1)))</f>
        <v>1</v>
      </c>
      <c r="AB309" s="104" t="n">
        <f aca="false">MIN(1,MAX(0,(Assumptions!AB$96-Project_Register!$AJ$14+1)/(Project_Register!$AK$14-Project_Register!$AJ$14+1)))</f>
        <v>1</v>
      </c>
    </row>
    <row r="310" customFormat="false" ht="15" hidden="false" customHeight="false" outlineLevel="0" collapsed="false">
      <c r="A310" s="27" t="s">
        <v>718</v>
      </c>
      <c r="B310" s="56" t="s">
        <v>719</v>
      </c>
      <c r="E310" s="105" t="n">
        <f aca="false">3*E309^2-2*E309^3</f>
        <v>0</v>
      </c>
      <c r="F310" s="105" t="n">
        <f aca="false">3*F309^2-2*F309^3</f>
        <v>0</v>
      </c>
      <c r="G310" s="105" t="n">
        <f aca="false">3*G309^2-2*G309^3</f>
        <v>0</v>
      </c>
      <c r="H310" s="105" t="n">
        <f aca="false">3*H309^2-2*H309^3</f>
        <v>0</v>
      </c>
      <c r="I310" s="105" t="n">
        <f aca="false">3*I309^2-2*I309^3</f>
        <v>0</v>
      </c>
      <c r="J310" s="105" t="n">
        <f aca="false">3*J309^2-2*J309^3</f>
        <v>0</v>
      </c>
      <c r="K310" s="105" t="n">
        <f aca="false">3*K309^2-2*K309^3</f>
        <v>0</v>
      </c>
      <c r="L310" s="105" t="n">
        <f aca="false">3*L309^2-2*L309^3</f>
        <v>0</v>
      </c>
      <c r="M310" s="105" t="n">
        <f aca="false">3*M309^2-2*M309^3</f>
        <v>0</v>
      </c>
      <c r="N310" s="105" t="n">
        <f aca="false">3*N309^2-2*N309^3</f>
        <v>0</v>
      </c>
      <c r="O310" s="105" t="n">
        <f aca="false">3*O309^2-2*O309^3</f>
        <v>0</v>
      </c>
      <c r="P310" s="105" t="n">
        <f aca="false">3*P309^2-2*P309^3</f>
        <v>0</v>
      </c>
      <c r="Q310" s="105" t="n">
        <f aca="false">3*Q309^2-2*Q309^3</f>
        <v>0</v>
      </c>
      <c r="R310" s="105" t="n">
        <f aca="false">3*R309^2-2*R309^3</f>
        <v>0</v>
      </c>
      <c r="S310" s="105" t="n">
        <f aca="false">3*S309^2-2*S309^3</f>
        <v>0.0342935528120713</v>
      </c>
      <c r="T310" s="105" t="n">
        <f aca="false">3*T309^2-2*T309^3</f>
        <v>0.126200274348423</v>
      </c>
      <c r="U310" s="105" t="n">
        <f aca="false">3*U309^2-2*U309^3</f>
        <v>0.259259259259259</v>
      </c>
      <c r="V310" s="105" t="n">
        <f aca="false">3*V309^2-2*V309^3</f>
        <v>0.417009602194787</v>
      </c>
      <c r="W310" s="105" t="n">
        <f aca="false">3*W309^2-2*W309^3</f>
        <v>0.582990397805213</v>
      </c>
      <c r="X310" s="105" t="n">
        <f aca="false">3*X309^2-2*X309^3</f>
        <v>0.740740740740741</v>
      </c>
      <c r="Y310" s="105" t="n">
        <f aca="false">3*Y309^2-2*Y309^3</f>
        <v>0.873799725651578</v>
      </c>
      <c r="Z310" s="105" t="n">
        <f aca="false">3*Z309^2-2*Z309^3</f>
        <v>0.965706447187929</v>
      </c>
      <c r="AA310" s="105" t="n">
        <f aca="false">3*AA309^2-2*AA309^3</f>
        <v>1</v>
      </c>
      <c r="AB310" s="105" t="n">
        <f aca="false">3*AB309^2-2*AB309^3</f>
        <v>1</v>
      </c>
    </row>
    <row r="311" customFormat="false" ht="15" hidden="false" customHeight="false" outlineLevel="0" collapsed="false">
      <c r="A311" s="27" t="s">
        <v>720</v>
      </c>
      <c r="B311" s="56"/>
      <c r="E311" s="104" t="n">
        <f aca="false">3*MIN(1,MAX(0,(Assumptions!E$96-Project_Register!$AJ$14)/(Project_Register!$AK$14-Project_Register!$AJ$14+1)))^2-2*MIN(1,MAX(0,(Assumptions!E$96-Project_Register!$AJ$14)/(Project_Register!$AK$14-Project_Register!$AJ$14+1)))^3</f>
        <v>0</v>
      </c>
      <c r="F311" s="104" t="n">
        <f aca="false">3*MIN(1,MAX(0,(Assumptions!F$96-Project_Register!$AJ$14)/(Project_Register!$AK$14-Project_Register!$AJ$14+1)))^2-2*MIN(1,MAX(0,(Assumptions!F$96-Project_Register!$AJ$14)/(Project_Register!$AK$14-Project_Register!$AJ$14+1)))^3</f>
        <v>0</v>
      </c>
      <c r="G311" s="104" t="n">
        <f aca="false">3*MIN(1,MAX(0,(Assumptions!G$96-Project_Register!$AJ$14)/(Project_Register!$AK$14-Project_Register!$AJ$14+1)))^2-2*MIN(1,MAX(0,(Assumptions!G$96-Project_Register!$AJ$14)/(Project_Register!$AK$14-Project_Register!$AJ$14+1)))^3</f>
        <v>0</v>
      </c>
      <c r="H311" s="104" t="n">
        <f aca="false">3*MIN(1,MAX(0,(Assumptions!H$96-Project_Register!$AJ$14)/(Project_Register!$AK$14-Project_Register!$AJ$14+1)))^2-2*MIN(1,MAX(0,(Assumptions!H$96-Project_Register!$AJ$14)/(Project_Register!$AK$14-Project_Register!$AJ$14+1)))^3</f>
        <v>0</v>
      </c>
      <c r="I311" s="104" t="n">
        <f aca="false">3*MIN(1,MAX(0,(Assumptions!I$96-Project_Register!$AJ$14)/(Project_Register!$AK$14-Project_Register!$AJ$14+1)))^2-2*MIN(1,MAX(0,(Assumptions!I$96-Project_Register!$AJ$14)/(Project_Register!$AK$14-Project_Register!$AJ$14+1)))^3</f>
        <v>0</v>
      </c>
      <c r="J311" s="104" t="n">
        <f aca="false">3*MIN(1,MAX(0,(Assumptions!J$96-Project_Register!$AJ$14)/(Project_Register!$AK$14-Project_Register!$AJ$14+1)))^2-2*MIN(1,MAX(0,(Assumptions!J$96-Project_Register!$AJ$14)/(Project_Register!$AK$14-Project_Register!$AJ$14+1)))^3</f>
        <v>0</v>
      </c>
      <c r="K311" s="104" t="n">
        <f aca="false">3*MIN(1,MAX(0,(Assumptions!K$96-Project_Register!$AJ$14)/(Project_Register!$AK$14-Project_Register!$AJ$14+1)))^2-2*MIN(1,MAX(0,(Assumptions!K$96-Project_Register!$AJ$14)/(Project_Register!$AK$14-Project_Register!$AJ$14+1)))^3</f>
        <v>0</v>
      </c>
      <c r="L311" s="104" t="n">
        <f aca="false">3*MIN(1,MAX(0,(Assumptions!L$96-Project_Register!$AJ$14)/(Project_Register!$AK$14-Project_Register!$AJ$14+1)))^2-2*MIN(1,MAX(0,(Assumptions!L$96-Project_Register!$AJ$14)/(Project_Register!$AK$14-Project_Register!$AJ$14+1)))^3</f>
        <v>0</v>
      </c>
      <c r="M311" s="104" t="n">
        <f aca="false">3*MIN(1,MAX(0,(Assumptions!M$96-Project_Register!$AJ$14)/(Project_Register!$AK$14-Project_Register!$AJ$14+1)))^2-2*MIN(1,MAX(0,(Assumptions!M$96-Project_Register!$AJ$14)/(Project_Register!$AK$14-Project_Register!$AJ$14+1)))^3</f>
        <v>0</v>
      </c>
      <c r="N311" s="104" t="n">
        <f aca="false">3*MIN(1,MAX(0,(Assumptions!N$96-Project_Register!$AJ$14)/(Project_Register!$AK$14-Project_Register!$AJ$14+1)))^2-2*MIN(1,MAX(0,(Assumptions!N$96-Project_Register!$AJ$14)/(Project_Register!$AK$14-Project_Register!$AJ$14+1)))^3</f>
        <v>0</v>
      </c>
      <c r="O311" s="104" t="n">
        <f aca="false">3*MIN(1,MAX(0,(Assumptions!O$96-Project_Register!$AJ$14)/(Project_Register!$AK$14-Project_Register!$AJ$14+1)))^2-2*MIN(1,MAX(0,(Assumptions!O$96-Project_Register!$AJ$14)/(Project_Register!$AK$14-Project_Register!$AJ$14+1)))^3</f>
        <v>0</v>
      </c>
      <c r="P311" s="104" t="n">
        <f aca="false">3*MIN(1,MAX(0,(Assumptions!P$96-Project_Register!$AJ$14)/(Project_Register!$AK$14-Project_Register!$AJ$14+1)))^2-2*MIN(1,MAX(0,(Assumptions!P$96-Project_Register!$AJ$14)/(Project_Register!$AK$14-Project_Register!$AJ$14+1)))^3</f>
        <v>0</v>
      </c>
      <c r="Q311" s="104" t="n">
        <f aca="false">3*MIN(1,MAX(0,(Assumptions!Q$96-Project_Register!$AJ$14)/(Project_Register!$AK$14-Project_Register!$AJ$14+1)))^2-2*MIN(1,MAX(0,(Assumptions!Q$96-Project_Register!$AJ$14)/(Project_Register!$AK$14-Project_Register!$AJ$14+1)))^3</f>
        <v>0</v>
      </c>
      <c r="R311" s="104" t="n">
        <f aca="false">3*MIN(1,MAX(0,(Assumptions!R$96-Project_Register!$AJ$14)/(Project_Register!$AK$14-Project_Register!$AJ$14+1)))^2-2*MIN(1,MAX(0,(Assumptions!R$96-Project_Register!$AJ$14)/(Project_Register!$AK$14-Project_Register!$AJ$14+1)))^3</f>
        <v>0</v>
      </c>
      <c r="S311" s="104" t="n">
        <f aca="false">3*MIN(1,MAX(0,(Assumptions!S$96-Project_Register!$AJ$14)/(Project_Register!$AK$14-Project_Register!$AJ$14+1)))^2-2*MIN(1,MAX(0,(Assumptions!S$96-Project_Register!$AJ$14)/(Project_Register!$AK$14-Project_Register!$AJ$14+1)))^3</f>
        <v>0</v>
      </c>
      <c r="T311" s="104" t="n">
        <f aca="false">3*MIN(1,MAX(0,(Assumptions!T$96-Project_Register!$AJ$14)/(Project_Register!$AK$14-Project_Register!$AJ$14+1)))^2-2*MIN(1,MAX(0,(Assumptions!T$96-Project_Register!$AJ$14)/(Project_Register!$AK$14-Project_Register!$AJ$14+1)))^3</f>
        <v>0.0342935528120713</v>
      </c>
      <c r="U311" s="104" t="n">
        <f aca="false">3*MIN(1,MAX(0,(Assumptions!U$96-Project_Register!$AJ$14)/(Project_Register!$AK$14-Project_Register!$AJ$14+1)))^2-2*MIN(1,MAX(0,(Assumptions!U$96-Project_Register!$AJ$14)/(Project_Register!$AK$14-Project_Register!$AJ$14+1)))^3</f>
        <v>0.126200274348423</v>
      </c>
      <c r="V311" s="104" t="n">
        <f aca="false">3*MIN(1,MAX(0,(Assumptions!V$96-Project_Register!$AJ$14)/(Project_Register!$AK$14-Project_Register!$AJ$14+1)))^2-2*MIN(1,MAX(0,(Assumptions!V$96-Project_Register!$AJ$14)/(Project_Register!$AK$14-Project_Register!$AJ$14+1)))^3</f>
        <v>0.259259259259259</v>
      </c>
      <c r="W311" s="104" t="n">
        <f aca="false">3*MIN(1,MAX(0,(Assumptions!W$96-Project_Register!$AJ$14)/(Project_Register!$AK$14-Project_Register!$AJ$14+1)))^2-2*MIN(1,MAX(0,(Assumptions!W$96-Project_Register!$AJ$14)/(Project_Register!$AK$14-Project_Register!$AJ$14+1)))^3</f>
        <v>0.417009602194787</v>
      </c>
      <c r="X311" s="104" t="n">
        <f aca="false">3*MIN(1,MAX(0,(Assumptions!X$96-Project_Register!$AJ$14)/(Project_Register!$AK$14-Project_Register!$AJ$14+1)))^2-2*MIN(1,MAX(0,(Assumptions!X$96-Project_Register!$AJ$14)/(Project_Register!$AK$14-Project_Register!$AJ$14+1)))^3</f>
        <v>0.582990397805213</v>
      </c>
      <c r="Y311" s="104" t="n">
        <f aca="false">3*MIN(1,MAX(0,(Assumptions!Y$96-Project_Register!$AJ$14)/(Project_Register!$AK$14-Project_Register!$AJ$14+1)))^2-2*MIN(1,MAX(0,(Assumptions!Y$96-Project_Register!$AJ$14)/(Project_Register!$AK$14-Project_Register!$AJ$14+1)))^3</f>
        <v>0.740740740740741</v>
      </c>
      <c r="Z311" s="104" t="n">
        <f aca="false">3*MIN(1,MAX(0,(Assumptions!Z$96-Project_Register!$AJ$14)/(Project_Register!$AK$14-Project_Register!$AJ$14+1)))^2-2*MIN(1,MAX(0,(Assumptions!Z$96-Project_Register!$AJ$14)/(Project_Register!$AK$14-Project_Register!$AJ$14+1)))^3</f>
        <v>0.873799725651578</v>
      </c>
      <c r="AA311" s="104" t="n">
        <f aca="false">3*MIN(1,MAX(0,(Assumptions!AA$96-Project_Register!$AJ$14)/(Project_Register!$AK$14-Project_Register!$AJ$14+1)))^2-2*MIN(1,MAX(0,(Assumptions!AA$96-Project_Register!$AJ$14)/(Project_Register!$AK$14-Project_Register!$AJ$14+1)))^3</f>
        <v>0.965706447187929</v>
      </c>
      <c r="AB311" s="104" t="n">
        <f aca="false">3*MIN(1,MAX(0,(Assumptions!AB$96-Project_Register!$AJ$14)/(Project_Register!$AK$14-Project_Register!$AJ$14+1)))^2-2*MIN(1,MAX(0,(Assumptions!AB$96-Project_Register!$AJ$14)/(Project_Register!$AK$14-Project_Register!$AJ$14+1)))^3</f>
        <v>1</v>
      </c>
    </row>
    <row r="312" customFormat="false" ht="15" hidden="false" customHeight="false" outlineLevel="0" collapsed="false">
      <c r="A312" s="27" t="s">
        <v>721</v>
      </c>
      <c r="B312" s="56" t="s">
        <v>722</v>
      </c>
      <c r="C312" s="57" t="n">
        <f aca="false">SUM(E312:P312)</f>
        <v>0</v>
      </c>
      <c r="D312" s="57" t="n">
        <f aca="false">SUM(Q312:AB312)</f>
        <v>201240</v>
      </c>
      <c r="E312" s="58" t="n">
        <f aca="false">IF(E$5="A",0,IF((Project_Register!$AT$14-Project_Register!$AQ$14)&lt;=0,0,IF(1-Project_Register!$AV$14&lt;=0.000001,IF(Assumptions!E$96=Assumptions!$C$10+1,(Project_Register!$AT$14-Project_Register!$AQ$14),0),(Project_Register!$AT$14-Project_Register!$AQ$14)*(E310-E311)/(1-Project_Register!$AV$14)))*Project_Register!$X$14)</f>
        <v>0</v>
      </c>
      <c r="F312" s="58" t="n">
        <f aca="false">IF(F$5="A",0,IF((Project_Register!$AT$14-Project_Register!$AQ$14)&lt;=0,0,IF(1-Project_Register!$AV$14&lt;=0.000001,IF(Assumptions!F$96=Assumptions!$C$10+1,(Project_Register!$AT$14-Project_Register!$AQ$14),0),(Project_Register!$AT$14-Project_Register!$AQ$14)*(F310-F311)/(1-Project_Register!$AV$14)))*Project_Register!$X$14)</f>
        <v>0</v>
      </c>
      <c r="G312" s="58" t="n">
        <f aca="false">IF(G$5="A",0,IF((Project_Register!$AT$14-Project_Register!$AQ$14)&lt;=0,0,IF(1-Project_Register!$AV$14&lt;=0.000001,IF(Assumptions!G$96=Assumptions!$C$10+1,(Project_Register!$AT$14-Project_Register!$AQ$14),0),(Project_Register!$AT$14-Project_Register!$AQ$14)*(G310-G311)/(1-Project_Register!$AV$14)))*Project_Register!$X$14)</f>
        <v>0</v>
      </c>
      <c r="H312" s="58" t="n">
        <f aca="false">IF(H$5="A",0,IF((Project_Register!$AT$14-Project_Register!$AQ$14)&lt;=0,0,IF(1-Project_Register!$AV$14&lt;=0.000001,IF(Assumptions!H$96=Assumptions!$C$10+1,(Project_Register!$AT$14-Project_Register!$AQ$14),0),(Project_Register!$AT$14-Project_Register!$AQ$14)*(H310-H311)/(1-Project_Register!$AV$14)))*Project_Register!$X$14)</f>
        <v>0</v>
      </c>
      <c r="I312" s="58" t="n">
        <f aca="false">IF(I$5="A",0,IF((Project_Register!$AT$14-Project_Register!$AQ$14)&lt;=0,0,IF(1-Project_Register!$AV$14&lt;=0.000001,IF(Assumptions!I$96=Assumptions!$C$10+1,(Project_Register!$AT$14-Project_Register!$AQ$14),0),(Project_Register!$AT$14-Project_Register!$AQ$14)*(I310-I311)/(1-Project_Register!$AV$14)))*Project_Register!$X$14)</f>
        <v>0</v>
      </c>
      <c r="J312" s="58" t="n">
        <f aca="false">IF(J$5="A",0,IF((Project_Register!$AT$14-Project_Register!$AQ$14)&lt;=0,0,IF(1-Project_Register!$AV$14&lt;=0.000001,IF(Assumptions!J$96=Assumptions!$C$10+1,(Project_Register!$AT$14-Project_Register!$AQ$14),0),(Project_Register!$AT$14-Project_Register!$AQ$14)*(J310-J311)/(1-Project_Register!$AV$14)))*Project_Register!$X$14)</f>
        <v>0</v>
      </c>
      <c r="K312" s="58" t="n">
        <f aca="false">IF(K$5="A",0,IF((Project_Register!$AT$14-Project_Register!$AQ$14)&lt;=0,0,IF(1-Project_Register!$AV$14&lt;=0.000001,IF(Assumptions!K$96=Assumptions!$C$10+1,(Project_Register!$AT$14-Project_Register!$AQ$14),0),(Project_Register!$AT$14-Project_Register!$AQ$14)*(K310-K311)/(1-Project_Register!$AV$14)))*Project_Register!$X$14)</f>
        <v>0</v>
      </c>
      <c r="L312" s="58" t="n">
        <f aca="false">IF(L$5="A",0,IF((Project_Register!$AT$14-Project_Register!$AQ$14)&lt;=0,0,IF(1-Project_Register!$AV$14&lt;=0.000001,IF(Assumptions!L$96=Assumptions!$C$10+1,(Project_Register!$AT$14-Project_Register!$AQ$14),0),(Project_Register!$AT$14-Project_Register!$AQ$14)*(L310-L311)/(1-Project_Register!$AV$14)))*Project_Register!$X$14)</f>
        <v>0</v>
      </c>
      <c r="M312" s="58" t="n">
        <f aca="false">IF(M$5="A",0,IF((Project_Register!$AT$14-Project_Register!$AQ$14)&lt;=0,0,IF(1-Project_Register!$AV$14&lt;=0.000001,IF(Assumptions!M$96=Assumptions!$C$10+1,(Project_Register!$AT$14-Project_Register!$AQ$14),0),(Project_Register!$AT$14-Project_Register!$AQ$14)*(M310-M311)/(1-Project_Register!$AV$14)))*Project_Register!$X$14)</f>
        <v>0</v>
      </c>
      <c r="N312" s="58" t="n">
        <f aca="false">IF(N$5="A",0,IF((Project_Register!$AT$14-Project_Register!$AQ$14)&lt;=0,0,IF(1-Project_Register!$AV$14&lt;=0.000001,IF(Assumptions!N$96=Assumptions!$C$10+1,(Project_Register!$AT$14-Project_Register!$AQ$14),0),(Project_Register!$AT$14-Project_Register!$AQ$14)*(N310-N311)/(1-Project_Register!$AV$14)))*Project_Register!$X$14)</f>
        <v>0</v>
      </c>
      <c r="O312" s="58" t="n">
        <f aca="false">IF(O$5="A",0,IF((Project_Register!$AT$14-Project_Register!$AQ$14)&lt;=0,0,IF(1-Project_Register!$AV$14&lt;=0.000001,IF(Assumptions!O$96=Assumptions!$C$10+1,(Project_Register!$AT$14-Project_Register!$AQ$14),0),(Project_Register!$AT$14-Project_Register!$AQ$14)*(O310-O311)/(1-Project_Register!$AV$14)))*Project_Register!$X$14)</f>
        <v>0</v>
      </c>
      <c r="P312" s="58" t="n">
        <f aca="false">IF(P$5="A",0,IF((Project_Register!$AT$14-Project_Register!$AQ$14)&lt;=0,0,IF(1-Project_Register!$AV$14&lt;=0.000001,IF(Assumptions!P$96=Assumptions!$C$10+1,(Project_Register!$AT$14-Project_Register!$AQ$14),0),(Project_Register!$AT$14-Project_Register!$AQ$14)*(P310-P311)/(1-Project_Register!$AV$14)))*Project_Register!$X$14)</f>
        <v>0</v>
      </c>
      <c r="Q312" s="58" t="n">
        <f aca="false">IF(Q$5="A",0,IF((Project_Register!$AT$14-Project_Register!$AQ$14)&lt;=0,0,IF(1-Project_Register!$AV$14&lt;=0.000001,IF(Assumptions!Q$96=Assumptions!$C$10+1,(Project_Register!$AT$14-Project_Register!$AQ$14),0),(Project_Register!$AT$14-Project_Register!$AQ$14)*(Q310-Q311)/(1-Project_Register!$AV$14)))*Project_Register!$X$14)</f>
        <v>0</v>
      </c>
      <c r="R312" s="58" t="n">
        <f aca="false">IF(R$5="A",0,IF((Project_Register!$AT$14-Project_Register!$AQ$14)&lt;=0,0,IF(1-Project_Register!$AV$14&lt;=0.000001,IF(Assumptions!R$96=Assumptions!$C$10+1,(Project_Register!$AT$14-Project_Register!$AQ$14),0),(Project_Register!$AT$14-Project_Register!$AQ$14)*(R310-R311)/(1-Project_Register!$AV$14)))*Project_Register!$X$14)</f>
        <v>0</v>
      </c>
      <c r="S312" s="58" t="n">
        <f aca="false">IF(S$5="A",0,IF((Project_Register!$AT$14-Project_Register!$AQ$14)&lt;=0,0,IF(1-Project_Register!$AV$14&lt;=0.000001,IF(Assumptions!S$96=Assumptions!$C$10+1,(Project_Register!$AT$14-Project_Register!$AQ$14),0),(Project_Register!$AT$14-Project_Register!$AQ$14)*(S310-S311)/(1-Project_Register!$AV$14)))*Project_Register!$X$14)</f>
        <v>6901.23456790123</v>
      </c>
      <c r="T312" s="58" t="n">
        <f aca="false">IF(T$5="A",0,IF((Project_Register!$AT$14-Project_Register!$AQ$14)&lt;=0,0,IF(1-Project_Register!$AV$14&lt;=0.000001,IF(Assumptions!T$96=Assumptions!$C$10+1,(Project_Register!$AT$14-Project_Register!$AQ$14),0),(Project_Register!$AT$14-Project_Register!$AQ$14)*(T310-T311)/(1-Project_Register!$AV$14)))*Project_Register!$X$14)</f>
        <v>18495.3086419753</v>
      </c>
      <c r="U312" s="58" t="n">
        <f aca="false">IF(U$5="A",0,IF((Project_Register!$AT$14-Project_Register!$AQ$14)&lt;=0,0,IF(1-Project_Register!$AV$14&lt;=0.000001,IF(Assumptions!U$96=Assumptions!$C$10+1,(Project_Register!$AT$14-Project_Register!$AQ$14),0),(Project_Register!$AT$14-Project_Register!$AQ$14)*(U310-U311)/(1-Project_Register!$AV$14)))*Project_Register!$X$14)</f>
        <v>26776.7901234568</v>
      </c>
      <c r="V312" s="58" t="n">
        <f aca="false">IF(V$5="A",0,IF((Project_Register!$AT$14-Project_Register!$AQ$14)&lt;=0,0,IF(1-Project_Register!$AV$14&lt;=0.000001,IF(Assumptions!V$96=Assumptions!$C$10+1,(Project_Register!$AT$14-Project_Register!$AQ$14),0),(Project_Register!$AT$14-Project_Register!$AQ$14)*(V310-V311)/(1-Project_Register!$AV$14)))*Project_Register!$X$14)</f>
        <v>31745.6790123457</v>
      </c>
      <c r="W312" s="58" t="n">
        <f aca="false">IF(W$5="A",0,IF((Project_Register!$AT$14-Project_Register!$AQ$14)&lt;=0,0,IF(1-Project_Register!$AV$14&lt;=0.000001,IF(Assumptions!W$96=Assumptions!$C$10+1,(Project_Register!$AT$14-Project_Register!$AQ$14),0),(Project_Register!$AT$14-Project_Register!$AQ$14)*(W310-W311)/(1-Project_Register!$AV$14)))*Project_Register!$X$14)</f>
        <v>33401.975308642</v>
      </c>
      <c r="X312" s="58" t="n">
        <f aca="false">IF(X$5="A",0,IF((Project_Register!$AT$14-Project_Register!$AQ$14)&lt;=0,0,IF(1-Project_Register!$AV$14&lt;=0.000001,IF(Assumptions!X$96=Assumptions!$C$10+1,(Project_Register!$AT$14-Project_Register!$AQ$14),0),(Project_Register!$AT$14-Project_Register!$AQ$14)*(X310-X311)/(1-Project_Register!$AV$14)))*Project_Register!$X$14)</f>
        <v>31745.6790123457</v>
      </c>
      <c r="Y312" s="58" t="n">
        <f aca="false">IF(Y$5="A",0,IF((Project_Register!$AT$14-Project_Register!$AQ$14)&lt;=0,0,IF(1-Project_Register!$AV$14&lt;=0.000001,IF(Assumptions!Y$96=Assumptions!$C$10+1,(Project_Register!$AT$14-Project_Register!$AQ$14),0),(Project_Register!$AT$14-Project_Register!$AQ$14)*(Y310-Y311)/(1-Project_Register!$AV$14)))*Project_Register!$X$14)</f>
        <v>26776.7901234568</v>
      </c>
      <c r="Z312" s="58" t="n">
        <f aca="false">IF(Z$5="A",0,IF((Project_Register!$AT$14-Project_Register!$AQ$14)&lt;=0,0,IF(1-Project_Register!$AV$14&lt;=0.000001,IF(Assumptions!Z$96=Assumptions!$C$10+1,(Project_Register!$AT$14-Project_Register!$AQ$14),0),(Project_Register!$AT$14-Project_Register!$AQ$14)*(Z310-Z311)/(1-Project_Register!$AV$14)))*Project_Register!$X$14)</f>
        <v>18495.3086419754</v>
      </c>
      <c r="AA312" s="58" t="n">
        <f aca="false">IF(AA$5="A",0,IF((Project_Register!$AT$14-Project_Register!$AQ$14)&lt;=0,0,IF(1-Project_Register!$AV$14&lt;=0.000001,IF(Assumptions!AA$96=Assumptions!$C$10+1,(Project_Register!$AT$14-Project_Register!$AQ$14),0),(Project_Register!$AT$14-Project_Register!$AQ$14)*(AA310-AA311)/(1-Project_Register!$AV$14)))*Project_Register!$X$14)</f>
        <v>6901.2345679012</v>
      </c>
      <c r="AB312" s="58" t="n">
        <f aca="false">IF(AB$5="A",0,IF((Project_Register!$AT$14-Project_Register!$AQ$14)&lt;=0,0,IF(1-Project_Register!$AV$14&lt;=0.000001,IF(Assumptions!AB$96=Assumptions!$C$10+1,(Project_Register!$AT$14-Project_Register!$AQ$14),0),(Project_Register!$AT$14-Project_Register!$AQ$14)*(AB310-AB311)/(1-Project_Register!$AV$14)))*Project_Register!$X$14)</f>
        <v>0</v>
      </c>
    </row>
    <row r="313" customFormat="false" ht="15" hidden="false" customHeight="false" outlineLevel="0" collapsed="false">
      <c r="A313" s="27" t="s">
        <v>723</v>
      </c>
      <c r="B313" s="56" t="s">
        <v>722</v>
      </c>
      <c r="C313" s="57" t="n">
        <f aca="false">SUM(E313:P313)</f>
        <v>0</v>
      </c>
      <c r="D313" s="57" t="n">
        <f aca="false">SUM(Q313:AB313)</f>
        <v>866880</v>
      </c>
      <c r="E313" s="58" t="n">
        <f aca="false">IF(E$5="A",0,IF((Project_Register!$AT$14-Project_Register!$AQ$14)&lt;=0,0,IF(1-Project_Register!$AV$14&lt;=0.000001,IF(Assumptions!E$96=Assumptions!$C$10+1,(Project_Register!$AT$14-Project_Register!$AQ$14),0),(Project_Register!$AT$14-Project_Register!$AQ$14)*(E310-E311)/(1-Project_Register!$AV$14)))*Project_Register!$Y$14)</f>
        <v>0</v>
      </c>
      <c r="F313" s="58" t="n">
        <f aca="false">IF(F$5="A",0,IF((Project_Register!$AT$14-Project_Register!$AQ$14)&lt;=0,0,IF(1-Project_Register!$AV$14&lt;=0.000001,IF(Assumptions!F$96=Assumptions!$C$10+1,(Project_Register!$AT$14-Project_Register!$AQ$14),0),(Project_Register!$AT$14-Project_Register!$AQ$14)*(F310-F311)/(1-Project_Register!$AV$14)))*Project_Register!$Y$14)</f>
        <v>0</v>
      </c>
      <c r="G313" s="58" t="n">
        <f aca="false">IF(G$5="A",0,IF((Project_Register!$AT$14-Project_Register!$AQ$14)&lt;=0,0,IF(1-Project_Register!$AV$14&lt;=0.000001,IF(Assumptions!G$96=Assumptions!$C$10+1,(Project_Register!$AT$14-Project_Register!$AQ$14),0),(Project_Register!$AT$14-Project_Register!$AQ$14)*(G310-G311)/(1-Project_Register!$AV$14)))*Project_Register!$Y$14)</f>
        <v>0</v>
      </c>
      <c r="H313" s="58" t="n">
        <f aca="false">IF(H$5="A",0,IF((Project_Register!$AT$14-Project_Register!$AQ$14)&lt;=0,0,IF(1-Project_Register!$AV$14&lt;=0.000001,IF(Assumptions!H$96=Assumptions!$C$10+1,(Project_Register!$AT$14-Project_Register!$AQ$14),0),(Project_Register!$AT$14-Project_Register!$AQ$14)*(H310-H311)/(1-Project_Register!$AV$14)))*Project_Register!$Y$14)</f>
        <v>0</v>
      </c>
      <c r="I313" s="58" t="n">
        <f aca="false">IF(I$5="A",0,IF((Project_Register!$AT$14-Project_Register!$AQ$14)&lt;=0,0,IF(1-Project_Register!$AV$14&lt;=0.000001,IF(Assumptions!I$96=Assumptions!$C$10+1,(Project_Register!$AT$14-Project_Register!$AQ$14),0),(Project_Register!$AT$14-Project_Register!$AQ$14)*(I310-I311)/(1-Project_Register!$AV$14)))*Project_Register!$Y$14)</f>
        <v>0</v>
      </c>
      <c r="J313" s="58" t="n">
        <f aca="false">IF(J$5="A",0,IF((Project_Register!$AT$14-Project_Register!$AQ$14)&lt;=0,0,IF(1-Project_Register!$AV$14&lt;=0.000001,IF(Assumptions!J$96=Assumptions!$C$10+1,(Project_Register!$AT$14-Project_Register!$AQ$14),0),(Project_Register!$AT$14-Project_Register!$AQ$14)*(J310-J311)/(1-Project_Register!$AV$14)))*Project_Register!$Y$14)</f>
        <v>0</v>
      </c>
      <c r="K313" s="58" t="n">
        <f aca="false">IF(K$5="A",0,IF((Project_Register!$AT$14-Project_Register!$AQ$14)&lt;=0,0,IF(1-Project_Register!$AV$14&lt;=0.000001,IF(Assumptions!K$96=Assumptions!$C$10+1,(Project_Register!$AT$14-Project_Register!$AQ$14),0),(Project_Register!$AT$14-Project_Register!$AQ$14)*(K310-K311)/(1-Project_Register!$AV$14)))*Project_Register!$Y$14)</f>
        <v>0</v>
      </c>
      <c r="L313" s="58" t="n">
        <f aca="false">IF(L$5="A",0,IF((Project_Register!$AT$14-Project_Register!$AQ$14)&lt;=0,0,IF(1-Project_Register!$AV$14&lt;=0.000001,IF(Assumptions!L$96=Assumptions!$C$10+1,(Project_Register!$AT$14-Project_Register!$AQ$14),0),(Project_Register!$AT$14-Project_Register!$AQ$14)*(L310-L311)/(1-Project_Register!$AV$14)))*Project_Register!$Y$14)</f>
        <v>0</v>
      </c>
      <c r="M313" s="58" t="n">
        <f aca="false">IF(M$5="A",0,IF((Project_Register!$AT$14-Project_Register!$AQ$14)&lt;=0,0,IF(1-Project_Register!$AV$14&lt;=0.000001,IF(Assumptions!M$96=Assumptions!$C$10+1,(Project_Register!$AT$14-Project_Register!$AQ$14),0),(Project_Register!$AT$14-Project_Register!$AQ$14)*(M310-M311)/(1-Project_Register!$AV$14)))*Project_Register!$Y$14)</f>
        <v>0</v>
      </c>
      <c r="N313" s="58" t="n">
        <f aca="false">IF(N$5="A",0,IF((Project_Register!$AT$14-Project_Register!$AQ$14)&lt;=0,0,IF(1-Project_Register!$AV$14&lt;=0.000001,IF(Assumptions!N$96=Assumptions!$C$10+1,(Project_Register!$AT$14-Project_Register!$AQ$14),0),(Project_Register!$AT$14-Project_Register!$AQ$14)*(N310-N311)/(1-Project_Register!$AV$14)))*Project_Register!$Y$14)</f>
        <v>0</v>
      </c>
      <c r="O313" s="58" t="n">
        <f aca="false">IF(O$5="A",0,IF((Project_Register!$AT$14-Project_Register!$AQ$14)&lt;=0,0,IF(1-Project_Register!$AV$14&lt;=0.000001,IF(Assumptions!O$96=Assumptions!$C$10+1,(Project_Register!$AT$14-Project_Register!$AQ$14),0),(Project_Register!$AT$14-Project_Register!$AQ$14)*(O310-O311)/(1-Project_Register!$AV$14)))*Project_Register!$Y$14)</f>
        <v>0</v>
      </c>
      <c r="P313" s="58" t="n">
        <f aca="false">IF(P$5="A",0,IF((Project_Register!$AT$14-Project_Register!$AQ$14)&lt;=0,0,IF(1-Project_Register!$AV$14&lt;=0.000001,IF(Assumptions!P$96=Assumptions!$C$10+1,(Project_Register!$AT$14-Project_Register!$AQ$14),0),(Project_Register!$AT$14-Project_Register!$AQ$14)*(P310-P311)/(1-Project_Register!$AV$14)))*Project_Register!$Y$14)</f>
        <v>0</v>
      </c>
      <c r="Q313" s="58" t="n">
        <f aca="false">IF(Q$5="A",0,IF((Project_Register!$AT$14-Project_Register!$AQ$14)&lt;=0,0,IF(1-Project_Register!$AV$14&lt;=0.000001,IF(Assumptions!Q$96=Assumptions!$C$10+1,(Project_Register!$AT$14-Project_Register!$AQ$14),0),(Project_Register!$AT$14-Project_Register!$AQ$14)*(Q310-Q311)/(1-Project_Register!$AV$14)))*Project_Register!$Y$14)</f>
        <v>0</v>
      </c>
      <c r="R313" s="58" t="n">
        <f aca="false">IF(R$5="A",0,IF((Project_Register!$AT$14-Project_Register!$AQ$14)&lt;=0,0,IF(1-Project_Register!$AV$14&lt;=0.000001,IF(Assumptions!R$96=Assumptions!$C$10+1,(Project_Register!$AT$14-Project_Register!$AQ$14),0),(Project_Register!$AT$14-Project_Register!$AQ$14)*(R310-R311)/(1-Project_Register!$AV$14)))*Project_Register!$Y$14)</f>
        <v>0</v>
      </c>
      <c r="S313" s="58" t="n">
        <f aca="false">IF(S$5="A",0,IF((Project_Register!$AT$14-Project_Register!$AQ$14)&lt;=0,0,IF(1-Project_Register!$AV$14&lt;=0.000001,IF(Assumptions!S$96=Assumptions!$C$10+1,(Project_Register!$AT$14-Project_Register!$AQ$14),0),(Project_Register!$AT$14-Project_Register!$AQ$14)*(S310-S311)/(1-Project_Register!$AV$14)))*Project_Register!$Y$14)</f>
        <v>29728.3950617284</v>
      </c>
      <c r="T313" s="58" t="n">
        <f aca="false">IF(T$5="A",0,IF((Project_Register!$AT$14-Project_Register!$AQ$14)&lt;=0,0,IF(1-Project_Register!$AV$14&lt;=0.000001,IF(Assumptions!T$96=Assumptions!$C$10+1,(Project_Register!$AT$14-Project_Register!$AQ$14),0),(Project_Register!$AT$14-Project_Register!$AQ$14)*(T310-T311)/(1-Project_Register!$AV$14)))*Project_Register!$Y$14)</f>
        <v>79672.0987654321</v>
      </c>
      <c r="U313" s="58" t="n">
        <f aca="false">IF(U$5="A",0,IF((Project_Register!$AT$14-Project_Register!$AQ$14)&lt;=0,0,IF(1-Project_Register!$AV$14&lt;=0.000001,IF(Assumptions!U$96=Assumptions!$C$10+1,(Project_Register!$AT$14-Project_Register!$AQ$14),0),(Project_Register!$AT$14-Project_Register!$AQ$14)*(U310-U311)/(1-Project_Register!$AV$14)))*Project_Register!$Y$14)</f>
        <v>115346.172839506</v>
      </c>
      <c r="V313" s="58" t="n">
        <f aca="false">IF(V$5="A",0,IF((Project_Register!$AT$14-Project_Register!$AQ$14)&lt;=0,0,IF(1-Project_Register!$AV$14&lt;=0.000001,IF(Assumptions!V$96=Assumptions!$C$10+1,(Project_Register!$AT$14-Project_Register!$AQ$14),0),(Project_Register!$AT$14-Project_Register!$AQ$14)*(V310-V311)/(1-Project_Register!$AV$14)))*Project_Register!$Y$14)</f>
        <v>136750.617283951</v>
      </c>
      <c r="W313" s="58" t="n">
        <f aca="false">IF(W$5="A",0,IF((Project_Register!$AT$14-Project_Register!$AQ$14)&lt;=0,0,IF(1-Project_Register!$AV$14&lt;=0.000001,IF(Assumptions!W$96=Assumptions!$C$10+1,(Project_Register!$AT$14-Project_Register!$AQ$14),0),(Project_Register!$AT$14-Project_Register!$AQ$14)*(W310-W311)/(1-Project_Register!$AV$14)))*Project_Register!$Y$14)</f>
        <v>143885.432098765</v>
      </c>
      <c r="X313" s="58" t="n">
        <f aca="false">IF(X$5="A",0,IF((Project_Register!$AT$14-Project_Register!$AQ$14)&lt;=0,0,IF(1-Project_Register!$AV$14&lt;=0.000001,IF(Assumptions!X$96=Assumptions!$C$10+1,(Project_Register!$AT$14-Project_Register!$AQ$14),0),(Project_Register!$AT$14-Project_Register!$AQ$14)*(X310-X311)/(1-Project_Register!$AV$14)))*Project_Register!$Y$14)</f>
        <v>136750.617283951</v>
      </c>
      <c r="Y313" s="58" t="n">
        <f aca="false">IF(Y$5="A",0,IF((Project_Register!$AT$14-Project_Register!$AQ$14)&lt;=0,0,IF(1-Project_Register!$AV$14&lt;=0.000001,IF(Assumptions!Y$96=Assumptions!$C$10+1,(Project_Register!$AT$14-Project_Register!$AQ$14),0),(Project_Register!$AT$14-Project_Register!$AQ$14)*(Y310-Y311)/(1-Project_Register!$AV$14)))*Project_Register!$Y$14)</f>
        <v>115346.172839506</v>
      </c>
      <c r="Z313" s="58" t="n">
        <f aca="false">IF(Z$5="A",0,IF((Project_Register!$AT$14-Project_Register!$AQ$14)&lt;=0,0,IF(1-Project_Register!$AV$14&lt;=0.000001,IF(Assumptions!Z$96=Assumptions!$C$10+1,(Project_Register!$AT$14-Project_Register!$AQ$14),0),(Project_Register!$AT$14-Project_Register!$AQ$14)*(Z310-Z311)/(1-Project_Register!$AV$14)))*Project_Register!$Y$14)</f>
        <v>79672.0987654323</v>
      </c>
      <c r="AA313" s="58" t="n">
        <f aca="false">IF(AA$5="A",0,IF((Project_Register!$AT$14-Project_Register!$AQ$14)&lt;=0,0,IF(1-Project_Register!$AV$14&lt;=0.000001,IF(Assumptions!AA$96=Assumptions!$C$10+1,(Project_Register!$AT$14-Project_Register!$AQ$14),0),(Project_Register!$AT$14-Project_Register!$AQ$14)*(AA310-AA311)/(1-Project_Register!$AV$14)))*Project_Register!$Y$14)</f>
        <v>29728.3950617282</v>
      </c>
      <c r="AB313" s="58" t="n">
        <f aca="false">IF(AB$5="A",0,IF((Project_Register!$AT$14-Project_Register!$AQ$14)&lt;=0,0,IF(1-Project_Register!$AV$14&lt;=0.000001,IF(Assumptions!AB$96=Assumptions!$C$10+1,(Project_Register!$AT$14-Project_Register!$AQ$14),0),(Project_Register!$AT$14-Project_Register!$AQ$14)*(AB310-AB311)/(1-Project_Register!$AV$14)))*Project_Register!$Y$14)</f>
        <v>0</v>
      </c>
    </row>
    <row r="314" customFormat="false" ht="15" hidden="false" customHeight="false" outlineLevel="0" collapsed="false">
      <c r="A314" s="27" t="s">
        <v>724</v>
      </c>
      <c r="B314" s="56" t="s">
        <v>722</v>
      </c>
      <c r="C314" s="57" t="n">
        <f aca="false">SUM(E314:P314)</f>
        <v>0</v>
      </c>
      <c r="D314" s="57" t="n">
        <f aca="false">SUM(Q314:AB314)</f>
        <v>356040</v>
      </c>
      <c r="E314" s="58" t="n">
        <f aca="false">IF(E$5="A",0,IF((Project_Register!$AT$14-Project_Register!$AQ$14)&lt;=0,0,IF(1-Project_Register!$AV$14&lt;=0.000001,IF(Assumptions!E$96=Assumptions!$C$10+1,(Project_Register!$AT$14-Project_Register!$AQ$14),0),(Project_Register!$AT$14-Project_Register!$AQ$14)*(E310-E311)/(1-Project_Register!$AV$14)))*Project_Register!$Z$14)</f>
        <v>0</v>
      </c>
      <c r="F314" s="58" t="n">
        <f aca="false">IF(F$5="A",0,IF((Project_Register!$AT$14-Project_Register!$AQ$14)&lt;=0,0,IF(1-Project_Register!$AV$14&lt;=0.000001,IF(Assumptions!F$96=Assumptions!$C$10+1,(Project_Register!$AT$14-Project_Register!$AQ$14),0),(Project_Register!$AT$14-Project_Register!$AQ$14)*(F310-F311)/(1-Project_Register!$AV$14)))*Project_Register!$Z$14)</f>
        <v>0</v>
      </c>
      <c r="G314" s="58" t="n">
        <f aca="false">IF(G$5="A",0,IF((Project_Register!$AT$14-Project_Register!$AQ$14)&lt;=0,0,IF(1-Project_Register!$AV$14&lt;=0.000001,IF(Assumptions!G$96=Assumptions!$C$10+1,(Project_Register!$AT$14-Project_Register!$AQ$14),0),(Project_Register!$AT$14-Project_Register!$AQ$14)*(G310-G311)/(1-Project_Register!$AV$14)))*Project_Register!$Z$14)</f>
        <v>0</v>
      </c>
      <c r="H314" s="58" t="n">
        <f aca="false">IF(H$5="A",0,IF((Project_Register!$AT$14-Project_Register!$AQ$14)&lt;=0,0,IF(1-Project_Register!$AV$14&lt;=0.000001,IF(Assumptions!H$96=Assumptions!$C$10+1,(Project_Register!$AT$14-Project_Register!$AQ$14),0),(Project_Register!$AT$14-Project_Register!$AQ$14)*(H310-H311)/(1-Project_Register!$AV$14)))*Project_Register!$Z$14)</f>
        <v>0</v>
      </c>
      <c r="I314" s="58" t="n">
        <f aca="false">IF(I$5="A",0,IF((Project_Register!$AT$14-Project_Register!$AQ$14)&lt;=0,0,IF(1-Project_Register!$AV$14&lt;=0.000001,IF(Assumptions!I$96=Assumptions!$C$10+1,(Project_Register!$AT$14-Project_Register!$AQ$14),0),(Project_Register!$AT$14-Project_Register!$AQ$14)*(I310-I311)/(1-Project_Register!$AV$14)))*Project_Register!$Z$14)</f>
        <v>0</v>
      </c>
      <c r="J314" s="58" t="n">
        <f aca="false">IF(J$5="A",0,IF((Project_Register!$AT$14-Project_Register!$AQ$14)&lt;=0,0,IF(1-Project_Register!$AV$14&lt;=0.000001,IF(Assumptions!J$96=Assumptions!$C$10+1,(Project_Register!$AT$14-Project_Register!$AQ$14),0),(Project_Register!$AT$14-Project_Register!$AQ$14)*(J310-J311)/(1-Project_Register!$AV$14)))*Project_Register!$Z$14)</f>
        <v>0</v>
      </c>
      <c r="K314" s="58" t="n">
        <f aca="false">IF(K$5="A",0,IF((Project_Register!$AT$14-Project_Register!$AQ$14)&lt;=0,0,IF(1-Project_Register!$AV$14&lt;=0.000001,IF(Assumptions!K$96=Assumptions!$C$10+1,(Project_Register!$AT$14-Project_Register!$AQ$14),0),(Project_Register!$AT$14-Project_Register!$AQ$14)*(K310-K311)/(1-Project_Register!$AV$14)))*Project_Register!$Z$14)</f>
        <v>0</v>
      </c>
      <c r="L314" s="58" t="n">
        <f aca="false">IF(L$5="A",0,IF((Project_Register!$AT$14-Project_Register!$AQ$14)&lt;=0,0,IF(1-Project_Register!$AV$14&lt;=0.000001,IF(Assumptions!L$96=Assumptions!$C$10+1,(Project_Register!$AT$14-Project_Register!$AQ$14),0),(Project_Register!$AT$14-Project_Register!$AQ$14)*(L310-L311)/(1-Project_Register!$AV$14)))*Project_Register!$Z$14)</f>
        <v>0</v>
      </c>
      <c r="M314" s="58" t="n">
        <f aca="false">IF(M$5="A",0,IF((Project_Register!$AT$14-Project_Register!$AQ$14)&lt;=0,0,IF(1-Project_Register!$AV$14&lt;=0.000001,IF(Assumptions!M$96=Assumptions!$C$10+1,(Project_Register!$AT$14-Project_Register!$AQ$14),0),(Project_Register!$AT$14-Project_Register!$AQ$14)*(M310-M311)/(1-Project_Register!$AV$14)))*Project_Register!$Z$14)</f>
        <v>0</v>
      </c>
      <c r="N314" s="58" t="n">
        <f aca="false">IF(N$5="A",0,IF((Project_Register!$AT$14-Project_Register!$AQ$14)&lt;=0,0,IF(1-Project_Register!$AV$14&lt;=0.000001,IF(Assumptions!N$96=Assumptions!$C$10+1,(Project_Register!$AT$14-Project_Register!$AQ$14),0),(Project_Register!$AT$14-Project_Register!$AQ$14)*(N310-N311)/(1-Project_Register!$AV$14)))*Project_Register!$Z$14)</f>
        <v>0</v>
      </c>
      <c r="O314" s="58" t="n">
        <f aca="false">IF(O$5="A",0,IF((Project_Register!$AT$14-Project_Register!$AQ$14)&lt;=0,0,IF(1-Project_Register!$AV$14&lt;=0.000001,IF(Assumptions!O$96=Assumptions!$C$10+1,(Project_Register!$AT$14-Project_Register!$AQ$14),0),(Project_Register!$AT$14-Project_Register!$AQ$14)*(O310-O311)/(1-Project_Register!$AV$14)))*Project_Register!$Z$14)</f>
        <v>0</v>
      </c>
      <c r="P314" s="58" t="n">
        <f aca="false">IF(P$5="A",0,IF((Project_Register!$AT$14-Project_Register!$AQ$14)&lt;=0,0,IF(1-Project_Register!$AV$14&lt;=0.000001,IF(Assumptions!P$96=Assumptions!$C$10+1,(Project_Register!$AT$14-Project_Register!$AQ$14),0),(Project_Register!$AT$14-Project_Register!$AQ$14)*(P310-P311)/(1-Project_Register!$AV$14)))*Project_Register!$Z$14)</f>
        <v>0</v>
      </c>
      <c r="Q314" s="58" t="n">
        <f aca="false">IF(Q$5="A",0,IF((Project_Register!$AT$14-Project_Register!$AQ$14)&lt;=0,0,IF(1-Project_Register!$AV$14&lt;=0.000001,IF(Assumptions!Q$96=Assumptions!$C$10+1,(Project_Register!$AT$14-Project_Register!$AQ$14),0),(Project_Register!$AT$14-Project_Register!$AQ$14)*(Q310-Q311)/(1-Project_Register!$AV$14)))*Project_Register!$Z$14)</f>
        <v>0</v>
      </c>
      <c r="R314" s="58" t="n">
        <f aca="false">IF(R$5="A",0,IF((Project_Register!$AT$14-Project_Register!$AQ$14)&lt;=0,0,IF(1-Project_Register!$AV$14&lt;=0.000001,IF(Assumptions!R$96=Assumptions!$C$10+1,(Project_Register!$AT$14-Project_Register!$AQ$14),0),(Project_Register!$AT$14-Project_Register!$AQ$14)*(R310-R311)/(1-Project_Register!$AV$14)))*Project_Register!$Z$14)</f>
        <v>0</v>
      </c>
      <c r="S314" s="58" t="n">
        <f aca="false">IF(S$5="A",0,IF((Project_Register!$AT$14-Project_Register!$AQ$14)&lt;=0,0,IF(1-Project_Register!$AV$14&lt;=0.000001,IF(Assumptions!S$96=Assumptions!$C$10+1,(Project_Register!$AT$14-Project_Register!$AQ$14),0),(Project_Register!$AT$14-Project_Register!$AQ$14)*(S310-S311)/(1-Project_Register!$AV$14)))*Project_Register!$Z$14)</f>
        <v>12209.8765432099</v>
      </c>
      <c r="T314" s="58" t="n">
        <f aca="false">IF(T$5="A",0,IF((Project_Register!$AT$14-Project_Register!$AQ$14)&lt;=0,0,IF(1-Project_Register!$AV$14&lt;=0.000001,IF(Assumptions!T$96=Assumptions!$C$10+1,(Project_Register!$AT$14-Project_Register!$AQ$14),0),(Project_Register!$AT$14-Project_Register!$AQ$14)*(T310-T311)/(1-Project_Register!$AV$14)))*Project_Register!$Z$14)</f>
        <v>32722.4691358025</v>
      </c>
      <c r="U314" s="58" t="n">
        <f aca="false">IF(U$5="A",0,IF((Project_Register!$AT$14-Project_Register!$AQ$14)&lt;=0,0,IF(1-Project_Register!$AV$14&lt;=0.000001,IF(Assumptions!U$96=Assumptions!$C$10+1,(Project_Register!$AT$14-Project_Register!$AQ$14),0),(Project_Register!$AT$14-Project_Register!$AQ$14)*(U310-U311)/(1-Project_Register!$AV$14)))*Project_Register!$Z$14)</f>
        <v>47374.3209876543</v>
      </c>
      <c r="V314" s="58" t="n">
        <f aca="false">IF(V$5="A",0,IF((Project_Register!$AT$14-Project_Register!$AQ$14)&lt;=0,0,IF(1-Project_Register!$AV$14&lt;=0.000001,IF(Assumptions!V$96=Assumptions!$C$10+1,(Project_Register!$AT$14-Project_Register!$AQ$14),0),(Project_Register!$AT$14-Project_Register!$AQ$14)*(V310-V311)/(1-Project_Register!$AV$14)))*Project_Register!$Z$14)</f>
        <v>56165.4320987654</v>
      </c>
      <c r="W314" s="58" t="n">
        <f aca="false">IF(W$5="A",0,IF((Project_Register!$AT$14-Project_Register!$AQ$14)&lt;=0,0,IF(1-Project_Register!$AV$14&lt;=0.000001,IF(Assumptions!W$96=Assumptions!$C$10+1,(Project_Register!$AT$14-Project_Register!$AQ$14),0),(Project_Register!$AT$14-Project_Register!$AQ$14)*(W310-W311)/(1-Project_Register!$AV$14)))*Project_Register!$Z$14)</f>
        <v>59095.8024691358</v>
      </c>
      <c r="X314" s="58" t="n">
        <f aca="false">IF(X$5="A",0,IF((Project_Register!$AT$14-Project_Register!$AQ$14)&lt;=0,0,IF(1-Project_Register!$AV$14&lt;=0.000001,IF(Assumptions!X$96=Assumptions!$C$10+1,(Project_Register!$AT$14-Project_Register!$AQ$14),0),(Project_Register!$AT$14-Project_Register!$AQ$14)*(X310-X311)/(1-Project_Register!$AV$14)))*Project_Register!$Z$14)</f>
        <v>56165.4320987654</v>
      </c>
      <c r="Y314" s="58" t="n">
        <f aca="false">IF(Y$5="A",0,IF((Project_Register!$AT$14-Project_Register!$AQ$14)&lt;=0,0,IF(1-Project_Register!$AV$14&lt;=0.000001,IF(Assumptions!Y$96=Assumptions!$C$10+1,(Project_Register!$AT$14-Project_Register!$AQ$14),0),(Project_Register!$AT$14-Project_Register!$AQ$14)*(Y310-Y311)/(1-Project_Register!$AV$14)))*Project_Register!$Z$14)</f>
        <v>47374.3209876543</v>
      </c>
      <c r="Z314" s="58" t="n">
        <f aca="false">IF(Z$5="A",0,IF((Project_Register!$AT$14-Project_Register!$AQ$14)&lt;=0,0,IF(1-Project_Register!$AV$14&lt;=0.000001,IF(Assumptions!Z$96=Assumptions!$C$10+1,(Project_Register!$AT$14-Project_Register!$AQ$14),0),(Project_Register!$AT$14-Project_Register!$AQ$14)*(Z310-Z311)/(1-Project_Register!$AV$14)))*Project_Register!$Z$14)</f>
        <v>32722.4691358025</v>
      </c>
      <c r="AA314" s="58" t="n">
        <f aca="false">IF(AA$5="A",0,IF((Project_Register!$AT$14-Project_Register!$AQ$14)&lt;=0,0,IF(1-Project_Register!$AV$14&lt;=0.000001,IF(Assumptions!AA$96=Assumptions!$C$10+1,(Project_Register!$AT$14-Project_Register!$AQ$14),0),(Project_Register!$AT$14-Project_Register!$AQ$14)*(AA310-AA311)/(1-Project_Register!$AV$14)))*Project_Register!$Z$14)</f>
        <v>12209.8765432098</v>
      </c>
      <c r="AB314" s="58" t="n">
        <f aca="false">IF(AB$5="A",0,IF((Project_Register!$AT$14-Project_Register!$AQ$14)&lt;=0,0,IF(1-Project_Register!$AV$14&lt;=0.000001,IF(Assumptions!AB$96=Assumptions!$C$10+1,(Project_Register!$AT$14-Project_Register!$AQ$14),0),(Project_Register!$AT$14-Project_Register!$AQ$14)*(AB310-AB311)/(1-Project_Register!$AV$14)))*Project_Register!$Z$14)</f>
        <v>0</v>
      </c>
    </row>
    <row r="315" customFormat="false" ht="15" hidden="false" customHeight="false" outlineLevel="0" collapsed="false">
      <c r="A315" s="27" t="s">
        <v>725</v>
      </c>
      <c r="B315" s="56" t="s">
        <v>722</v>
      </c>
      <c r="C315" s="57" t="n">
        <f aca="false">SUM(E315:P315)</f>
        <v>0</v>
      </c>
      <c r="D315" s="57" t="n">
        <f aca="false">SUM(Q315:AB315)</f>
        <v>46440</v>
      </c>
      <c r="E315" s="58" t="n">
        <f aca="false">IF(E$5="A",0,IF((Project_Register!$AT$14-Project_Register!$AQ$14)&lt;=0,0,IF(1-Project_Register!$AV$14&lt;=0.000001,IF(Assumptions!E$96=Assumptions!$C$10+1,(Project_Register!$AT$14-Project_Register!$AQ$14),0),(Project_Register!$AT$14-Project_Register!$AQ$14)*(E310-E311)/(1-Project_Register!$AV$14)))*Project_Register!$AA$14)</f>
        <v>0</v>
      </c>
      <c r="F315" s="58" t="n">
        <f aca="false">IF(F$5="A",0,IF((Project_Register!$AT$14-Project_Register!$AQ$14)&lt;=0,0,IF(1-Project_Register!$AV$14&lt;=0.000001,IF(Assumptions!F$96=Assumptions!$C$10+1,(Project_Register!$AT$14-Project_Register!$AQ$14),0),(Project_Register!$AT$14-Project_Register!$AQ$14)*(F310-F311)/(1-Project_Register!$AV$14)))*Project_Register!$AA$14)</f>
        <v>0</v>
      </c>
      <c r="G315" s="58" t="n">
        <f aca="false">IF(G$5="A",0,IF((Project_Register!$AT$14-Project_Register!$AQ$14)&lt;=0,0,IF(1-Project_Register!$AV$14&lt;=0.000001,IF(Assumptions!G$96=Assumptions!$C$10+1,(Project_Register!$AT$14-Project_Register!$AQ$14),0),(Project_Register!$AT$14-Project_Register!$AQ$14)*(G310-G311)/(1-Project_Register!$AV$14)))*Project_Register!$AA$14)</f>
        <v>0</v>
      </c>
      <c r="H315" s="58" t="n">
        <f aca="false">IF(H$5="A",0,IF((Project_Register!$AT$14-Project_Register!$AQ$14)&lt;=0,0,IF(1-Project_Register!$AV$14&lt;=0.000001,IF(Assumptions!H$96=Assumptions!$C$10+1,(Project_Register!$AT$14-Project_Register!$AQ$14),0),(Project_Register!$AT$14-Project_Register!$AQ$14)*(H310-H311)/(1-Project_Register!$AV$14)))*Project_Register!$AA$14)</f>
        <v>0</v>
      </c>
      <c r="I315" s="58" t="n">
        <f aca="false">IF(I$5="A",0,IF((Project_Register!$AT$14-Project_Register!$AQ$14)&lt;=0,0,IF(1-Project_Register!$AV$14&lt;=0.000001,IF(Assumptions!I$96=Assumptions!$C$10+1,(Project_Register!$AT$14-Project_Register!$AQ$14),0),(Project_Register!$AT$14-Project_Register!$AQ$14)*(I310-I311)/(1-Project_Register!$AV$14)))*Project_Register!$AA$14)</f>
        <v>0</v>
      </c>
      <c r="J315" s="58" t="n">
        <f aca="false">IF(J$5="A",0,IF((Project_Register!$AT$14-Project_Register!$AQ$14)&lt;=0,0,IF(1-Project_Register!$AV$14&lt;=0.000001,IF(Assumptions!J$96=Assumptions!$C$10+1,(Project_Register!$AT$14-Project_Register!$AQ$14),0),(Project_Register!$AT$14-Project_Register!$AQ$14)*(J310-J311)/(1-Project_Register!$AV$14)))*Project_Register!$AA$14)</f>
        <v>0</v>
      </c>
      <c r="K315" s="58" t="n">
        <f aca="false">IF(K$5="A",0,IF((Project_Register!$AT$14-Project_Register!$AQ$14)&lt;=0,0,IF(1-Project_Register!$AV$14&lt;=0.000001,IF(Assumptions!K$96=Assumptions!$C$10+1,(Project_Register!$AT$14-Project_Register!$AQ$14),0),(Project_Register!$AT$14-Project_Register!$AQ$14)*(K310-K311)/(1-Project_Register!$AV$14)))*Project_Register!$AA$14)</f>
        <v>0</v>
      </c>
      <c r="L315" s="58" t="n">
        <f aca="false">IF(L$5="A",0,IF((Project_Register!$AT$14-Project_Register!$AQ$14)&lt;=0,0,IF(1-Project_Register!$AV$14&lt;=0.000001,IF(Assumptions!L$96=Assumptions!$C$10+1,(Project_Register!$AT$14-Project_Register!$AQ$14),0),(Project_Register!$AT$14-Project_Register!$AQ$14)*(L310-L311)/(1-Project_Register!$AV$14)))*Project_Register!$AA$14)</f>
        <v>0</v>
      </c>
      <c r="M315" s="58" t="n">
        <f aca="false">IF(M$5="A",0,IF((Project_Register!$AT$14-Project_Register!$AQ$14)&lt;=0,0,IF(1-Project_Register!$AV$14&lt;=0.000001,IF(Assumptions!M$96=Assumptions!$C$10+1,(Project_Register!$AT$14-Project_Register!$AQ$14),0),(Project_Register!$AT$14-Project_Register!$AQ$14)*(M310-M311)/(1-Project_Register!$AV$14)))*Project_Register!$AA$14)</f>
        <v>0</v>
      </c>
      <c r="N315" s="58" t="n">
        <f aca="false">IF(N$5="A",0,IF((Project_Register!$AT$14-Project_Register!$AQ$14)&lt;=0,0,IF(1-Project_Register!$AV$14&lt;=0.000001,IF(Assumptions!N$96=Assumptions!$C$10+1,(Project_Register!$AT$14-Project_Register!$AQ$14),0),(Project_Register!$AT$14-Project_Register!$AQ$14)*(N310-N311)/(1-Project_Register!$AV$14)))*Project_Register!$AA$14)</f>
        <v>0</v>
      </c>
      <c r="O315" s="58" t="n">
        <f aca="false">IF(O$5="A",0,IF((Project_Register!$AT$14-Project_Register!$AQ$14)&lt;=0,0,IF(1-Project_Register!$AV$14&lt;=0.000001,IF(Assumptions!O$96=Assumptions!$C$10+1,(Project_Register!$AT$14-Project_Register!$AQ$14),0),(Project_Register!$AT$14-Project_Register!$AQ$14)*(O310-O311)/(1-Project_Register!$AV$14)))*Project_Register!$AA$14)</f>
        <v>0</v>
      </c>
      <c r="P315" s="58" t="n">
        <f aca="false">IF(P$5="A",0,IF((Project_Register!$AT$14-Project_Register!$AQ$14)&lt;=0,0,IF(1-Project_Register!$AV$14&lt;=0.000001,IF(Assumptions!P$96=Assumptions!$C$10+1,(Project_Register!$AT$14-Project_Register!$AQ$14),0),(Project_Register!$AT$14-Project_Register!$AQ$14)*(P310-P311)/(1-Project_Register!$AV$14)))*Project_Register!$AA$14)</f>
        <v>0</v>
      </c>
      <c r="Q315" s="58" t="n">
        <f aca="false">IF(Q$5="A",0,IF((Project_Register!$AT$14-Project_Register!$AQ$14)&lt;=0,0,IF(1-Project_Register!$AV$14&lt;=0.000001,IF(Assumptions!Q$96=Assumptions!$C$10+1,(Project_Register!$AT$14-Project_Register!$AQ$14),0),(Project_Register!$AT$14-Project_Register!$AQ$14)*(Q310-Q311)/(1-Project_Register!$AV$14)))*Project_Register!$AA$14)</f>
        <v>0</v>
      </c>
      <c r="R315" s="58" t="n">
        <f aca="false">IF(R$5="A",0,IF((Project_Register!$AT$14-Project_Register!$AQ$14)&lt;=0,0,IF(1-Project_Register!$AV$14&lt;=0.000001,IF(Assumptions!R$96=Assumptions!$C$10+1,(Project_Register!$AT$14-Project_Register!$AQ$14),0),(Project_Register!$AT$14-Project_Register!$AQ$14)*(R310-R311)/(1-Project_Register!$AV$14)))*Project_Register!$AA$14)</f>
        <v>0</v>
      </c>
      <c r="S315" s="58" t="n">
        <f aca="false">IF(S$5="A",0,IF((Project_Register!$AT$14-Project_Register!$AQ$14)&lt;=0,0,IF(1-Project_Register!$AV$14&lt;=0.000001,IF(Assumptions!S$96=Assumptions!$C$10+1,(Project_Register!$AT$14-Project_Register!$AQ$14),0),(Project_Register!$AT$14-Project_Register!$AQ$14)*(S310-S311)/(1-Project_Register!$AV$14)))*Project_Register!$AA$14)</f>
        <v>1592.59259259259</v>
      </c>
      <c r="T315" s="58" t="n">
        <f aca="false">IF(T$5="A",0,IF((Project_Register!$AT$14-Project_Register!$AQ$14)&lt;=0,0,IF(1-Project_Register!$AV$14&lt;=0.000001,IF(Assumptions!T$96=Assumptions!$C$10+1,(Project_Register!$AT$14-Project_Register!$AQ$14),0),(Project_Register!$AT$14-Project_Register!$AQ$14)*(T310-T311)/(1-Project_Register!$AV$14)))*Project_Register!$AA$14)</f>
        <v>4268.14814814815</v>
      </c>
      <c r="U315" s="58" t="n">
        <f aca="false">IF(U$5="A",0,IF((Project_Register!$AT$14-Project_Register!$AQ$14)&lt;=0,0,IF(1-Project_Register!$AV$14&lt;=0.000001,IF(Assumptions!U$96=Assumptions!$C$10+1,(Project_Register!$AT$14-Project_Register!$AQ$14),0),(Project_Register!$AT$14-Project_Register!$AQ$14)*(U310-U311)/(1-Project_Register!$AV$14)))*Project_Register!$AA$14)</f>
        <v>6179.25925925926</v>
      </c>
      <c r="V315" s="58" t="n">
        <f aca="false">IF(V$5="A",0,IF((Project_Register!$AT$14-Project_Register!$AQ$14)&lt;=0,0,IF(1-Project_Register!$AV$14&lt;=0.000001,IF(Assumptions!V$96=Assumptions!$C$10+1,(Project_Register!$AT$14-Project_Register!$AQ$14),0),(Project_Register!$AT$14-Project_Register!$AQ$14)*(V310-V311)/(1-Project_Register!$AV$14)))*Project_Register!$AA$14)</f>
        <v>7325.92592592593</v>
      </c>
      <c r="W315" s="58" t="n">
        <f aca="false">IF(W$5="A",0,IF((Project_Register!$AT$14-Project_Register!$AQ$14)&lt;=0,0,IF(1-Project_Register!$AV$14&lt;=0.000001,IF(Assumptions!W$96=Assumptions!$C$10+1,(Project_Register!$AT$14-Project_Register!$AQ$14),0),(Project_Register!$AT$14-Project_Register!$AQ$14)*(W310-W311)/(1-Project_Register!$AV$14)))*Project_Register!$AA$14)</f>
        <v>7708.14814814815</v>
      </c>
      <c r="X315" s="58" t="n">
        <f aca="false">IF(X$5="A",0,IF((Project_Register!$AT$14-Project_Register!$AQ$14)&lt;=0,0,IF(1-Project_Register!$AV$14&lt;=0.000001,IF(Assumptions!X$96=Assumptions!$C$10+1,(Project_Register!$AT$14-Project_Register!$AQ$14),0),(Project_Register!$AT$14-Project_Register!$AQ$14)*(X310-X311)/(1-Project_Register!$AV$14)))*Project_Register!$AA$14)</f>
        <v>7325.92592592593</v>
      </c>
      <c r="Y315" s="58" t="n">
        <f aca="false">IF(Y$5="A",0,IF((Project_Register!$AT$14-Project_Register!$AQ$14)&lt;=0,0,IF(1-Project_Register!$AV$14&lt;=0.000001,IF(Assumptions!Y$96=Assumptions!$C$10+1,(Project_Register!$AT$14-Project_Register!$AQ$14),0),(Project_Register!$AT$14-Project_Register!$AQ$14)*(Y310-Y311)/(1-Project_Register!$AV$14)))*Project_Register!$AA$14)</f>
        <v>6179.25925925926</v>
      </c>
      <c r="Z315" s="58" t="n">
        <f aca="false">IF(Z$5="A",0,IF((Project_Register!$AT$14-Project_Register!$AQ$14)&lt;=0,0,IF(1-Project_Register!$AV$14&lt;=0.000001,IF(Assumptions!Z$96=Assumptions!$C$10+1,(Project_Register!$AT$14-Project_Register!$AQ$14),0),(Project_Register!$AT$14-Project_Register!$AQ$14)*(Z310-Z311)/(1-Project_Register!$AV$14)))*Project_Register!$AA$14)</f>
        <v>4268.14814814816</v>
      </c>
      <c r="AA315" s="58" t="n">
        <f aca="false">IF(AA$5="A",0,IF((Project_Register!$AT$14-Project_Register!$AQ$14)&lt;=0,0,IF(1-Project_Register!$AV$14&lt;=0.000001,IF(Assumptions!AA$96=Assumptions!$C$10+1,(Project_Register!$AT$14-Project_Register!$AQ$14),0),(Project_Register!$AT$14-Project_Register!$AQ$14)*(AA310-AA311)/(1-Project_Register!$AV$14)))*Project_Register!$AA$14)</f>
        <v>1592.59259259258</v>
      </c>
      <c r="AB315" s="58" t="n">
        <f aca="false">IF(AB$5="A",0,IF((Project_Register!$AT$14-Project_Register!$AQ$14)&lt;=0,0,IF(1-Project_Register!$AV$14&lt;=0.000001,IF(Assumptions!AB$96=Assumptions!$C$10+1,(Project_Register!$AT$14-Project_Register!$AQ$14),0),(Project_Register!$AT$14-Project_Register!$AQ$14)*(AB310-AB311)/(1-Project_Register!$AV$14)))*Project_Register!$AA$14)</f>
        <v>0</v>
      </c>
    </row>
    <row r="316" customFormat="false" ht="15" hidden="false" customHeight="false" outlineLevel="0" collapsed="false">
      <c r="A316" s="27" t="s">
        <v>726</v>
      </c>
      <c r="B316" s="56" t="s">
        <v>722</v>
      </c>
      <c r="C316" s="57" t="n">
        <f aca="false">SUM(E316:P316)</f>
        <v>0</v>
      </c>
      <c r="D316" s="57" t="n">
        <f aca="false">SUM(Q316:AB316)</f>
        <v>77399.9999999999</v>
      </c>
      <c r="E316" s="58" t="n">
        <f aca="false">IF(E$5="A",0,IF((Project_Register!$AT$14-Project_Register!$AQ$14)&lt;=0,0,IF(1-Project_Register!$AV$14&lt;=0.000001,IF(Assumptions!E$96=Assumptions!$C$10+1,(Project_Register!$AT$14-Project_Register!$AQ$14),0),(Project_Register!$AT$14-Project_Register!$AQ$14)*(E310-E311)/(1-Project_Register!$AV$14)))*Project_Register!$AB$14)</f>
        <v>0</v>
      </c>
      <c r="F316" s="58" t="n">
        <f aca="false">IF(F$5="A",0,IF((Project_Register!$AT$14-Project_Register!$AQ$14)&lt;=0,0,IF(1-Project_Register!$AV$14&lt;=0.000001,IF(Assumptions!F$96=Assumptions!$C$10+1,(Project_Register!$AT$14-Project_Register!$AQ$14),0),(Project_Register!$AT$14-Project_Register!$AQ$14)*(F310-F311)/(1-Project_Register!$AV$14)))*Project_Register!$AB$14)</f>
        <v>0</v>
      </c>
      <c r="G316" s="58" t="n">
        <f aca="false">IF(G$5="A",0,IF((Project_Register!$AT$14-Project_Register!$AQ$14)&lt;=0,0,IF(1-Project_Register!$AV$14&lt;=0.000001,IF(Assumptions!G$96=Assumptions!$C$10+1,(Project_Register!$AT$14-Project_Register!$AQ$14),0),(Project_Register!$AT$14-Project_Register!$AQ$14)*(G310-G311)/(1-Project_Register!$AV$14)))*Project_Register!$AB$14)</f>
        <v>0</v>
      </c>
      <c r="H316" s="58" t="n">
        <f aca="false">IF(H$5="A",0,IF((Project_Register!$AT$14-Project_Register!$AQ$14)&lt;=0,0,IF(1-Project_Register!$AV$14&lt;=0.000001,IF(Assumptions!H$96=Assumptions!$C$10+1,(Project_Register!$AT$14-Project_Register!$AQ$14),0),(Project_Register!$AT$14-Project_Register!$AQ$14)*(H310-H311)/(1-Project_Register!$AV$14)))*Project_Register!$AB$14)</f>
        <v>0</v>
      </c>
      <c r="I316" s="58" t="n">
        <f aca="false">IF(I$5="A",0,IF((Project_Register!$AT$14-Project_Register!$AQ$14)&lt;=0,0,IF(1-Project_Register!$AV$14&lt;=0.000001,IF(Assumptions!I$96=Assumptions!$C$10+1,(Project_Register!$AT$14-Project_Register!$AQ$14),0),(Project_Register!$AT$14-Project_Register!$AQ$14)*(I310-I311)/(1-Project_Register!$AV$14)))*Project_Register!$AB$14)</f>
        <v>0</v>
      </c>
      <c r="J316" s="58" t="n">
        <f aca="false">IF(J$5="A",0,IF((Project_Register!$AT$14-Project_Register!$AQ$14)&lt;=0,0,IF(1-Project_Register!$AV$14&lt;=0.000001,IF(Assumptions!J$96=Assumptions!$C$10+1,(Project_Register!$AT$14-Project_Register!$AQ$14),0),(Project_Register!$AT$14-Project_Register!$AQ$14)*(J310-J311)/(1-Project_Register!$AV$14)))*Project_Register!$AB$14)</f>
        <v>0</v>
      </c>
      <c r="K316" s="58" t="n">
        <f aca="false">IF(K$5="A",0,IF((Project_Register!$AT$14-Project_Register!$AQ$14)&lt;=0,0,IF(1-Project_Register!$AV$14&lt;=0.000001,IF(Assumptions!K$96=Assumptions!$C$10+1,(Project_Register!$AT$14-Project_Register!$AQ$14),0),(Project_Register!$AT$14-Project_Register!$AQ$14)*(K310-K311)/(1-Project_Register!$AV$14)))*Project_Register!$AB$14)</f>
        <v>0</v>
      </c>
      <c r="L316" s="58" t="n">
        <f aca="false">IF(L$5="A",0,IF((Project_Register!$AT$14-Project_Register!$AQ$14)&lt;=0,0,IF(1-Project_Register!$AV$14&lt;=0.000001,IF(Assumptions!L$96=Assumptions!$C$10+1,(Project_Register!$AT$14-Project_Register!$AQ$14),0),(Project_Register!$AT$14-Project_Register!$AQ$14)*(L310-L311)/(1-Project_Register!$AV$14)))*Project_Register!$AB$14)</f>
        <v>0</v>
      </c>
      <c r="M316" s="58" t="n">
        <f aca="false">IF(M$5="A",0,IF((Project_Register!$AT$14-Project_Register!$AQ$14)&lt;=0,0,IF(1-Project_Register!$AV$14&lt;=0.000001,IF(Assumptions!M$96=Assumptions!$C$10+1,(Project_Register!$AT$14-Project_Register!$AQ$14),0),(Project_Register!$AT$14-Project_Register!$AQ$14)*(M310-M311)/(1-Project_Register!$AV$14)))*Project_Register!$AB$14)</f>
        <v>0</v>
      </c>
      <c r="N316" s="58" t="n">
        <f aca="false">IF(N$5="A",0,IF((Project_Register!$AT$14-Project_Register!$AQ$14)&lt;=0,0,IF(1-Project_Register!$AV$14&lt;=0.000001,IF(Assumptions!N$96=Assumptions!$C$10+1,(Project_Register!$AT$14-Project_Register!$AQ$14),0),(Project_Register!$AT$14-Project_Register!$AQ$14)*(N310-N311)/(1-Project_Register!$AV$14)))*Project_Register!$AB$14)</f>
        <v>0</v>
      </c>
      <c r="O316" s="58" t="n">
        <f aca="false">IF(O$5="A",0,IF((Project_Register!$AT$14-Project_Register!$AQ$14)&lt;=0,0,IF(1-Project_Register!$AV$14&lt;=0.000001,IF(Assumptions!O$96=Assumptions!$C$10+1,(Project_Register!$AT$14-Project_Register!$AQ$14),0),(Project_Register!$AT$14-Project_Register!$AQ$14)*(O310-O311)/(1-Project_Register!$AV$14)))*Project_Register!$AB$14)</f>
        <v>0</v>
      </c>
      <c r="P316" s="58" t="n">
        <f aca="false">IF(P$5="A",0,IF((Project_Register!$AT$14-Project_Register!$AQ$14)&lt;=0,0,IF(1-Project_Register!$AV$14&lt;=0.000001,IF(Assumptions!P$96=Assumptions!$C$10+1,(Project_Register!$AT$14-Project_Register!$AQ$14),0),(Project_Register!$AT$14-Project_Register!$AQ$14)*(P310-P311)/(1-Project_Register!$AV$14)))*Project_Register!$AB$14)</f>
        <v>0</v>
      </c>
      <c r="Q316" s="58" t="n">
        <f aca="false">IF(Q$5="A",0,IF((Project_Register!$AT$14-Project_Register!$AQ$14)&lt;=0,0,IF(1-Project_Register!$AV$14&lt;=0.000001,IF(Assumptions!Q$96=Assumptions!$C$10+1,(Project_Register!$AT$14-Project_Register!$AQ$14),0),(Project_Register!$AT$14-Project_Register!$AQ$14)*(Q310-Q311)/(1-Project_Register!$AV$14)))*Project_Register!$AB$14)</f>
        <v>0</v>
      </c>
      <c r="R316" s="58" t="n">
        <f aca="false">IF(R$5="A",0,IF((Project_Register!$AT$14-Project_Register!$AQ$14)&lt;=0,0,IF(1-Project_Register!$AV$14&lt;=0.000001,IF(Assumptions!R$96=Assumptions!$C$10+1,(Project_Register!$AT$14-Project_Register!$AQ$14),0),(Project_Register!$AT$14-Project_Register!$AQ$14)*(R310-R311)/(1-Project_Register!$AV$14)))*Project_Register!$AB$14)</f>
        <v>0</v>
      </c>
      <c r="S316" s="58" t="n">
        <f aca="false">IF(S$5="A",0,IF((Project_Register!$AT$14-Project_Register!$AQ$14)&lt;=0,0,IF(1-Project_Register!$AV$14&lt;=0.000001,IF(Assumptions!S$96=Assumptions!$C$10+1,(Project_Register!$AT$14-Project_Register!$AQ$14),0),(Project_Register!$AT$14-Project_Register!$AQ$14)*(S310-S311)/(1-Project_Register!$AV$14)))*Project_Register!$AB$14)</f>
        <v>2654.32098765432</v>
      </c>
      <c r="T316" s="58" t="n">
        <f aca="false">IF(T$5="A",0,IF((Project_Register!$AT$14-Project_Register!$AQ$14)&lt;=0,0,IF(1-Project_Register!$AV$14&lt;=0.000001,IF(Assumptions!T$96=Assumptions!$C$10+1,(Project_Register!$AT$14-Project_Register!$AQ$14),0),(Project_Register!$AT$14-Project_Register!$AQ$14)*(T310-T311)/(1-Project_Register!$AV$14)))*Project_Register!$AB$14)</f>
        <v>7113.58024691357</v>
      </c>
      <c r="U316" s="58" t="n">
        <f aca="false">IF(U$5="A",0,IF((Project_Register!$AT$14-Project_Register!$AQ$14)&lt;=0,0,IF(1-Project_Register!$AV$14&lt;=0.000001,IF(Assumptions!U$96=Assumptions!$C$10+1,(Project_Register!$AT$14-Project_Register!$AQ$14),0),(Project_Register!$AT$14-Project_Register!$AQ$14)*(U310-U311)/(1-Project_Register!$AV$14)))*Project_Register!$AB$14)</f>
        <v>10298.7654320988</v>
      </c>
      <c r="V316" s="58" t="n">
        <f aca="false">IF(V$5="A",0,IF((Project_Register!$AT$14-Project_Register!$AQ$14)&lt;=0,0,IF(1-Project_Register!$AV$14&lt;=0.000001,IF(Assumptions!V$96=Assumptions!$C$10+1,(Project_Register!$AT$14-Project_Register!$AQ$14),0),(Project_Register!$AT$14-Project_Register!$AQ$14)*(V310-V311)/(1-Project_Register!$AV$14)))*Project_Register!$AB$14)</f>
        <v>12209.8765432099</v>
      </c>
      <c r="W316" s="58" t="n">
        <f aca="false">IF(W$5="A",0,IF((Project_Register!$AT$14-Project_Register!$AQ$14)&lt;=0,0,IF(1-Project_Register!$AV$14&lt;=0.000001,IF(Assumptions!W$96=Assumptions!$C$10+1,(Project_Register!$AT$14-Project_Register!$AQ$14),0),(Project_Register!$AT$14-Project_Register!$AQ$14)*(W310-W311)/(1-Project_Register!$AV$14)))*Project_Register!$AB$14)</f>
        <v>12846.9135802469</v>
      </c>
      <c r="X316" s="58" t="n">
        <f aca="false">IF(X$5="A",0,IF((Project_Register!$AT$14-Project_Register!$AQ$14)&lt;=0,0,IF(1-Project_Register!$AV$14&lt;=0.000001,IF(Assumptions!X$96=Assumptions!$C$10+1,(Project_Register!$AT$14-Project_Register!$AQ$14),0),(Project_Register!$AT$14-Project_Register!$AQ$14)*(X310-X311)/(1-Project_Register!$AV$14)))*Project_Register!$AB$14)</f>
        <v>12209.8765432099</v>
      </c>
      <c r="Y316" s="58" t="n">
        <f aca="false">IF(Y$5="A",0,IF((Project_Register!$AT$14-Project_Register!$AQ$14)&lt;=0,0,IF(1-Project_Register!$AV$14&lt;=0.000001,IF(Assumptions!Y$96=Assumptions!$C$10+1,(Project_Register!$AT$14-Project_Register!$AQ$14),0),(Project_Register!$AT$14-Project_Register!$AQ$14)*(Y310-Y311)/(1-Project_Register!$AV$14)))*Project_Register!$AB$14)</f>
        <v>10298.7654320987</v>
      </c>
      <c r="Z316" s="58" t="n">
        <f aca="false">IF(Z$5="A",0,IF((Project_Register!$AT$14-Project_Register!$AQ$14)&lt;=0,0,IF(1-Project_Register!$AV$14&lt;=0.000001,IF(Assumptions!Z$96=Assumptions!$C$10+1,(Project_Register!$AT$14-Project_Register!$AQ$14),0),(Project_Register!$AT$14-Project_Register!$AQ$14)*(Z310-Z311)/(1-Project_Register!$AV$14)))*Project_Register!$AB$14)</f>
        <v>7113.58024691359</v>
      </c>
      <c r="AA316" s="58" t="n">
        <f aca="false">IF(AA$5="A",0,IF((Project_Register!$AT$14-Project_Register!$AQ$14)&lt;=0,0,IF(1-Project_Register!$AV$14&lt;=0.000001,IF(Assumptions!AA$96=Assumptions!$C$10+1,(Project_Register!$AT$14-Project_Register!$AQ$14),0),(Project_Register!$AT$14-Project_Register!$AQ$14)*(AA310-AA311)/(1-Project_Register!$AV$14)))*Project_Register!$AB$14)</f>
        <v>2654.3209876543</v>
      </c>
      <c r="AB316" s="58" t="n">
        <f aca="false">IF(AB$5="A",0,IF((Project_Register!$AT$14-Project_Register!$AQ$14)&lt;=0,0,IF(1-Project_Register!$AV$14&lt;=0.000001,IF(Assumptions!AB$96=Assumptions!$C$10+1,(Project_Register!$AT$14-Project_Register!$AQ$14),0),(Project_Register!$AT$14-Project_Register!$AQ$14)*(AB310-AB311)/(1-Project_Register!$AV$14)))*Project_Register!$AB$14)</f>
        <v>0</v>
      </c>
    </row>
    <row r="317" customFormat="false" ht="15" hidden="false" customHeight="false" outlineLevel="0" collapsed="false">
      <c r="A317" s="67" t="s">
        <v>727</v>
      </c>
      <c r="B317" s="68" t="s">
        <v>728</v>
      </c>
      <c r="C317" s="69" t="n">
        <f aca="false">SUM(E317:P317)</f>
        <v>0</v>
      </c>
      <c r="D317" s="69" t="n">
        <f aca="false">SUM(Q317:AB317)</f>
        <v>1548000</v>
      </c>
      <c r="E317" s="69" t="n">
        <f aca="false">SUM(E312:E316)</f>
        <v>0</v>
      </c>
      <c r="F317" s="69" t="n">
        <f aca="false">SUM(F312:F316)</f>
        <v>0</v>
      </c>
      <c r="G317" s="69" t="n">
        <f aca="false">SUM(G312:G316)</f>
        <v>0</v>
      </c>
      <c r="H317" s="69" t="n">
        <f aca="false">SUM(H312:H316)</f>
        <v>0</v>
      </c>
      <c r="I317" s="69" t="n">
        <f aca="false">SUM(I312:I316)</f>
        <v>0</v>
      </c>
      <c r="J317" s="69" t="n">
        <f aca="false">SUM(J312:J316)</f>
        <v>0</v>
      </c>
      <c r="K317" s="69" t="n">
        <f aca="false">SUM(K312:K316)</f>
        <v>0</v>
      </c>
      <c r="L317" s="69" t="n">
        <f aca="false">SUM(L312:L316)</f>
        <v>0</v>
      </c>
      <c r="M317" s="69" t="n">
        <f aca="false">SUM(M312:M316)</f>
        <v>0</v>
      </c>
      <c r="N317" s="69" t="n">
        <f aca="false">SUM(N312:N316)</f>
        <v>0</v>
      </c>
      <c r="O317" s="69" t="n">
        <f aca="false">SUM(O312:O316)</f>
        <v>0</v>
      </c>
      <c r="P317" s="69" t="n">
        <f aca="false">SUM(P312:P316)</f>
        <v>0</v>
      </c>
      <c r="Q317" s="69" t="n">
        <f aca="false">SUM(Q312:Q316)</f>
        <v>0</v>
      </c>
      <c r="R317" s="69" t="n">
        <f aca="false">SUM(R312:R316)</f>
        <v>0</v>
      </c>
      <c r="S317" s="69" t="n">
        <f aca="false">SUM(S312:S316)</f>
        <v>53086.4197530864</v>
      </c>
      <c r="T317" s="69" t="n">
        <f aca="false">SUM(T312:T316)</f>
        <v>142271.604938272</v>
      </c>
      <c r="U317" s="69" t="n">
        <f aca="false">SUM(U312:U316)</f>
        <v>205975.308641975</v>
      </c>
      <c r="V317" s="69" t="n">
        <f aca="false">SUM(V312:V316)</f>
        <v>244197.530864198</v>
      </c>
      <c r="W317" s="69" t="n">
        <f aca="false">SUM(W312:W316)</f>
        <v>256938.271604938</v>
      </c>
      <c r="X317" s="69" t="n">
        <f aca="false">SUM(X312:X316)</f>
        <v>244197.530864198</v>
      </c>
      <c r="Y317" s="69" t="n">
        <f aca="false">SUM(Y312:Y316)</f>
        <v>205975.308641975</v>
      </c>
      <c r="Z317" s="69" t="n">
        <f aca="false">SUM(Z312:Z316)</f>
        <v>142271.604938272</v>
      </c>
      <c r="AA317" s="69" t="n">
        <f aca="false">SUM(AA312:AA316)</f>
        <v>53086.4197530861</v>
      </c>
      <c r="AB317" s="69" t="n">
        <f aca="false">SUM(AB312:AB316)</f>
        <v>0</v>
      </c>
    </row>
    <row r="318" customFormat="false" ht="15" hidden="false" customHeight="false" outlineLevel="0" collapsed="false">
      <c r="A318" s="27" t="s">
        <v>729</v>
      </c>
      <c r="B318" s="56" t="s">
        <v>730</v>
      </c>
      <c r="C318" s="57" t="n">
        <f aca="false">P318</f>
        <v>0</v>
      </c>
      <c r="D318" s="57" t="n">
        <f aca="false">AB318</f>
        <v>1548000</v>
      </c>
      <c r="E318" s="58" t="n">
        <f aca="false">Project_Register!$AC$14+E317</f>
        <v>0</v>
      </c>
      <c r="F318" s="70" t="n">
        <f aca="false">E318+F317</f>
        <v>0</v>
      </c>
      <c r="G318" s="70" t="n">
        <f aca="false">F318+G317</f>
        <v>0</v>
      </c>
      <c r="H318" s="70" t="n">
        <f aca="false">G318+H317</f>
        <v>0</v>
      </c>
      <c r="I318" s="70" t="n">
        <f aca="false">H318+I317</f>
        <v>0</v>
      </c>
      <c r="J318" s="70" t="n">
        <f aca="false">I318+J317</f>
        <v>0</v>
      </c>
      <c r="K318" s="70" t="n">
        <f aca="false">J318+K317</f>
        <v>0</v>
      </c>
      <c r="L318" s="70" t="n">
        <f aca="false">K318+L317</f>
        <v>0</v>
      </c>
      <c r="M318" s="70" t="n">
        <f aca="false">L318+M317</f>
        <v>0</v>
      </c>
      <c r="N318" s="70" t="n">
        <f aca="false">M318+N317</f>
        <v>0</v>
      </c>
      <c r="O318" s="70" t="n">
        <f aca="false">N318+O317</f>
        <v>0</v>
      </c>
      <c r="P318" s="70" t="n">
        <f aca="false">O318+P317</f>
        <v>0</v>
      </c>
      <c r="Q318" s="70" t="n">
        <f aca="false">P318+Q317</f>
        <v>0</v>
      </c>
      <c r="R318" s="70" t="n">
        <f aca="false">Q318+R317</f>
        <v>0</v>
      </c>
      <c r="S318" s="70" t="n">
        <f aca="false">R318+S317</f>
        <v>53086.4197530864</v>
      </c>
      <c r="T318" s="70" t="n">
        <f aca="false">S318+T317</f>
        <v>195358.024691358</v>
      </c>
      <c r="U318" s="70" t="n">
        <f aca="false">T318+U317</f>
        <v>401333.333333333</v>
      </c>
      <c r="V318" s="70" t="n">
        <f aca="false">U318+V317</f>
        <v>645530.864197531</v>
      </c>
      <c r="W318" s="70" t="n">
        <f aca="false">V318+W317</f>
        <v>902469.135802469</v>
      </c>
      <c r="X318" s="70" t="n">
        <f aca="false">W318+X317</f>
        <v>1146666.66666667</v>
      </c>
      <c r="Y318" s="70" t="n">
        <f aca="false">X318+Y317</f>
        <v>1352641.97530864</v>
      </c>
      <c r="Z318" s="70" t="n">
        <f aca="false">Y318+Z317</f>
        <v>1494913.58024691</v>
      </c>
      <c r="AA318" s="70" t="n">
        <f aca="false">Z318+AA317</f>
        <v>1548000</v>
      </c>
      <c r="AB318" s="70" t="n">
        <f aca="false">AA318+AB317</f>
        <v>1548000</v>
      </c>
    </row>
    <row r="319" customFormat="false" ht="15" hidden="false" customHeight="false" outlineLevel="0" collapsed="false">
      <c r="A319" s="27" t="s">
        <v>731</v>
      </c>
      <c r="B319" s="56" t="s">
        <v>732</v>
      </c>
      <c r="C319" s="57" t="n">
        <f aca="false">P319</f>
        <v>1548000</v>
      </c>
      <c r="D319" s="57" t="n">
        <f aca="false">AB319</f>
        <v>1548000</v>
      </c>
      <c r="E319" s="58" t="n">
        <f aca="false">IF(E$5="A",IF(E318+Project_Register!$AP$14&lt;=0,Project_Register!$AP$14,E318+Project_Register!$AP$14),Project_Register!$AT$14)</f>
        <v>1548000</v>
      </c>
      <c r="F319" s="58" t="n">
        <f aca="false">IF(F$5="A",IF(F318+Project_Register!$AP$14&lt;=0,Project_Register!$AP$14,F318+Project_Register!$AP$14),Project_Register!$AT$14)</f>
        <v>1548000</v>
      </c>
      <c r="G319" s="58" t="n">
        <f aca="false">IF(G$5="A",IF(G318+Project_Register!$AP$14&lt;=0,Project_Register!$AP$14,G318+Project_Register!$AP$14),Project_Register!$AT$14)</f>
        <v>1548000</v>
      </c>
      <c r="H319" s="58" t="n">
        <f aca="false">IF(H$5="A",IF(H318+Project_Register!$AP$14&lt;=0,Project_Register!$AP$14,H318+Project_Register!$AP$14),Project_Register!$AT$14)</f>
        <v>1548000</v>
      </c>
      <c r="I319" s="58" t="n">
        <f aca="false">IF(I$5="A",IF(I318+Project_Register!$AP$14&lt;=0,Project_Register!$AP$14,I318+Project_Register!$AP$14),Project_Register!$AT$14)</f>
        <v>1548000</v>
      </c>
      <c r="J319" s="58" t="n">
        <f aca="false">IF(J$5="A",IF(J318+Project_Register!$AP$14&lt;=0,Project_Register!$AP$14,J318+Project_Register!$AP$14),Project_Register!$AT$14)</f>
        <v>1548000</v>
      </c>
      <c r="K319" s="58" t="n">
        <f aca="false">IF(K$5="A",IF(K318+Project_Register!$AP$14&lt;=0,Project_Register!$AP$14,K318+Project_Register!$AP$14),Project_Register!$AT$14)</f>
        <v>1548000</v>
      </c>
      <c r="L319" s="58" t="n">
        <f aca="false">IF(L$5="A",IF(L318+Project_Register!$AP$14&lt;=0,Project_Register!$AP$14,L318+Project_Register!$AP$14),Project_Register!$AT$14)</f>
        <v>1548000</v>
      </c>
      <c r="M319" s="58" t="n">
        <f aca="false">IF(M$5="A",IF(M318+Project_Register!$AP$14&lt;=0,Project_Register!$AP$14,M318+Project_Register!$AP$14),Project_Register!$AT$14)</f>
        <v>1548000</v>
      </c>
      <c r="N319" s="58" t="n">
        <f aca="false">IF(N$5="A",IF(N318+Project_Register!$AP$14&lt;=0,Project_Register!$AP$14,N318+Project_Register!$AP$14),Project_Register!$AT$14)</f>
        <v>1548000</v>
      </c>
      <c r="O319" s="58" t="n">
        <f aca="false">IF(O$5="A",IF(O318+Project_Register!$AP$14&lt;=0,Project_Register!$AP$14,O318+Project_Register!$AP$14),Project_Register!$AT$14)</f>
        <v>1548000</v>
      </c>
      <c r="P319" s="58" t="n">
        <f aca="false">IF(P$5="A",IF(P318+Project_Register!$AP$14&lt;=0,Project_Register!$AP$14,P318+Project_Register!$AP$14),Project_Register!$AT$14)</f>
        <v>1548000</v>
      </c>
      <c r="Q319" s="58" t="n">
        <f aca="false">IF(Q$5="A",IF(Q318+Project_Register!$AP$14&lt;=0,Project_Register!$AP$14,Q318+Project_Register!$AP$14),Project_Register!$AT$14)</f>
        <v>1548000</v>
      </c>
      <c r="R319" s="58" t="n">
        <f aca="false">IF(R$5="A",IF(R318+Project_Register!$AP$14&lt;=0,Project_Register!$AP$14,R318+Project_Register!$AP$14),Project_Register!$AT$14)</f>
        <v>1548000</v>
      </c>
      <c r="S319" s="58" t="n">
        <f aca="false">IF(S$5="A",IF(S318+Project_Register!$AP$14&lt;=0,Project_Register!$AP$14,S318+Project_Register!$AP$14),Project_Register!$AT$14)</f>
        <v>1548000</v>
      </c>
      <c r="T319" s="58" t="n">
        <f aca="false">IF(T$5="A",IF(T318+Project_Register!$AP$14&lt;=0,Project_Register!$AP$14,T318+Project_Register!$AP$14),Project_Register!$AT$14)</f>
        <v>1548000</v>
      </c>
      <c r="U319" s="58" t="n">
        <f aca="false">IF(U$5="A",IF(U318+Project_Register!$AP$14&lt;=0,Project_Register!$AP$14,U318+Project_Register!$AP$14),Project_Register!$AT$14)</f>
        <v>1548000</v>
      </c>
      <c r="V319" s="58" t="n">
        <f aca="false">IF(V$5="A",IF(V318+Project_Register!$AP$14&lt;=0,Project_Register!$AP$14,V318+Project_Register!$AP$14),Project_Register!$AT$14)</f>
        <v>1548000</v>
      </c>
      <c r="W319" s="58" t="n">
        <f aca="false">IF(W$5="A",IF(W318+Project_Register!$AP$14&lt;=0,Project_Register!$AP$14,W318+Project_Register!$AP$14),Project_Register!$AT$14)</f>
        <v>1548000</v>
      </c>
      <c r="X319" s="58" t="n">
        <f aca="false">IF(X$5="A",IF(X318+Project_Register!$AP$14&lt;=0,Project_Register!$AP$14,X318+Project_Register!$AP$14),Project_Register!$AT$14)</f>
        <v>1548000</v>
      </c>
      <c r="Y319" s="58" t="n">
        <f aca="false">IF(Y$5="A",IF(Y318+Project_Register!$AP$14&lt;=0,Project_Register!$AP$14,Y318+Project_Register!$AP$14),Project_Register!$AT$14)</f>
        <v>1548000</v>
      </c>
      <c r="Z319" s="58" t="n">
        <f aca="false">IF(Z$5="A",IF(Z318+Project_Register!$AP$14&lt;=0,Project_Register!$AP$14,Z318+Project_Register!$AP$14),Project_Register!$AT$14)</f>
        <v>1548000</v>
      </c>
      <c r="AA319" s="58" t="n">
        <f aca="false">IF(AA$5="A",IF(AA318+Project_Register!$AP$14&lt;=0,Project_Register!$AP$14,AA318+Project_Register!$AP$14),Project_Register!$AT$14)</f>
        <v>1548000</v>
      </c>
      <c r="AB319" s="58" t="n">
        <f aca="false">IF(AB$5="A",IF(AB318+Project_Register!$AP$14&lt;=0,Project_Register!$AP$14,AB318+Project_Register!$AP$14),Project_Register!$AT$14)</f>
        <v>1548000</v>
      </c>
    </row>
    <row r="320" customFormat="false" ht="15" hidden="false" customHeight="false" outlineLevel="0" collapsed="false">
      <c r="A320" s="27" t="s">
        <v>733</v>
      </c>
      <c r="B320" s="56" t="s">
        <v>734</v>
      </c>
      <c r="C320" s="59" t="n">
        <f aca="false">P320</f>
        <v>0</v>
      </c>
      <c r="D320" s="59" t="n">
        <f aca="false">AB320</f>
        <v>1</v>
      </c>
      <c r="E320" s="60" t="n">
        <f aca="false">IF(E319&lt;=0,0,MIN(1,E318/E319))</f>
        <v>0</v>
      </c>
      <c r="F320" s="60" t="n">
        <f aca="false">IF(F319&lt;=0,0,MIN(1,F318/F319))</f>
        <v>0</v>
      </c>
      <c r="G320" s="60" t="n">
        <f aca="false">IF(G319&lt;=0,0,MIN(1,G318/G319))</f>
        <v>0</v>
      </c>
      <c r="H320" s="60" t="n">
        <f aca="false">IF(H319&lt;=0,0,MIN(1,H318/H319))</f>
        <v>0</v>
      </c>
      <c r="I320" s="60" t="n">
        <f aca="false">IF(I319&lt;=0,0,MIN(1,I318/I319))</f>
        <v>0</v>
      </c>
      <c r="J320" s="60" t="n">
        <f aca="false">IF(J319&lt;=0,0,MIN(1,J318/J319))</f>
        <v>0</v>
      </c>
      <c r="K320" s="60" t="n">
        <f aca="false">IF(K319&lt;=0,0,MIN(1,K318/K319))</f>
        <v>0</v>
      </c>
      <c r="L320" s="60" t="n">
        <f aca="false">IF(L319&lt;=0,0,MIN(1,L318/L319))</f>
        <v>0</v>
      </c>
      <c r="M320" s="60" t="n">
        <f aca="false">IF(M319&lt;=0,0,MIN(1,M318/M319))</f>
        <v>0</v>
      </c>
      <c r="N320" s="60" t="n">
        <f aca="false">IF(N319&lt;=0,0,MIN(1,N318/N319))</f>
        <v>0</v>
      </c>
      <c r="O320" s="60" t="n">
        <f aca="false">IF(O319&lt;=0,0,MIN(1,O318/O319))</f>
        <v>0</v>
      </c>
      <c r="P320" s="60" t="n">
        <f aca="false">IF(P319&lt;=0,0,MIN(1,P318/P319))</f>
        <v>0</v>
      </c>
      <c r="Q320" s="60" t="n">
        <f aca="false">IF(Q319&lt;=0,0,MIN(1,Q318/Q319))</f>
        <v>0</v>
      </c>
      <c r="R320" s="60" t="n">
        <f aca="false">IF(R319&lt;=0,0,MIN(1,R318/R319))</f>
        <v>0</v>
      </c>
      <c r="S320" s="60" t="n">
        <f aca="false">IF(S319&lt;=0,0,MIN(1,S318/S319))</f>
        <v>0.0342935528120713</v>
      </c>
      <c r="T320" s="60" t="n">
        <f aca="false">IF(T319&lt;=0,0,MIN(1,T318/T319))</f>
        <v>0.126200274348423</v>
      </c>
      <c r="U320" s="60" t="n">
        <f aca="false">IF(U319&lt;=0,0,MIN(1,U318/U319))</f>
        <v>0.259259259259259</v>
      </c>
      <c r="V320" s="60" t="n">
        <f aca="false">IF(V319&lt;=0,0,MIN(1,V318/V319))</f>
        <v>0.417009602194787</v>
      </c>
      <c r="W320" s="60" t="n">
        <f aca="false">IF(W319&lt;=0,0,MIN(1,W318/W319))</f>
        <v>0.582990397805213</v>
      </c>
      <c r="X320" s="60" t="n">
        <f aca="false">IF(X319&lt;=0,0,MIN(1,X318/X319))</f>
        <v>0.740740740740741</v>
      </c>
      <c r="Y320" s="60" t="n">
        <f aca="false">IF(Y319&lt;=0,0,MIN(1,Y318/Y319))</f>
        <v>0.873799725651577</v>
      </c>
      <c r="Z320" s="60" t="n">
        <f aca="false">IF(Z319&lt;=0,0,MIN(1,Z318/Z319))</f>
        <v>0.965706447187929</v>
      </c>
      <c r="AA320" s="60" t="n">
        <f aca="false">IF(AA319&lt;=0,0,MIN(1,AA318/AA319))</f>
        <v>1</v>
      </c>
      <c r="AB320" s="60" t="n">
        <f aca="false">IF(AB319&lt;=0,0,MIN(1,AB318/AB319))</f>
        <v>1</v>
      </c>
    </row>
    <row r="321" customFormat="false" ht="15" hidden="false" customHeight="false" outlineLevel="0" collapsed="false">
      <c r="A321" s="27" t="s">
        <v>735</v>
      </c>
      <c r="B321" s="56" t="s">
        <v>736</v>
      </c>
      <c r="C321" s="57" t="n">
        <f aca="false">P321</f>
        <v>0</v>
      </c>
      <c r="D321" s="57" t="n">
        <f aca="false">AB321</f>
        <v>0</v>
      </c>
      <c r="E321" s="58" t="n">
        <f aca="false">SUMIFS(Variations!$H$6:$H$21,Variations!$B$6:$B$21,"PS-2602",Variations!$F$6:$F$21,"Approved",Variations!$G$6:$G$21,"&lt;="&amp;Assumptions!E$95)</f>
        <v>0</v>
      </c>
      <c r="F321" s="58" t="n">
        <f aca="false">SUMIFS(Variations!$H$6:$H$21,Variations!$B$6:$B$21,"PS-2602",Variations!$F$6:$F$21,"Approved",Variations!$G$6:$G$21,"&lt;="&amp;Assumptions!F$95)</f>
        <v>0</v>
      </c>
      <c r="G321" s="58" t="n">
        <f aca="false">SUMIFS(Variations!$H$6:$H$21,Variations!$B$6:$B$21,"PS-2602",Variations!$F$6:$F$21,"Approved",Variations!$G$6:$G$21,"&lt;="&amp;Assumptions!G$95)</f>
        <v>0</v>
      </c>
      <c r="H321" s="58" t="n">
        <f aca="false">SUMIFS(Variations!$H$6:$H$21,Variations!$B$6:$B$21,"PS-2602",Variations!$F$6:$F$21,"Approved",Variations!$G$6:$G$21,"&lt;="&amp;Assumptions!H$95)</f>
        <v>0</v>
      </c>
      <c r="I321" s="58" t="n">
        <f aca="false">SUMIFS(Variations!$H$6:$H$21,Variations!$B$6:$B$21,"PS-2602",Variations!$F$6:$F$21,"Approved",Variations!$G$6:$G$21,"&lt;="&amp;Assumptions!I$95)</f>
        <v>0</v>
      </c>
      <c r="J321" s="58" t="n">
        <f aca="false">SUMIFS(Variations!$H$6:$H$21,Variations!$B$6:$B$21,"PS-2602",Variations!$F$6:$F$21,"Approved",Variations!$G$6:$G$21,"&lt;="&amp;Assumptions!J$95)</f>
        <v>0</v>
      </c>
      <c r="K321" s="58" t="n">
        <f aca="false">SUMIFS(Variations!$H$6:$H$21,Variations!$B$6:$B$21,"PS-2602",Variations!$F$6:$F$21,"Approved",Variations!$G$6:$G$21,"&lt;="&amp;Assumptions!K$95)</f>
        <v>0</v>
      </c>
      <c r="L321" s="58" t="n">
        <f aca="false">SUMIFS(Variations!$H$6:$H$21,Variations!$B$6:$B$21,"PS-2602",Variations!$F$6:$F$21,"Approved",Variations!$G$6:$G$21,"&lt;="&amp;Assumptions!L$95)</f>
        <v>0</v>
      </c>
      <c r="M321" s="58" t="n">
        <f aca="false">SUMIFS(Variations!$H$6:$H$21,Variations!$B$6:$B$21,"PS-2602",Variations!$F$6:$F$21,"Approved",Variations!$G$6:$G$21,"&lt;="&amp;Assumptions!M$95)</f>
        <v>0</v>
      </c>
      <c r="N321" s="58" t="n">
        <f aca="false">SUMIFS(Variations!$H$6:$H$21,Variations!$B$6:$B$21,"PS-2602",Variations!$F$6:$F$21,"Approved",Variations!$G$6:$G$21,"&lt;="&amp;Assumptions!N$95)</f>
        <v>0</v>
      </c>
      <c r="O321" s="58" t="n">
        <f aca="false">SUMIFS(Variations!$H$6:$H$21,Variations!$B$6:$B$21,"PS-2602",Variations!$F$6:$F$21,"Approved",Variations!$G$6:$G$21,"&lt;="&amp;Assumptions!O$95)</f>
        <v>0</v>
      </c>
      <c r="P321" s="58" t="n">
        <f aca="false">SUMIFS(Variations!$H$6:$H$21,Variations!$B$6:$B$21,"PS-2602",Variations!$F$6:$F$21,"Approved",Variations!$G$6:$G$21,"&lt;="&amp;Assumptions!P$95)</f>
        <v>0</v>
      </c>
      <c r="Q321" s="58" t="n">
        <f aca="false">SUMIFS(Variations!$H$6:$H$21,Variations!$B$6:$B$21,"PS-2602",Variations!$F$6:$F$21,"Approved",Variations!$G$6:$G$21,"&lt;="&amp;Assumptions!Q$95)</f>
        <v>0</v>
      </c>
      <c r="R321" s="58" t="n">
        <f aca="false">SUMIFS(Variations!$H$6:$H$21,Variations!$B$6:$B$21,"PS-2602",Variations!$F$6:$F$21,"Approved",Variations!$G$6:$G$21,"&lt;="&amp;Assumptions!R$95)</f>
        <v>0</v>
      </c>
      <c r="S321" s="58" t="n">
        <f aca="false">SUMIFS(Variations!$H$6:$H$21,Variations!$B$6:$B$21,"PS-2602",Variations!$F$6:$F$21,"Approved",Variations!$G$6:$G$21,"&lt;="&amp;Assumptions!S$95)</f>
        <v>0</v>
      </c>
      <c r="T321" s="58" t="n">
        <f aca="false">SUMIFS(Variations!$H$6:$H$21,Variations!$B$6:$B$21,"PS-2602",Variations!$F$6:$F$21,"Approved",Variations!$G$6:$G$21,"&lt;="&amp;Assumptions!T$95)</f>
        <v>0</v>
      </c>
      <c r="U321" s="58" t="n">
        <f aca="false">SUMIFS(Variations!$H$6:$H$21,Variations!$B$6:$B$21,"PS-2602",Variations!$F$6:$F$21,"Approved",Variations!$G$6:$G$21,"&lt;="&amp;Assumptions!U$95)</f>
        <v>0</v>
      </c>
      <c r="V321" s="58" t="n">
        <f aca="false">SUMIFS(Variations!$H$6:$H$21,Variations!$B$6:$B$21,"PS-2602",Variations!$F$6:$F$21,"Approved",Variations!$G$6:$G$21,"&lt;="&amp;Assumptions!V$95)</f>
        <v>0</v>
      </c>
      <c r="W321" s="58" t="n">
        <f aca="false">SUMIFS(Variations!$H$6:$H$21,Variations!$B$6:$B$21,"PS-2602",Variations!$F$6:$F$21,"Approved",Variations!$G$6:$G$21,"&lt;="&amp;Assumptions!W$95)</f>
        <v>0</v>
      </c>
      <c r="X321" s="58" t="n">
        <f aca="false">SUMIFS(Variations!$H$6:$H$21,Variations!$B$6:$B$21,"PS-2602",Variations!$F$6:$F$21,"Approved",Variations!$G$6:$G$21,"&lt;="&amp;Assumptions!X$95)</f>
        <v>0</v>
      </c>
      <c r="Y321" s="58" t="n">
        <f aca="false">SUMIFS(Variations!$H$6:$H$21,Variations!$B$6:$B$21,"PS-2602",Variations!$F$6:$F$21,"Approved",Variations!$G$6:$G$21,"&lt;="&amp;Assumptions!Y$95)</f>
        <v>0</v>
      </c>
      <c r="Z321" s="58" t="n">
        <f aca="false">SUMIFS(Variations!$H$6:$H$21,Variations!$B$6:$B$21,"PS-2602",Variations!$F$6:$F$21,"Approved",Variations!$G$6:$G$21,"&lt;="&amp;Assumptions!Z$95)</f>
        <v>0</v>
      </c>
      <c r="AA321" s="58" t="n">
        <f aca="false">SUMIFS(Variations!$H$6:$H$21,Variations!$B$6:$B$21,"PS-2602",Variations!$F$6:$F$21,"Approved",Variations!$G$6:$G$21,"&lt;="&amp;Assumptions!AA$95)</f>
        <v>0</v>
      </c>
      <c r="AB321" s="58" t="n">
        <f aca="false">SUMIFS(Variations!$H$6:$H$21,Variations!$B$6:$B$21,"PS-2602",Variations!$F$6:$F$21,"Approved",Variations!$G$6:$G$21,"&lt;="&amp;Assumptions!AB$95)</f>
        <v>0</v>
      </c>
    </row>
    <row r="322" customFormat="false" ht="15" hidden="false" customHeight="false" outlineLevel="0" collapsed="false">
      <c r="A322" s="27" t="s">
        <v>737</v>
      </c>
      <c r="B322" s="56"/>
      <c r="C322" s="57" t="n">
        <f aca="false">P322</f>
        <v>0</v>
      </c>
      <c r="D322" s="57" t="n">
        <f aca="false">AB322</f>
        <v>0</v>
      </c>
      <c r="E322" s="58" t="n">
        <f aca="false">SUMIFS(Variations!$E$6:$E$21,Variations!$B$6:$B$21,"PS-2602",Variations!$D$6:$D$21,"&lt;="&amp;Assumptions!E$95,Variations!$G$6:$G$21,"&gt;"&amp;Assumptions!E$95)</f>
        <v>0</v>
      </c>
      <c r="F322" s="58" t="n">
        <f aca="false">SUMIFS(Variations!$E$6:$E$21,Variations!$B$6:$B$21,"PS-2602",Variations!$D$6:$D$21,"&lt;="&amp;Assumptions!F$95,Variations!$G$6:$G$21,"&gt;"&amp;Assumptions!F$95)</f>
        <v>0</v>
      </c>
      <c r="G322" s="58" t="n">
        <f aca="false">SUMIFS(Variations!$E$6:$E$21,Variations!$B$6:$B$21,"PS-2602",Variations!$D$6:$D$21,"&lt;="&amp;Assumptions!G$95,Variations!$G$6:$G$21,"&gt;"&amp;Assumptions!G$95)</f>
        <v>0</v>
      </c>
      <c r="H322" s="58" t="n">
        <f aca="false">SUMIFS(Variations!$E$6:$E$21,Variations!$B$6:$B$21,"PS-2602",Variations!$D$6:$D$21,"&lt;="&amp;Assumptions!H$95,Variations!$G$6:$G$21,"&gt;"&amp;Assumptions!H$95)</f>
        <v>0</v>
      </c>
      <c r="I322" s="58" t="n">
        <f aca="false">SUMIFS(Variations!$E$6:$E$21,Variations!$B$6:$B$21,"PS-2602",Variations!$D$6:$D$21,"&lt;="&amp;Assumptions!I$95,Variations!$G$6:$G$21,"&gt;"&amp;Assumptions!I$95)</f>
        <v>0</v>
      </c>
      <c r="J322" s="58" t="n">
        <f aca="false">SUMIFS(Variations!$E$6:$E$21,Variations!$B$6:$B$21,"PS-2602",Variations!$D$6:$D$21,"&lt;="&amp;Assumptions!J$95,Variations!$G$6:$G$21,"&gt;"&amp;Assumptions!J$95)</f>
        <v>0</v>
      </c>
      <c r="K322" s="58" t="n">
        <f aca="false">SUMIFS(Variations!$E$6:$E$21,Variations!$B$6:$B$21,"PS-2602",Variations!$D$6:$D$21,"&lt;="&amp;Assumptions!K$95,Variations!$G$6:$G$21,"&gt;"&amp;Assumptions!K$95)</f>
        <v>0</v>
      </c>
      <c r="L322" s="58" t="n">
        <f aca="false">SUMIFS(Variations!$E$6:$E$21,Variations!$B$6:$B$21,"PS-2602",Variations!$D$6:$D$21,"&lt;="&amp;Assumptions!L$95,Variations!$G$6:$G$21,"&gt;"&amp;Assumptions!L$95)</f>
        <v>0</v>
      </c>
      <c r="M322" s="58" t="n">
        <f aca="false">SUMIFS(Variations!$E$6:$E$21,Variations!$B$6:$B$21,"PS-2602",Variations!$D$6:$D$21,"&lt;="&amp;Assumptions!M$95,Variations!$G$6:$G$21,"&gt;"&amp;Assumptions!M$95)</f>
        <v>0</v>
      </c>
      <c r="N322" s="58" t="n">
        <f aca="false">SUMIFS(Variations!$E$6:$E$21,Variations!$B$6:$B$21,"PS-2602",Variations!$D$6:$D$21,"&lt;="&amp;Assumptions!N$95,Variations!$G$6:$G$21,"&gt;"&amp;Assumptions!N$95)</f>
        <v>0</v>
      </c>
      <c r="O322" s="58" t="n">
        <f aca="false">SUMIFS(Variations!$E$6:$E$21,Variations!$B$6:$B$21,"PS-2602",Variations!$D$6:$D$21,"&lt;="&amp;Assumptions!O$95,Variations!$G$6:$G$21,"&gt;"&amp;Assumptions!O$95)</f>
        <v>0</v>
      </c>
      <c r="P322" s="58" t="n">
        <f aca="false">SUMIFS(Variations!$E$6:$E$21,Variations!$B$6:$B$21,"PS-2602",Variations!$D$6:$D$21,"&lt;="&amp;Assumptions!P$95,Variations!$G$6:$G$21,"&gt;"&amp;Assumptions!P$95)</f>
        <v>0</v>
      </c>
      <c r="Q322" s="58" t="n">
        <f aca="false">SUMIFS(Variations!$E$6:$E$21,Variations!$B$6:$B$21,"PS-2602",Variations!$D$6:$D$21,"&lt;="&amp;Assumptions!Q$95,Variations!$G$6:$G$21,"&gt;"&amp;Assumptions!Q$95)</f>
        <v>0</v>
      </c>
      <c r="R322" s="58" t="n">
        <f aca="false">SUMIFS(Variations!$E$6:$E$21,Variations!$B$6:$B$21,"PS-2602",Variations!$D$6:$D$21,"&lt;="&amp;Assumptions!R$95,Variations!$G$6:$G$21,"&gt;"&amp;Assumptions!R$95)</f>
        <v>0</v>
      </c>
      <c r="S322" s="58" t="n">
        <f aca="false">SUMIFS(Variations!$E$6:$E$21,Variations!$B$6:$B$21,"PS-2602",Variations!$D$6:$D$21,"&lt;="&amp;Assumptions!S$95,Variations!$G$6:$G$21,"&gt;"&amp;Assumptions!S$95)</f>
        <v>0</v>
      </c>
      <c r="T322" s="58" t="n">
        <f aca="false">SUMIFS(Variations!$E$6:$E$21,Variations!$B$6:$B$21,"PS-2602",Variations!$D$6:$D$21,"&lt;="&amp;Assumptions!T$95,Variations!$G$6:$G$21,"&gt;"&amp;Assumptions!T$95)</f>
        <v>0</v>
      </c>
      <c r="U322" s="58" t="n">
        <f aca="false">SUMIFS(Variations!$E$6:$E$21,Variations!$B$6:$B$21,"PS-2602",Variations!$D$6:$D$21,"&lt;="&amp;Assumptions!U$95,Variations!$G$6:$G$21,"&gt;"&amp;Assumptions!U$95)</f>
        <v>0</v>
      </c>
      <c r="V322" s="58" t="n">
        <f aca="false">SUMIFS(Variations!$E$6:$E$21,Variations!$B$6:$B$21,"PS-2602",Variations!$D$6:$D$21,"&lt;="&amp;Assumptions!V$95,Variations!$G$6:$G$21,"&gt;"&amp;Assumptions!V$95)</f>
        <v>0</v>
      </c>
      <c r="W322" s="58" t="n">
        <f aca="false">SUMIFS(Variations!$E$6:$E$21,Variations!$B$6:$B$21,"PS-2602",Variations!$D$6:$D$21,"&lt;="&amp;Assumptions!W$95,Variations!$G$6:$G$21,"&gt;"&amp;Assumptions!W$95)</f>
        <v>0</v>
      </c>
      <c r="X322" s="58" t="n">
        <f aca="false">SUMIFS(Variations!$E$6:$E$21,Variations!$B$6:$B$21,"PS-2602",Variations!$D$6:$D$21,"&lt;="&amp;Assumptions!X$95,Variations!$G$6:$G$21,"&gt;"&amp;Assumptions!X$95)</f>
        <v>0</v>
      </c>
      <c r="Y322" s="58" t="n">
        <f aca="false">SUMIFS(Variations!$E$6:$E$21,Variations!$B$6:$B$21,"PS-2602",Variations!$D$6:$D$21,"&lt;="&amp;Assumptions!Y$95,Variations!$G$6:$G$21,"&gt;"&amp;Assumptions!Y$95)</f>
        <v>0</v>
      </c>
      <c r="Z322" s="58" t="n">
        <f aca="false">SUMIFS(Variations!$E$6:$E$21,Variations!$B$6:$B$21,"PS-2602",Variations!$D$6:$D$21,"&lt;="&amp;Assumptions!Z$95,Variations!$G$6:$G$21,"&gt;"&amp;Assumptions!Z$95)</f>
        <v>0</v>
      </c>
      <c r="AA322" s="58" t="n">
        <f aca="false">SUMIFS(Variations!$E$6:$E$21,Variations!$B$6:$B$21,"PS-2602",Variations!$D$6:$D$21,"&lt;="&amp;Assumptions!AA$95,Variations!$G$6:$G$21,"&gt;"&amp;Assumptions!AA$95)</f>
        <v>0</v>
      </c>
      <c r="AB322" s="58" t="n">
        <f aca="false">SUMIFS(Variations!$E$6:$E$21,Variations!$B$6:$B$21,"PS-2602",Variations!$D$6:$D$21,"&lt;="&amp;Assumptions!AB$95,Variations!$G$6:$G$21,"&gt;"&amp;Assumptions!AB$95)</f>
        <v>0</v>
      </c>
    </row>
    <row r="323" customFormat="false" ht="15" hidden="false" customHeight="false" outlineLevel="0" collapsed="false">
      <c r="A323" s="27" t="s">
        <v>738</v>
      </c>
      <c r="B323" s="56"/>
      <c r="C323" s="57" t="n">
        <f aca="false">P323</f>
        <v>0</v>
      </c>
      <c r="D323" s="57" t="n">
        <f aca="false">AB323</f>
        <v>0</v>
      </c>
      <c r="E323" s="58" t="n">
        <f aca="false">SUMIFS(Variations!$E$6:$E$21,Variations!$B$6:$B$21,"PS-2602",Variations!$F$6:$F$21,"Pending",Variations!$G$6:$G$21,"&lt;="&amp;Assumptions!E$95)</f>
        <v>0</v>
      </c>
      <c r="F323" s="58" t="n">
        <f aca="false">SUMIFS(Variations!$E$6:$E$21,Variations!$B$6:$B$21,"PS-2602",Variations!$F$6:$F$21,"Pending",Variations!$G$6:$G$21,"&lt;="&amp;Assumptions!F$95)</f>
        <v>0</v>
      </c>
      <c r="G323" s="58" t="n">
        <f aca="false">SUMIFS(Variations!$E$6:$E$21,Variations!$B$6:$B$21,"PS-2602",Variations!$F$6:$F$21,"Pending",Variations!$G$6:$G$21,"&lt;="&amp;Assumptions!G$95)</f>
        <v>0</v>
      </c>
      <c r="H323" s="58" t="n">
        <f aca="false">SUMIFS(Variations!$E$6:$E$21,Variations!$B$6:$B$21,"PS-2602",Variations!$F$6:$F$21,"Pending",Variations!$G$6:$G$21,"&lt;="&amp;Assumptions!H$95)</f>
        <v>0</v>
      </c>
      <c r="I323" s="58" t="n">
        <f aca="false">SUMIFS(Variations!$E$6:$E$21,Variations!$B$6:$B$21,"PS-2602",Variations!$F$6:$F$21,"Pending",Variations!$G$6:$G$21,"&lt;="&amp;Assumptions!I$95)</f>
        <v>0</v>
      </c>
      <c r="J323" s="58" t="n">
        <f aca="false">SUMIFS(Variations!$E$6:$E$21,Variations!$B$6:$B$21,"PS-2602",Variations!$F$6:$F$21,"Pending",Variations!$G$6:$G$21,"&lt;="&amp;Assumptions!J$95)</f>
        <v>0</v>
      </c>
      <c r="K323" s="58" t="n">
        <f aca="false">SUMIFS(Variations!$E$6:$E$21,Variations!$B$6:$B$21,"PS-2602",Variations!$F$6:$F$21,"Pending",Variations!$G$6:$G$21,"&lt;="&amp;Assumptions!K$95)</f>
        <v>0</v>
      </c>
      <c r="L323" s="58" t="n">
        <f aca="false">SUMIFS(Variations!$E$6:$E$21,Variations!$B$6:$B$21,"PS-2602",Variations!$F$6:$F$21,"Pending",Variations!$G$6:$G$21,"&lt;="&amp;Assumptions!L$95)</f>
        <v>0</v>
      </c>
      <c r="M323" s="58" t="n">
        <f aca="false">SUMIFS(Variations!$E$6:$E$21,Variations!$B$6:$B$21,"PS-2602",Variations!$F$6:$F$21,"Pending",Variations!$G$6:$G$21,"&lt;="&amp;Assumptions!M$95)</f>
        <v>0</v>
      </c>
      <c r="N323" s="58" t="n">
        <f aca="false">SUMIFS(Variations!$E$6:$E$21,Variations!$B$6:$B$21,"PS-2602",Variations!$F$6:$F$21,"Pending",Variations!$G$6:$G$21,"&lt;="&amp;Assumptions!N$95)</f>
        <v>0</v>
      </c>
      <c r="O323" s="58" t="n">
        <f aca="false">SUMIFS(Variations!$E$6:$E$21,Variations!$B$6:$B$21,"PS-2602",Variations!$F$6:$F$21,"Pending",Variations!$G$6:$G$21,"&lt;="&amp;Assumptions!O$95)</f>
        <v>0</v>
      </c>
      <c r="P323" s="58" t="n">
        <f aca="false">SUMIFS(Variations!$E$6:$E$21,Variations!$B$6:$B$21,"PS-2602",Variations!$F$6:$F$21,"Pending",Variations!$G$6:$G$21,"&lt;="&amp;Assumptions!P$95)</f>
        <v>0</v>
      </c>
      <c r="Q323" s="58" t="n">
        <f aca="false">SUMIFS(Variations!$E$6:$E$21,Variations!$B$6:$B$21,"PS-2602",Variations!$F$6:$F$21,"Pending",Variations!$G$6:$G$21,"&lt;="&amp;Assumptions!Q$95)</f>
        <v>0</v>
      </c>
      <c r="R323" s="58" t="n">
        <f aca="false">SUMIFS(Variations!$E$6:$E$21,Variations!$B$6:$B$21,"PS-2602",Variations!$F$6:$F$21,"Pending",Variations!$G$6:$G$21,"&lt;="&amp;Assumptions!R$95)</f>
        <v>0</v>
      </c>
      <c r="S323" s="58" t="n">
        <f aca="false">SUMIFS(Variations!$E$6:$E$21,Variations!$B$6:$B$21,"PS-2602",Variations!$F$6:$F$21,"Pending",Variations!$G$6:$G$21,"&lt;="&amp;Assumptions!S$95)</f>
        <v>0</v>
      </c>
      <c r="T323" s="58" t="n">
        <f aca="false">SUMIFS(Variations!$E$6:$E$21,Variations!$B$6:$B$21,"PS-2602",Variations!$F$6:$F$21,"Pending",Variations!$G$6:$G$21,"&lt;="&amp;Assumptions!T$95)</f>
        <v>0</v>
      </c>
      <c r="U323" s="58" t="n">
        <f aca="false">SUMIFS(Variations!$E$6:$E$21,Variations!$B$6:$B$21,"PS-2602",Variations!$F$6:$F$21,"Pending",Variations!$G$6:$G$21,"&lt;="&amp;Assumptions!U$95)</f>
        <v>0</v>
      </c>
      <c r="V323" s="58" t="n">
        <f aca="false">SUMIFS(Variations!$E$6:$E$21,Variations!$B$6:$B$21,"PS-2602",Variations!$F$6:$F$21,"Pending",Variations!$G$6:$G$21,"&lt;="&amp;Assumptions!V$95)</f>
        <v>0</v>
      </c>
      <c r="W323" s="58" t="n">
        <f aca="false">SUMIFS(Variations!$E$6:$E$21,Variations!$B$6:$B$21,"PS-2602",Variations!$F$6:$F$21,"Pending",Variations!$G$6:$G$21,"&lt;="&amp;Assumptions!W$95)</f>
        <v>0</v>
      </c>
      <c r="X323" s="58" t="n">
        <f aca="false">SUMIFS(Variations!$E$6:$E$21,Variations!$B$6:$B$21,"PS-2602",Variations!$F$6:$F$21,"Pending",Variations!$G$6:$G$21,"&lt;="&amp;Assumptions!X$95)</f>
        <v>0</v>
      </c>
      <c r="Y323" s="58" t="n">
        <f aca="false">SUMIFS(Variations!$E$6:$E$21,Variations!$B$6:$B$21,"PS-2602",Variations!$F$6:$F$21,"Pending",Variations!$G$6:$G$21,"&lt;="&amp;Assumptions!Y$95)</f>
        <v>0</v>
      </c>
      <c r="Z323" s="58" t="n">
        <f aca="false">SUMIFS(Variations!$E$6:$E$21,Variations!$B$6:$B$21,"PS-2602",Variations!$F$6:$F$21,"Pending",Variations!$G$6:$G$21,"&lt;="&amp;Assumptions!Z$95)</f>
        <v>0</v>
      </c>
      <c r="AA323" s="58" t="n">
        <f aca="false">SUMIFS(Variations!$E$6:$E$21,Variations!$B$6:$B$21,"PS-2602",Variations!$F$6:$F$21,"Pending",Variations!$G$6:$G$21,"&lt;="&amp;Assumptions!AA$95)</f>
        <v>0</v>
      </c>
      <c r="AB323" s="58" t="n">
        <f aca="false">SUMIFS(Variations!$E$6:$E$21,Variations!$B$6:$B$21,"PS-2602",Variations!$F$6:$F$21,"Pending",Variations!$G$6:$G$21,"&lt;="&amp;Assumptions!AB$95)</f>
        <v>0</v>
      </c>
    </row>
    <row r="324" customFormat="false" ht="15" hidden="false" customHeight="false" outlineLevel="0" collapsed="false">
      <c r="A324" s="27" t="s">
        <v>739</v>
      </c>
      <c r="B324" s="56" t="s">
        <v>740</v>
      </c>
      <c r="C324" s="57" t="n">
        <f aca="false">P324</f>
        <v>1760000</v>
      </c>
      <c r="D324" s="57" t="n">
        <f aca="false">AB324</f>
        <v>1760000</v>
      </c>
      <c r="E324" s="58" t="n">
        <f aca="false">Project_Register!$AO$14+E321+Assumptions!$C$74*E322+Assumptions!$F$121*E323</f>
        <v>1760000</v>
      </c>
      <c r="F324" s="58" t="n">
        <f aca="false">Project_Register!$AO$14+F321+Assumptions!$C$74*F322+Assumptions!$F$121*F323</f>
        <v>1760000</v>
      </c>
      <c r="G324" s="58" t="n">
        <f aca="false">Project_Register!$AO$14+G321+Assumptions!$C$74*G322+Assumptions!$F$121*G323</f>
        <v>1760000</v>
      </c>
      <c r="H324" s="58" t="n">
        <f aca="false">Project_Register!$AO$14+H321+Assumptions!$C$74*H322+Assumptions!$F$121*H323</f>
        <v>1760000</v>
      </c>
      <c r="I324" s="58" t="n">
        <f aca="false">Project_Register!$AO$14+I321+Assumptions!$C$74*I322+Assumptions!$F$121*I323</f>
        <v>1760000</v>
      </c>
      <c r="J324" s="58" t="n">
        <f aca="false">Project_Register!$AO$14+J321+Assumptions!$C$74*J322+Assumptions!$F$121*J323</f>
        <v>1760000</v>
      </c>
      <c r="K324" s="58" t="n">
        <f aca="false">Project_Register!$AO$14+K321+Assumptions!$C$74*K322+Assumptions!$F$121*K323</f>
        <v>1760000</v>
      </c>
      <c r="L324" s="58" t="n">
        <f aca="false">Project_Register!$AO$14+L321+Assumptions!$C$74*L322+Assumptions!$F$121*L323</f>
        <v>1760000</v>
      </c>
      <c r="M324" s="58" t="n">
        <f aca="false">Project_Register!$AO$14+M321+Assumptions!$C$74*M322+Assumptions!$F$121*M323</f>
        <v>1760000</v>
      </c>
      <c r="N324" s="58" t="n">
        <f aca="false">Project_Register!$AO$14+N321+Assumptions!$C$74*N322+Assumptions!$F$121*N323</f>
        <v>1760000</v>
      </c>
      <c r="O324" s="58" t="n">
        <f aca="false">Project_Register!$AO$14+O321+Assumptions!$C$74*O322+Assumptions!$F$121*O323</f>
        <v>1760000</v>
      </c>
      <c r="P324" s="58" t="n">
        <f aca="false">Project_Register!$AO$14+P321+Assumptions!$C$74*P322+Assumptions!$F$121*P323</f>
        <v>1760000</v>
      </c>
      <c r="Q324" s="58" t="n">
        <f aca="false">Project_Register!$AO$14+Q321+Assumptions!$C$74*Q322+Assumptions!$F$121*Q323</f>
        <v>1760000</v>
      </c>
      <c r="R324" s="58" t="n">
        <f aca="false">Project_Register!$AO$14+R321+Assumptions!$C$74*R322+Assumptions!$F$121*R323</f>
        <v>1760000</v>
      </c>
      <c r="S324" s="58" t="n">
        <f aca="false">Project_Register!$AO$14+S321+Assumptions!$C$74*S322+Assumptions!$F$121*S323</f>
        <v>1760000</v>
      </c>
      <c r="T324" s="58" t="n">
        <f aca="false">Project_Register!$AO$14+T321+Assumptions!$C$74*T322+Assumptions!$F$121*T323</f>
        <v>1760000</v>
      </c>
      <c r="U324" s="58" t="n">
        <f aca="false">Project_Register!$AO$14+U321+Assumptions!$C$74*U322+Assumptions!$F$121*U323</f>
        <v>1760000</v>
      </c>
      <c r="V324" s="58" t="n">
        <f aca="false">Project_Register!$AO$14+V321+Assumptions!$C$74*V322+Assumptions!$F$121*V323</f>
        <v>1760000</v>
      </c>
      <c r="W324" s="58" t="n">
        <f aca="false">Project_Register!$AO$14+W321+Assumptions!$C$74*W322+Assumptions!$F$121*W323</f>
        <v>1760000</v>
      </c>
      <c r="X324" s="58" t="n">
        <f aca="false">Project_Register!$AO$14+X321+Assumptions!$C$74*X322+Assumptions!$F$121*X323</f>
        <v>1760000</v>
      </c>
      <c r="Y324" s="58" t="n">
        <f aca="false">Project_Register!$AO$14+Y321+Assumptions!$C$74*Y322+Assumptions!$F$121*Y323</f>
        <v>1760000</v>
      </c>
      <c r="Z324" s="58" t="n">
        <f aca="false">Project_Register!$AO$14+Z321+Assumptions!$C$74*Z322+Assumptions!$F$121*Z323</f>
        <v>1760000</v>
      </c>
      <c r="AA324" s="58" t="n">
        <f aca="false">Project_Register!$AO$14+AA321+Assumptions!$C$74*AA322+Assumptions!$F$121*AA323</f>
        <v>1760000</v>
      </c>
      <c r="AB324" s="58" t="n">
        <f aca="false">Project_Register!$AO$14+AB321+Assumptions!$C$74*AB322+Assumptions!$F$121*AB323</f>
        <v>1760000</v>
      </c>
    </row>
    <row r="325" customFormat="false" ht="15" hidden="false" customHeight="false" outlineLevel="0" collapsed="false">
      <c r="A325" s="27" t="s">
        <v>741</v>
      </c>
      <c r="B325" s="56" t="s">
        <v>742</v>
      </c>
      <c r="C325" s="57" t="n">
        <f aca="false">P325</f>
        <v>0</v>
      </c>
      <c r="D325" s="57" t="n">
        <f aca="false">AB325</f>
        <v>1760000</v>
      </c>
      <c r="E325" s="58" t="n">
        <f aca="false">IF(E$5="A",Project_Register!$AD$14+0,E320*E324)</f>
        <v>0</v>
      </c>
      <c r="F325" s="70" t="n">
        <f aca="false">IF(F$5="A",E325+0,F320*F324)</f>
        <v>0</v>
      </c>
      <c r="G325" s="70" t="n">
        <f aca="false">IF(G$5="A",F325+0,G320*G324)</f>
        <v>0</v>
      </c>
      <c r="H325" s="70" t="n">
        <f aca="false">IF(H$5="A",G325+0,H320*H324)</f>
        <v>0</v>
      </c>
      <c r="I325" s="70" t="n">
        <f aca="false">IF(I$5="A",H325+0,I320*I324)</f>
        <v>0</v>
      </c>
      <c r="J325" s="70" t="n">
        <f aca="false">IF(J$5="A",I325+0,J320*J324)</f>
        <v>0</v>
      </c>
      <c r="K325" s="70" t="n">
        <f aca="false">IF(K$5="A",J325+0,K320*K324)</f>
        <v>0</v>
      </c>
      <c r="L325" s="70" t="n">
        <f aca="false">IF(L$5="A",K325+0,L320*L324)</f>
        <v>0</v>
      </c>
      <c r="M325" s="70" t="n">
        <f aca="false">IF(M$5="A",L325+0,M320*M324)</f>
        <v>0</v>
      </c>
      <c r="N325" s="70" t="n">
        <f aca="false">IF(N$5="A",M325+0,N320*N324)</f>
        <v>0</v>
      </c>
      <c r="O325" s="70" t="n">
        <f aca="false">IF(O$5="A",N325+0,O320*O324)</f>
        <v>0</v>
      </c>
      <c r="P325" s="70" t="n">
        <f aca="false">IF(P$5="A",O325+0,P320*P324)</f>
        <v>0</v>
      </c>
      <c r="Q325" s="70" t="n">
        <f aca="false">IF(Q$5="A",P325+0,Q320*Q324)</f>
        <v>0</v>
      </c>
      <c r="R325" s="70" t="n">
        <f aca="false">IF(R$5="A",Q325+0,R320*R324)</f>
        <v>0</v>
      </c>
      <c r="S325" s="70" t="n">
        <f aca="false">IF(S$5="A",R325+0,S320*S324)</f>
        <v>60356.6529492455</v>
      </c>
      <c r="T325" s="70" t="n">
        <f aca="false">IF(T$5="A",S325+0,T320*T324)</f>
        <v>222112.482853224</v>
      </c>
      <c r="U325" s="70" t="n">
        <f aca="false">IF(U$5="A",T325+0,U320*U324)</f>
        <v>456296.296296296</v>
      </c>
      <c r="V325" s="70" t="n">
        <f aca="false">IF(V$5="A",U325+0,V320*V324)</f>
        <v>733936.899862826</v>
      </c>
      <c r="W325" s="70" t="n">
        <f aca="false">IF(W$5="A",V325+0,W320*W324)</f>
        <v>1026063.10013717</v>
      </c>
      <c r="X325" s="70" t="n">
        <f aca="false">IF(X$5="A",W325+0,X320*X324)</f>
        <v>1303703.7037037</v>
      </c>
      <c r="Y325" s="70" t="n">
        <f aca="false">IF(Y$5="A",X325+0,Y320*Y324)</f>
        <v>1537887.51714678</v>
      </c>
      <c r="Z325" s="70" t="n">
        <f aca="false">IF(Z$5="A",Y325+0,Z320*Z324)</f>
        <v>1699643.34705075</v>
      </c>
      <c r="AA325" s="70" t="n">
        <f aca="false">IF(AA$5="A",Z325+0,AA320*AA324)</f>
        <v>1760000</v>
      </c>
      <c r="AB325" s="70" t="n">
        <f aca="false">IF(AB$5="A",AA325+0,AB320*AB324)</f>
        <v>1760000</v>
      </c>
    </row>
    <row r="326" customFormat="false" ht="15" hidden="false" customHeight="false" outlineLevel="0" collapsed="false">
      <c r="A326" s="67" t="s">
        <v>743</v>
      </c>
      <c r="B326" s="68" t="s">
        <v>744</v>
      </c>
      <c r="C326" s="69" t="n">
        <f aca="false">SUM(E326:P326)</f>
        <v>0</v>
      </c>
      <c r="D326" s="69" t="n">
        <f aca="false">SUM(Q326:AB326)</f>
        <v>1760000</v>
      </c>
      <c r="E326" s="74" t="n">
        <f aca="false">E325-Project_Register!$AD$14</f>
        <v>0</v>
      </c>
      <c r="F326" s="69" t="n">
        <f aca="false">F325-E325</f>
        <v>0</v>
      </c>
      <c r="G326" s="69" t="n">
        <f aca="false">G325-F325</f>
        <v>0</v>
      </c>
      <c r="H326" s="69" t="n">
        <f aca="false">H325-G325</f>
        <v>0</v>
      </c>
      <c r="I326" s="69" t="n">
        <f aca="false">I325-H325</f>
        <v>0</v>
      </c>
      <c r="J326" s="69" t="n">
        <f aca="false">J325-I325</f>
        <v>0</v>
      </c>
      <c r="K326" s="69" t="n">
        <f aca="false">K325-J325</f>
        <v>0</v>
      </c>
      <c r="L326" s="69" t="n">
        <f aca="false">L325-K325</f>
        <v>0</v>
      </c>
      <c r="M326" s="69" t="n">
        <f aca="false">M325-L325</f>
        <v>0</v>
      </c>
      <c r="N326" s="69" t="n">
        <f aca="false">N325-M325</f>
        <v>0</v>
      </c>
      <c r="O326" s="69" t="n">
        <f aca="false">O325-N325</f>
        <v>0</v>
      </c>
      <c r="P326" s="69" t="n">
        <f aca="false">P325-O325</f>
        <v>0</v>
      </c>
      <c r="Q326" s="69" t="n">
        <f aca="false">Q325-P325</f>
        <v>0</v>
      </c>
      <c r="R326" s="69" t="n">
        <f aca="false">R325-Q325</f>
        <v>0</v>
      </c>
      <c r="S326" s="69" t="n">
        <f aca="false">S325-R325</f>
        <v>60356.6529492455</v>
      </c>
      <c r="T326" s="69" t="n">
        <f aca="false">T325-S325</f>
        <v>161755.829903978</v>
      </c>
      <c r="U326" s="69" t="n">
        <f aca="false">U325-T325</f>
        <v>234183.813443073</v>
      </c>
      <c r="V326" s="69" t="n">
        <f aca="false">V325-U325</f>
        <v>277640.603566529</v>
      </c>
      <c r="W326" s="69" t="n">
        <f aca="false">W325-V325</f>
        <v>292126.200274349</v>
      </c>
      <c r="X326" s="69" t="n">
        <f aca="false">X325-W325</f>
        <v>277640.60356653</v>
      </c>
      <c r="Y326" s="69" t="n">
        <f aca="false">Y325-X325</f>
        <v>234183.813443072</v>
      </c>
      <c r="Z326" s="69" t="n">
        <f aca="false">Z325-Y325</f>
        <v>161755.829903978</v>
      </c>
      <c r="AA326" s="69" t="n">
        <f aca="false">AA325-Z325</f>
        <v>60356.6529492452</v>
      </c>
      <c r="AB326" s="69" t="n">
        <f aca="false">AB325-AA325</f>
        <v>0</v>
      </c>
    </row>
    <row r="327" customFormat="false" ht="15" hidden="false" customHeight="false" outlineLevel="0" collapsed="false">
      <c r="A327" s="27" t="s">
        <v>745</v>
      </c>
      <c r="B327" s="56" t="s">
        <v>746</v>
      </c>
      <c r="C327" s="57" t="n">
        <f aca="false">P327</f>
        <v>0</v>
      </c>
      <c r="D327" s="57" t="n">
        <f aca="false">AB327</f>
        <v>0</v>
      </c>
      <c r="E327" s="70" t="n">
        <f aca="false">MAX(0,E319-E324)*(1-E320)</f>
        <v>0</v>
      </c>
      <c r="F327" s="70" t="n">
        <f aca="false">MAX(0,F319-F324)*(1-F320)</f>
        <v>0</v>
      </c>
      <c r="G327" s="70" t="n">
        <f aca="false">MAX(0,G319-G324)*(1-G320)</f>
        <v>0</v>
      </c>
      <c r="H327" s="70" t="n">
        <f aca="false">MAX(0,H319-H324)*(1-H320)</f>
        <v>0</v>
      </c>
      <c r="I327" s="70" t="n">
        <f aca="false">MAX(0,I319-I324)*(1-I320)</f>
        <v>0</v>
      </c>
      <c r="J327" s="70" t="n">
        <f aca="false">MAX(0,J319-J324)*(1-J320)</f>
        <v>0</v>
      </c>
      <c r="K327" s="70" t="n">
        <f aca="false">MAX(0,K319-K324)*(1-K320)</f>
        <v>0</v>
      </c>
      <c r="L327" s="70" t="n">
        <f aca="false">MAX(0,L319-L324)*(1-L320)</f>
        <v>0</v>
      </c>
      <c r="M327" s="70" t="n">
        <f aca="false">MAX(0,M319-M324)*(1-M320)</f>
        <v>0</v>
      </c>
      <c r="N327" s="70" t="n">
        <f aca="false">MAX(0,N319-N324)*(1-N320)</f>
        <v>0</v>
      </c>
      <c r="O327" s="70" t="n">
        <f aca="false">MAX(0,O319-O324)*(1-O320)</f>
        <v>0</v>
      </c>
      <c r="P327" s="70" t="n">
        <f aca="false">MAX(0,P319-P324)*(1-P320)</f>
        <v>0</v>
      </c>
      <c r="Q327" s="70" t="n">
        <f aca="false">MAX(0,Q319-Q324)*(1-Q320)</f>
        <v>0</v>
      </c>
      <c r="R327" s="70" t="n">
        <f aca="false">MAX(0,R319-R324)*(1-R320)</f>
        <v>0</v>
      </c>
      <c r="S327" s="70" t="n">
        <f aca="false">MAX(0,S319-S324)*(1-S320)</f>
        <v>0</v>
      </c>
      <c r="T327" s="70" t="n">
        <f aca="false">MAX(0,T319-T324)*(1-T320)</f>
        <v>0</v>
      </c>
      <c r="U327" s="70" t="n">
        <f aca="false">MAX(0,U319-U324)*(1-U320)</f>
        <v>0</v>
      </c>
      <c r="V327" s="70" t="n">
        <f aca="false">MAX(0,V319-V324)*(1-V320)</f>
        <v>0</v>
      </c>
      <c r="W327" s="70" t="n">
        <f aca="false">MAX(0,W319-W324)*(1-W320)</f>
        <v>0</v>
      </c>
      <c r="X327" s="70" t="n">
        <f aca="false">MAX(0,X319-X324)*(1-X320)</f>
        <v>0</v>
      </c>
      <c r="Y327" s="70" t="n">
        <f aca="false">MAX(0,Y319-Y324)*(1-Y320)</f>
        <v>0</v>
      </c>
      <c r="Z327" s="70" t="n">
        <f aca="false">MAX(0,Z319-Z324)*(1-Z320)</f>
        <v>0</v>
      </c>
      <c r="AA327" s="70" t="n">
        <f aca="false">MAX(0,AA319-AA324)*(1-AA320)</f>
        <v>0</v>
      </c>
      <c r="AB327" s="70" t="n">
        <f aca="false">MAX(0,AB319-AB324)*(1-AB320)</f>
        <v>0</v>
      </c>
    </row>
    <row r="328" customFormat="false" ht="15" hidden="false" customHeight="false" outlineLevel="0" collapsed="false">
      <c r="A328" s="27" t="s">
        <v>747</v>
      </c>
      <c r="B328" s="56"/>
      <c r="C328" s="57" t="n">
        <f aca="false">SUM(E328:P328)</f>
        <v>0</v>
      </c>
      <c r="D328" s="57" t="n">
        <f aca="false">SUM(Q328:AB328)</f>
        <v>0</v>
      </c>
      <c r="E328" s="70" t="n">
        <f aca="false">-(E327-0)</f>
        <v>-0</v>
      </c>
      <c r="F328" s="70" t="n">
        <f aca="false">-(F327-E327)</f>
        <v>-0</v>
      </c>
      <c r="G328" s="70" t="n">
        <f aca="false">-(G327-F327)</f>
        <v>-0</v>
      </c>
      <c r="H328" s="70" t="n">
        <f aca="false">-(H327-G327)</f>
        <v>-0</v>
      </c>
      <c r="I328" s="70" t="n">
        <f aca="false">-(I327-H327)</f>
        <v>-0</v>
      </c>
      <c r="J328" s="70" t="n">
        <f aca="false">-(J327-I327)</f>
        <v>-0</v>
      </c>
      <c r="K328" s="70" t="n">
        <f aca="false">-(K327-J327)</f>
        <v>-0</v>
      </c>
      <c r="L328" s="70" t="n">
        <f aca="false">-(L327-K327)</f>
        <v>-0</v>
      </c>
      <c r="M328" s="70" t="n">
        <f aca="false">-(M327-L327)</f>
        <v>-0</v>
      </c>
      <c r="N328" s="70" t="n">
        <f aca="false">-(N327-M327)</f>
        <v>-0</v>
      </c>
      <c r="O328" s="70" t="n">
        <f aca="false">-(O327-N327)</f>
        <v>-0</v>
      </c>
      <c r="P328" s="70" t="n">
        <f aca="false">-(P327-O327)</f>
        <v>-0</v>
      </c>
      <c r="Q328" s="70" t="n">
        <f aca="false">-(Q327-P327)</f>
        <v>-0</v>
      </c>
      <c r="R328" s="70" t="n">
        <f aca="false">-(R327-Q327)</f>
        <v>-0</v>
      </c>
      <c r="S328" s="70" t="n">
        <f aca="false">-(S327-R327)</f>
        <v>-0</v>
      </c>
      <c r="T328" s="70" t="n">
        <f aca="false">-(T327-S327)</f>
        <v>-0</v>
      </c>
      <c r="U328" s="70" t="n">
        <f aca="false">-(U327-T327)</f>
        <v>-0</v>
      </c>
      <c r="V328" s="70" t="n">
        <f aca="false">-(V327-U327)</f>
        <v>-0</v>
      </c>
      <c r="W328" s="70" t="n">
        <f aca="false">-(W327-V327)</f>
        <v>-0</v>
      </c>
      <c r="X328" s="70" t="n">
        <f aca="false">-(X327-W327)</f>
        <v>-0</v>
      </c>
      <c r="Y328" s="70" t="n">
        <f aca="false">-(Y327-X327)</f>
        <v>-0</v>
      </c>
      <c r="Z328" s="70" t="n">
        <f aca="false">-(Z327-Y327)</f>
        <v>-0</v>
      </c>
      <c r="AA328" s="70" t="n">
        <f aca="false">-(AA327-Z327)</f>
        <v>-0</v>
      </c>
      <c r="AB328" s="70" t="n">
        <f aca="false">-(AB327-AA327)</f>
        <v>-0</v>
      </c>
    </row>
    <row r="329" customFormat="false" ht="15" hidden="false" customHeight="false" outlineLevel="0" collapsed="false">
      <c r="A329" s="67" t="s">
        <v>748</v>
      </c>
      <c r="B329" s="68" t="s">
        <v>749</v>
      </c>
      <c r="C329" s="69" t="n">
        <f aca="false">SUM(E329:P329)</f>
        <v>0</v>
      </c>
      <c r="D329" s="69" t="n">
        <f aca="false">SUM(Q329:AB329)</f>
        <v>212000</v>
      </c>
      <c r="E329" s="69" t="n">
        <f aca="false">E326-E317+E328</f>
        <v>0</v>
      </c>
      <c r="F329" s="69" t="n">
        <f aca="false">F326-F317+F328</f>
        <v>0</v>
      </c>
      <c r="G329" s="69" t="n">
        <f aca="false">G326-G317+G328</f>
        <v>0</v>
      </c>
      <c r="H329" s="69" t="n">
        <f aca="false">H326-H317+H328</f>
        <v>0</v>
      </c>
      <c r="I329" s="69" t="n">
        <f aca="false">I326-I317+I328</f>
        <v>0</v>
      </c>
      <c r="J329" s="69" t="n">
        <f aca="false">J326-J317+J328</f>
        <v>0</v>
      </c>
      <c r="K329" s="69" t="n">
        <f aca="false">K326-K317+K328</f>
        <v>0</v>
      </c>
      <c r="L329" s="69" t="n">
        <f aca="false">L326-L317+L328</f>
        <v>0</v>
      </c>
      <c r="M329" s="69" t="n">
        <f aca="false">M326-M317+M328</f>
        <v>0</v>
      </c>
      <c r="N329" s="69" t="n">
        <f aca="false">N326-N317+N328</f>
        <v>0</v>
      </c>
      <c r="O329" s="69" t="n">
        <f aca="false">O326-O317+O328</f>
        <v>0</v>
      </c>
      <c r="P329" s="69" t="n">
        <f aca="false">P326-P317+P328</f>
        <v>0</v>
      </c>
      <c r="Q329" s="69" t="n">
        <f aca="false">Q326-Q317+Q328</f>
        <v>0</v>
      </c>
      <c r="R329" s="69" t="n">
        <f aca="false">R326-R317+R328</f>
        <v>0</v>
      </c>
      <c r="S329" s="69" t="n">
        <f aca="false">S326-S317+S328</f>
        <v>7270.23319615913</v>
      </c>
      <c r="T329" s="69" t="n">
        <f aca="false">T326-T317+T328</f>
        <v>19484.2249657065</v>
      </c>
      <c r="U329" s="69" t="n">
        <f aca="false">U326-U317+U328</f>
        <v>28208.5048010974</v>
      </c>
      <c r="V329" s="69" t="n">
        <f aca="false">V326-V317+V328</f>
        <v>33443.0727023319</v>
      </c>
      <c r="W329" s="69" t="n">
        <f aca="false">W326-W317+W328</f>
        <v>35187.9286694102</v>
      </c>
      <c r="X329" s="69" t="n">
        <f aca="false">X326-X317+X328</f>
        <v>33443.072702332</v>
      </c>
      <c r="Y329" s="69" t="n">
        <f aca="false">Y326-Y317+Y328</f>
        <v>28208.5048010972</v>
      </c>
      <c r="Z329" s="69" t="n">
        <f aca="false">Z326-Z317+Z328</f>
        <v>19484.2249657065</v>
      </c>
      <c r="AA329" s="69" t="n">
        <f aca="false">AA326-AA317+AA328</f>
        <v>7270.23319615906</v>
      </c>
      <c r="AB329" s="69" t="n">
        <f aca="false">AB326-AB317+AB328</f>
        <v>0</v>
      </c>
    </row>
    <row r="330" customFormat="false" ht="15" hidden="false" customHeight="false" outlineLevel="0" collapsed="false">
      <c r="A330" s="27" t="s">
        <v>750</v>
      </c>
      <c r="B330" s="56"/>
      <c r="C330" s="57" t="n">
        <f aca="false">P330</f>
        <v>1760000</v>
      </c>
      <c r="D330" s="57" t="n">
        <f aca="false">AB330</f>
        <v>1760000</v>
      </c>
      <c r="E330" s="58" t="n">
        <f aca="false">Project_Register!$AO$14+E321+Assumptions!$F$121*E323</f>
        <v>1760000</v>
      </c>
      <c r="F330" s="58" t="n">
        <f aca="false">Project_Register!$AO$14+F321+Assumptions!$F$121*F323</f>
        <v>1760000</v>
      </c>
      <c r="G330" s="58" t="n">
        <f aca="false">Project_Register!$AO$14+G321+Assumptions!$F$121*G323</f>
        <v>1760000</v>
      </c>
      <c r="H330" s="58" t="n">
        <f aca="false">Project_Register!$AO$14+H321+Assumptions!$F$121*H323</f>
        <v>1760000</v>
      </c>
      <c r="I330" s="58" t="n">
        <f aca="false">Project_Register!$AO$14+I321+Assumptions!$F$121*I323</f>
        <v>1760000</v>
      </c>
      <c r="J330" s="58" t="n">
        <f aca="false">Project_Register!$AO$14+J321+Assumptions!$F$121*J323</f>
        <v>1760000</v>
      </c>
      <c r="K330" s="58" t="n">
        <f aca="false">Project_Register!$AO$14+K321+Assumptions!$F$121*K323</f>
        <v>1760000</v>
      </c>
      <c r="L330" s="58" t="n">
        <f aca="false">Project_Register!$AO$14+L321+Assumptions!$F$121*L323</f>
        <v>1760000</v>
      </c>
      <c r="M330" s="58" t="n">
        <f aca="false">Project_Register!$AO$14+M321+Assumptions!$F$121*M323</f>
        <v>1760000</v>
      </c>
      <c r="N330" s="58" t="n">
        <f aca="false">Project_Register!$AO$14+N321+Assumptions!$F$121*N323</f>
        <v>1760000</v>
      </c>
      <c r="O330" s="58" t="n">
        <f aca="false">Project_Register!$AO$14+O321+Assumptions!$F$121*O323</f>
        <v>1760000</v>
      </c>
      <c r="P330" s="58" t="n">
        <f aca="false">Project_Register!$AO$14+P321+Assumptions!$F$121*P323</f>
        <v>1760000</v>
      </c>
      <c r="Q330" s="58" t="n">
        <f aca="false">Project_Register!$AO$14+Q321+Assumptions!$F$121*Q323</f>
        <v>1760000</v>
      </c>
      <c r="R330" s="58" t="n">
        <f aca="false">Project_Register!$AO$14+R321+Assumptions!$F$121*R323</f>
        <v>1760000</v>
      </c>
      <c r="S330" s="58" t="n">
        <f aca="false">Project_Register!$AO$14+S321+Assumptions!$F$121*S323</f>
        <v>1760000</v>
      </c>
      <c r="T330" s="58" t="n">
        <f aca="false">Project_Register!$AO$14+T321+Assumptions!$F$121*T323</f>
        <v>1760000</v>
      </c>
      <c r="U330" s="58" t="n">
        <f aca="false">Project_Register!$AO$14+U321+Assumptions!$F$121*U323</f>
        <v>1760000</v>
      </c>
      <c r="V330" s="58" t="n">
        <f aca="false">Project_Register!$AO$14+V321+Assumptions!$F$121*V323</f>
        <v>1760000</v>
      </c>
      <c r="W330" s="58" t="n">
        <f aca="false">Project_Register!$AO$14+W321+Assumptions!$F$121*W323</f>
        <v>1760000</v>
      </c>
      <c r="X330" s="58" t="n">
        <f aca="false">Project_Register!$AO$14+X321+Assumptions!$F$121*X323</f>
        <v>1760000</v>
      </c>
      <c r="Y330" s="58" t="n">
        <f aca="false">Project_Register!$AO$14+Y321+Assumptions!$F$121*Y323</f>
        <v>1760000</v>
      </c>
      <c r="Z330" s="58" t="n">
        <f aca="false">Project_Register!$AO$14+Z321+Assumptions!$F$121*Z323</f>
        <v>1760000</v>
      </c>
      <c r="AA330" s="58" t="n">
        <f aca="false">Project_Register!$AO$14+AA321+Assumptions!$F$121*AA323</f>
        <v>1760000</v>
      </c>
      <c r="AB330" s="58" t="n">
        <f aca="false">Project_Register!$AO$14+AB321+Assumptions!$F$121*AB323</f>
        <v>1760000</v>
      </c>
    </row>
    <row r="331" customFormat="false" ht="15" hidden="false" customHeight="false" outlineLevel="0" collapsed="false">
      <c r="A331" s="27" t="s">
        <v>751</v>
      </c>
      <c r="B331" s="56" t="s">
        <v>752</v>
      </c>
      <c r="C331" s="57" t="n">
        <f aca="false">P331</f>
        <v>0</v>
      </c>
      <c r="D331" s="57" t="n">
        <f aca="false">AB331</f>
        <v>1760000</v>
      </c>
      <c r="E331" s="58" t="n">
        <f aca="false">IF(E$5="A",Project_Register!$AE$14+0,IF(Assumptions!E$96&gt;=Project_Register!$AM$14,E330,MIN(E330,MAX(Project_Register!$AE$14,0*E330))))</f>
        <v>0</v>
      </c>
      <c r="F331" s="58" t="n">
        <f aca="false">IF(F$5="A",E331+0,IF(Assumptions!F$96&gt;=Project_Register!$AM$14,F330,MIN(F330,MAX(E331,E320*F330))))</f>
        <v>0</v>
      </c>
      <c r="G331" s="58" t="n">
        <f aca="false">IF(G$5="A",F331+0,IF(Assumptions!G$96&gt;=Project_Register!$AM$14,G330,MIN(G330,MAX(F331,F320*G330))))</f>
        <v>0</v>
      </c>
      <c r="H331" s="58" t="n">
        <f aca="false">IF(H$5="A",G331+0,IF(Assumptions!H$96&gt;=Project_Register!$AM$14,H330,MIN(H330,MAX(G331,G320*H330))))</f>
        <v>0</v>
      </c>
      <c r="I331" s="58" t="n">
        <f aca="false">IF(I$5="A",H331+0,IF(Assumptions!I$96&gt;=Project_Register!$AM$14,I330,MIN(I330,MAX(H331,H320*I330))))</f>
        <v>0</v>
      </c>
      <c r="J331" s="58" t="n">
        <f aca="false">IF(J$5="A",I331+0,IF(Assumptions!J$96&gt;=Project_Register!$AM$14,J330,MIN(J330,MAX(I331,I320*J330))))</f>
        <v>0</v>
      </c>
      <c r="K331" s="58" t="n">
        <f aca="false">IF(K$5="A",J331+0,IF(Assumptions!K$96&gt;=Project_Register!$AM$14,K330,MIN(K330,MAX(J331,J320*K330))))</f>
        <v>0</v>
      </c>
      <c r="L331" s="58" t="n">
        <f aca="false">IF(L$5="A",K331+0,IF(Assumptions!L$96&gt;=Project_Register!$AM$14,L330,MIN(L330,MAX(K331,K320*L330))))</f>
        <v>0</v>
      </c>
      <c r="M331" s="58" t="n">
        <f aca="false">IF(M$5="A",L331+0,IF(Assumptions!M$96&gt;=Project_Register!$AM$14,M330,MIN(M330,MAX(L331,L320*M330))))</f>
        <v>0</v>
      </c>
      <c r="N331" s="58" t="n">
        <f aca="false">IF(N$5="A",M331+0,IF(Assumptions!N$96&gt;=Project_Register!$AM$14,N330,MIN(N330,MAX(M331,M320*N330))))</f>
        <v>0</v>
      </c>
      <c r="O331" s="58" t="n">
        <f aca="false">IF(O$5="A",N331+0,IF(Assumptions!O$96&gt;=Project_Register!$AM$14,O330,MIN(O330,MAX(N331,N320*O330))))</f>
        <v>0</v>
      </c>
      <c r="P331" s="58" t="n">
        <f aca="false">IF(P$5="A",O331+0,IF(Assumptions!P$96&gt;=Project_Register!$AM$14,P330,MIN(P330,MAX(O331,O320*P330))))</f>
        <v>0</v>
      </c>
      <c r="Q331" s="58" t="n">
        <f aca="false">IF(Q$5="A",P331+0,IF(Assumptions!Q$96&gt;=Project_Register!$AM$14,Q330,MIN(Q330,MAX(P331,P320*Q330))))</f>
        <v>0</v>
      </c>
      <c r="R331" s="58" t="n">
        <f aca="false">IF(R$5="A",Q331+0,IF(Assumptions!R$96&gt;=Project_Register!$AM$14,R330,MIN(R330,MAX(Q331,Q320*R330))))</f>
        <v>0</v>
      </c>
      <c r="S331" s="58" t="n">
        <f aca="false">IF(S$5="A",R331+0,IF(Assumptions!S$96&gt;=Project_Register!$AM$14,S330,MIN(S330,MAX(R331,R320*S330))))</f>
        <v>0</v>
      </c>
      <c r="T331" s="58" t="n">
        <f aca="false">IF(T$5="A",S331+0,IF(Assumptions!T$96&gt;=Project_Register!$AM$14,T330,MIN(T330,MAX(S331,S320*T330))))</f>
        <v>60356.6529492455</v>
      </c>
      <c r="U331" s="58" t="n">
        <f aca="false">IF(U$5="A",T331+0,IF(Assumptions!U$96&gt;=Project_Register!$AM$14,U330,MIN(U330,MAX(T331,T320*U330))))</f>
        <v>222112.482853224</v>
      </c>
      <c r="V331" s="58" t="n">
        <f aca="false">IF(V$5="A",U331+0,IF(Assumptions!V$96&gt;=Project_Register!$AM$14,V330,MIN(V330,MAX(U331,U320*V330))))</f>
        <v>456296.296296296</v>
      </c>
      <c r="W331" s="58" t="n">
        <f aca="false">IF(W$5="A",V331+0,IF(Assumptions!W$96&gt;=Project_Register!$AM$14,W330,MIN(W330,MAX(V331,V320*W330))))</f>
        <v>733936.899862826</v>
      </c>
      <c r="X331" s="58" t="n">
        <f aca="false">IF(X$5="A",W331+0,IF(Assumptions!X$96&gt;=Project_Register!$AM$14,X330,MIN(X330,MAX(W331,W320*X330))))</f>
        <v>1026063.10013717</v>
      </c>
      <c r="Y331" s="58" t="n">
        <f aca="false">IF(Y$5="A",X331+0,IF(Assumptions!Y$96&gt;=Project_Register!$AM$14,Y330,MIN(Y330,MAX(X331,X320*Y330))))</f>
        <v>1303703.7037037</v>
      </c>
      <c r="Z331" s="58" t="n">
        <f aca="false">IF(Z$5="A",Y331+0,IF(Assumptions!Z$96&gt;=Project_Register!$AM$14,Z330,MIN(Z330,MAX(Y331,Y320*Z330))))</f>
        <v>1537887.51714678</v>
      </c>
      <c r="AA331" s="58" t="n">
        <f aca="false">IF(AA$5="A",Z331+0,IF(Assumptions!AA$96&gt;=Project_Register!$AM$14,AA330,MIN(AA330,MAX(Z331,Z320*AA330))))</f>
        <v>1699643.34705075</v>
      </c>
      <c r="AB331" s="58" t="n">
        <f aca="false">IF(AB$5="A",AA331+0,IF(Assumptions!AB$96&gt;=Project_Register!$AM$14,AB330,MIN(AB330,MAX(AA331,AA320*AB330))))</f>
        <v>1760000</v>
      </c>
    </row>
    <row r="332" customFormat="false" ht="15" hidden="false" customHeight="false" outlineLevel="0" collapsed="false">
      <c r="A332" s="27" t="s">
        <v>753</v>
      </c>
      <c r="B332" s="56"/>
      <c r="C332" s="57" t="n">
        <f aca="false">SUM(E332:P332)</f>
        <v>0</v>
      </c>
      <c r="D332" s="57" t="n">
        <f aca="false">SUM(Q332:AB332)</f>
        <v>1760000</v>
      </c>
      <c r="E332" s="58" t="n">
        <f aca="false">E331-Project_Register!$AE$14</f>
        <v>0</v>
      </c>
      <c r="F332" s="70" t="n">
        <f aca="false">F331-E331</f>
        <v>0</v>
      </c>
      <c r="G332" s="70" t="n">
        <f aca="false">G331-F331</f>
        <v>0</v>
      </c>
      <c r="H332" s="70" t="n">
        <f aca="false">H331-G331</f>
        <v>0</v>
      </c>
      <c r="I332" s="70" t="n">
        <f aca="false">I331-H331</f>
        <v>0</v>
      </c>
      <c r="J332" s="70" t="n">
        <f aca="false">J331-I331</f>
        <v>0</v>
      </c>
      <c r="K332" s="70" t="n">
        <f aca="false">K331-J331</f>
        <v>0</v>
      </c>
      <c r="L332" s="70" t="n">
        <f aca="false">L331-K331</f>
        <v>0</v>
      </c>
      <c r="M332" s="70" t="n">
        <f aca="false">M331-L331</f>
        <v>0</v>
      </c>
      <c r="N332" s="70" t="n">
        <f aca="false">N331-M331</f>
        <v>0</v>
      </c>
      <c r="O332" s="70" t="n">
        <f aca="false">O331-N331</f>
        <v>0</v>
      </c>
      <c r="P332" s="70" t="n">
        <f aca="false">P331-O331</f>
        <v>0</v>
      </c>
      <c r="Q332" s="70" t="n">
        <f aca="false">Q331-P331</f>
        <v>0</v>
      </c>
      <c r="R332" s="70" t="n">
        <f aca="false">R331-Q331</f>
        <v>0</v>
      </c>
      <c r="S332" s="70" t="n">
        <f aca="false">S331-R331</f>
        <v>0</v>
      </c>
      <c r="T332" s="70" t="n">
        <f aca="false">T331-S331</f>
        <v>60356.6529492455</v>
      </c>
      <c r="U332" s="70" t="n">
        <f aca="false">U331-T331</f>
        <v>161755.829903978</v>
      </c>
      <c r="V332" s="70" t="n">
        <f aca="false">V331-U331</f>
        <v>234183.813443073</v>
      </c>
      <c r="W332" s="70" t="n">
        <f aca="false">W331-V331</f>
        <v>277640.603566529</v>
      </c>
      <c r="X332" s="70" t="n">
        <f aca="false">X331-W331</f>
        <v>292126.200274349</v>
      </c>
      <c r="Y332" s="70" t="n">
        <f aca="false">Y331-X331</f>
        <v>277640.60356653</v>
      </c>
      <c r="Z332" s="70" t="n">
        <f aca="false">Z331-Y331</f>
        <v>234183.813443072</v>
      </c>
      <c r="AA332" s="70" t="n">
        <f aca="false">AA331-Z331</f>
        <v>161755.829903978</v>
      </c>
      <c r="AB332" s="70" t="n">
        <f aca="false">AB331-AA331</f>
        <v>60356.6529492452</v>
      </c>
    </row>
    <row r="333" customFormat="false" ht="15" hidden="false" customHeight="false" outlineLevel="0" collapsed="false">
      <c r="A333" s="27" t="s">
        <v>754</v>
      </c>
      <c r="B333" s="56" t="s">
        <v>755</v>
      </c>
      <c r="C333" s="57" t="n">
        <f aca="false">P333</f>
        <v>0</v>
      </c>
      <c r="D333" s="57" t="n">
        <f aca="false">AB333</f>
        <v>44000</v>
      </c>
      <c r="E333" s="58" t="n">
        <f aca="false">Project_Register!$Q$14*E331*(1-Project_Register!$R$14*(Assumptions!E$96&gt;=Project_Register!$AK$14+1)-(1-Project_Register!$R$14)*(Assumptions!E$96&gt;=Project_Register!$AN$14))</f>
        <v>0</v>
      </c>
      <c r="F333" s="58" t="n">
        <f aca="false">Project_Register!$Q$14*F331*(1-Project_Register!$R$14*(Assumptions!F$96&gt;=Project_Register!$AK$14+1)-(1-Project_Register!$R$14)*(Assumptions!F$96&gt;=Project_Register!$AN$14))</f>
        <v>0</v>
      </c>
      <c r="G333" s="58" t="n">
        <f aca="false">Project_Register!$Q$14*G331*(1-Project_Register!$R$14*(Assumptions!G$96&gt;=Project_Register!$AK$14+1)-(1-Project_Register!$R$14)*(Assumptions!G$96&gt;=Project_Register!$AN$14))</f>
        <v>0</v>
      </c>
      <c r="H333" s="58" t="n">
        <f aca="false">Project_Register!$Q$14*H331*(1-Project_Register!$R$14*(Assumptions!H$96&gt;=Project_Register!$AK$14+1)-(1-Project_Register!$R$14)*(Assumptions!H$96&gt;=Project_Register!$AN$14))</f>
        <v>0</v>
      </c>
      <c r="I333" s="58" t="n">
        <f aca="false">Project_Register!$Q$14*I331*(1-Project_Register!$R$14*(Assumptions!I$96&gt;=Project_Register!$AK$14+1)-(1-Project_Register!$R$14)*(Assumptions!I$96&gt;=Project_Register!$AN$14))</f>
        <v>0</v>
      </c>
      <c r="J333" s="58" t="n">
        <f aca="false">Project_Register!$Q$14*J331*(1-Project_Register!$R$14*(Assumptions!J$96&gt;=Project_Register!$AK$14+1)-(1-Project_Register!$R$14)*(Assumptions!J$96&gt;=Project_Register!$AN$14))</f>
        <v>0</v>
      </c>
      <c r="K333" s="58" t="n">
        <f aca="false">Project_Register!$Q$14*K331*(1-Project_Register!$R$14*(Assumptions!K$96&gt;=Project_Register!$AK$14+1)-(1-Project_Register!$R$14)*(Assumptions!K$96&gt;=Project_Register!$AN$14))</f>
        <v>0</v>
      </c>
      <c r="L333" s="58" t="n">
        <f aca="false">Project_Register!$Q$14*L331*(1-Project_Register!$R$14*(Assumptions!L$96&gt;=Project_Register!$AK$14+1)-(1-Project_Register!$R$14)*(Assumptions!L$96&gt;=Project_Register!$AN$14))</f>
        <v>0</v>
      </c>
      <c r="M333" s="58" t="n">
        <f aca="false">Project_Register!$Q$14*M331*(1-Project_Register!$R$14*(Assumptions!M$96&gt;=Project_Register!$AK$14+1)-(1-Project_Register!$R$14)*(Assumptions!M$96&gt;=Project_Register!$AN$14))</f>
        <v>0</v>
      </c>
      <c r="N333" s="58" t="n">
        <f aca="false">Project_Register!$Q$14*N331*(1-Project_Register!$R$14*(Assumptions!N$96&gt;=Project_Register!$AK$14+1)-(1-Project_Register!$R$14)*(Assumptions!N$96&gt;=Project_Register!$AN$14))</f>
        <v>0</v>
      </c>
      <c r="O333" s="58" t="n">
        <f aca="false">Project_Register!$Q$14*O331*(1-Project_Register!$R$14*(Assumptions!O$96&gt;=Project_Register!$AK$14+1)-(1-Project_Register!$R$14)*(Assumptions!O$96&gt;=Project_Register!$AN$14))</f>
        <v>0</v>
      </c>
      <c r="P333" s="58" t="n">
        <f aca="false">Project_Register!$Q$14*P331*(1-Project_Register!$R$14*(Assumptions!P$96&gt;=Project_Register!$AK$14+1)-(1-Project_Register!$R$14)*(Assumptions!P$96&gt;=Project_Register!$AN$14))</f>
        <v>0</v>
      </c>
      <c r="Q333" s="58" t="n">
        <f aca="false">Project_Register!$Q$14*Q331*(1-Project_Register!$R$14*(Assumptions!Q$96&gt;=Project_Register!$AK$14+1)-(1-Project_Register!$R$14)*(Assumptions!Q$96&gt;=Project_Register!$AN$14))</f>
        <v>0</v>
      </c>
      <c r="R333" s="58" t="n">
        <f aca="false">Project_Register!$Q$14*R331*(1-Project_Register!$R$14*(Assumptions!R$96&gt;=Project_Register!$AK$14+1)-(1-Project_Register!$R$14)*(Assumptions!R$96&gt;=Project_Register!$AN$14))</f>
        <v>0</v>
      </c>
      <c r="S333" s="58" t="n">
        <f aca="false">Project_Register!$Q$14*S331*(1-Project_Register!$R$14*(Assumptions!S$96&gt;=Project_Register!$AK$14+1)-(1-Project_Register!$R$14)*(Assumptions!S$96&gt;=Project_Register!$AN$14))</f>
        <v>0</v>
      </c>
      <c r="T333" s="58" t="n">
        <f aca="false">Project_Register!$Q$14*T331*(1-Project_Register!$R$14*(Assumptions!T$96&gt;=Project_Register!$AK$14+1)-(1-Project_Register!$R$14)*(Assumptions!T$96&gt;=Project_Register!$AN$14))</f>
        <v>3017.83264746228</v>
      </c>
      <c r="U333" s="58" t="n">
        <f aca="false">Project_Register!$Q$14*U331*(1-Project_Register!$R$14*(Assumptions!U$96&gt;=Project_Register!$AK$14+1)-(1-Project_Register!$R$14)*(Assumptions!U$96&gt;=Project_Register!$AN$14))</f>
        <v>11105.6241426612</v>
      </c>
      <c r="V333" s="58" t="n">
        <f aca="false">Project_Register!$Q$14*V331*(1-Project_Register!$R$14*(Assumptions!V$96&gt;=Project_Register!$AK$14+1)-(1-Project_Register!$R$14)*(Assumptions!V$96&gt;=Project_Register!$AN$14))</f>
        <v>22814.8148148148</v>
      </c>
      <c r="W333" s="58" t="n">
        <f aca="false">Project_Register!$Q$14*W331*(1-Project_Register!$R$14*(Assumptions!W$96&gt;=Project_Register!$AK$14+1)-(1-Project_Register!$R$14)*(Assumptions!W$96&gt;=Project_Register!$AN$14))</f>
        <v>36696.8449931413</v>
      </c>
      <c r="X333" s="58" t="n">
        <f aca="false">Project_Register!$Q$14*X331*(1-Project_Register!$R$14*(Assumptions!X$96&gt;=Project_Register!$AK$14+1)-(1-Project_Register!$R$14)*(Assumptions!X$96&gt;=Project_Register!$AN$14))</f>
        <v>51303.1550068587</v>
      </c>
      <c r="Y333" s="58" t="n">
        <f aca="false">Project_Register!$Q$14*Y331*(1-Project_Register!$R$14*(Assumptions!Y$96&gt;=Project_Register!$AK$14+1)-(1-Project_Register!$R$14)*(Assumptions!Y$96&gt;=Project_Register!$AN$14))</f>
        <v>65185.1851851852</v>
      </c>
      <c r="Z333" s="58" t="n">
        <f aca="false">Project_Register!$Q$14*Z331*(1-Project_Register!$R$14*(Assumptions!Z$96&gt;=Project_Register!$AK$14+1)-(1-Project_Register!$R$14)*(Assumptions!Z$96&gt;=Project_Register!$AN$14))</f>
        <v>76894.3758573388</v>
      </c>
      <c r="AA333" s="58" t="n">
        <f aca="false">Project_Register!$Q$14*AA331*(1-Project_Register!$R$14*(Assumptions!AA$96&gt;=Project_Register!$AK$14+1)-(1-Project_Register!$R$14)*(Assumptions!AA$96&gt;=Project_Register!$AN$14))</f>
        <v>84982.1673525377</v>
      </c>
      <c r="AB333" s="58" t="n">
        <f aca="false">Project_Register!$Q$14*AB331*(1-Project_Register!$R$14*(Assumptions!AB$96&gt;=Project_Register!$AK$14+1)-(1-Project_Register!$R$14)*(Assumptions!AB$96&gt;=Project_Register!$AN$14))</f>
        <v>44000</v>
      </c>
    </row>
    <row r="334" customFormat="false" ht="15" hidden="false" customHeight="false" outlineLevel="0" collapsed="false">
      <c r="A334" s="27" t="s">
        <v>756</v>
      </c>
      <c r="B334" s="56"/>
      <c r="C334" s="57" t="n">
        <f aca="false">SUM(E334:P334)</f>
        <v>0</v>
      </c>
      <c r="D334" s="57" t="n">
        <f aca="false">SUM(Q334:AB334)</f>
        <v>44000</v>
      </c>
      <c r="E334" s="58" t="n">
        <f aca="false">E333-Project_Register!$AW$14</f>
        <v>0</v>
      </c>
      <c r="F334" s="70" t="n">
        <f aca="false">F333-E333</f>
        <v>0</v>
      </c>
      <c r="G334" s="70" t="n">
        <f aca="false">G333-F333</f>
        <v>0</v>
      </c>
      <c r="H334" s="70" t="n">
        <f aca="false">H333-G333</f>
        <v>0</v>
      </c>
      <c r="I334" s="70" t="n">
        <f aca="false">I333-H333</f>
        <v>0</v>
      </c>
      <c r="J334" s="70" t="n">
        <f aca="false">J333-I333</f>
        <v>0</v>
      </c>
      <c r="K334" s="70" t="n">
        <f aca="false">K333-J333</f>
        <v>0</v>
      </c>
      <c r="L334" s="70" t="n">
        <f aca="false">L333-K333</f>
        <v>0</v>
      </c>
      <c r="M334" s="70" t="n">
        <f aca="false">M333-L333</f>
        <v>0</v>
      </c>
      <c r="N334" s="70" t="n">
        <f aca="false">N333-M333</f>
        <v>0</v>
      </c>
      <c r="O334" s="70" t="n">
        <f aca="false">O333-N333</f>
        <v>0</v>
      </c>
      <c r="P334" s="70" t="n">
        <f aca="false">P333-O333</f>
        <v>0</v>
      </c>
      <c r="Q334" s="70" t="n">
        <f aca="false">Q333-P333</f>
        <v>0</v>
      </c>
      <c r="R334" s="70" t="n">
        <f aca="false">R333-Q333</f>
        <v>0</v>
      </c>
      <c r="S334" s="70" t="n">
        <f aca="false">S333-R333</f>
        <v>0</v>
      </c>
      <c r="T334" s="70" t="n">
        <f aca="false">T333-S333</f>
        <v>3017.83264746228</v>
      </c>
      <c r="U334" s="70" t="n">
        <f aca="false">U333-T333</f>
        <v>8087.7914951989</v>
      </c>
      <c r="V334" s="70" t="n">
        <f aca="false">V333-U333</f>
        <v>11709.1906721536</v>
      </c>
      <c r="W334" s="70" t="n">
        <f aca="false">W333-V333</f>
        <v>13882.0301783265</v>
      </c>
      <c r="X334" s="70" t="n">
        <f aca="false">X333-W333</f>
        <v>14606.3100137174</v>
      </c>
      <c r="Y334" s="70" t="n">
        <f aca="false">Y333-X333</f>
        <v>13882.0301783265</v>
      </c>
      <c r="Z334" s="70" t="n">
        <f aca="false">Z333-Y333</f>
        <v>11709.1906721536</v>
      </c>
      <c r="AA334" s="70" t="n">
        <f aca="false">AA333-Z333</f>
        <v>8087.79149519892</v>
      </c>
      <c r="AB334" s="70" t="n">
        <f aca="false">AB333-AA333</f>
        <v>-40982.1673525377</v>
      </c>
    </row>
    <row r="335" customFormat="false" ht="15" hidden="false" customHeight="false" outlineLevel="0" collapsed="false">
      <c r="A335" s="27" t="s">
        <v>757</v>
      </c>
      <c r="B335" s="56"/>
      <c r="C335" s="57" t="n">
        <f aca="false">SUM(E335:P335)</f>
        <v>0</v>
      </c>
      <c r="D335" s="57" t="n">
        <f aca="false">SUM(Q335:AB335)</f>
        <v>1716000</v>
      </c>
      <c r="E335" s="70" t="n">
        <f aca="false">E332-E334</f>
        <v>0</v>
      </c>
      <c r="F335" s="70" t="n">
        <f aca="false">F332-F334</f>
        <v>0</v>
      </c>
      <c r="G335" s="70" t="n">
        <f aca="false">G332-G334</f>
        <v>0</v>
      </c>
      <c r="H335" s="70" t="n">
        <f aca="false">H332-H334</f>
        <v>0</v>
      </c>
      <c r="I335" s="70" t="n">
        <f aca="false">I332-I334</f>
        <v>0</v>
      </c>
      <c r="J335" s="70" t="n">
        <f aca="false">J332-J334</f>
        <v>0</v>
      </c>
      <c r="K335" s="70" t="n">
        <f aca="false">K332-K334</f>
        <v>0</v>
      </c>
      <c r="L335" s="70" t="n">
        <f aca="false">L332-L334</f>
        <v>0</v>
      </c>
      <c r="M335" s="70" t="n">
        <f aca="false">M332-M334</f>
        <v>0</v>
      </c>
      <c r="N335" s="70" t="n">
        <f aca="false">N332-N334</f>
        <v>0</v>
      </c>
      <c r="O335" s="70" t="n">
        <f aca="false">O332-O334</f>
        <v>0</v>
      </c>
      <c r="P335" s="70" t="n">
        <f aca="false">P332-P334</f>
        <v>0</v>
      </c>
      <c r="Q335" s="70" t="n">
        <f aca="false">Q332-Q334</f>
        <v>0</v>
      </c>
      <c r="R335" s="70" t="n">
        <f aca="false">R332-R334</f>
        <v>0</v>
      </c>
      <c r="S335" s="70" t="n">
        <f aca="false">S332-S334</f>
        <v>0</v>
      </c>
      <c r="T335" s="70" t="n">
        <f aca="false">T332-T334</f>
        <v>57338.8203017833</v>
      </c>
      <c r="U335" s="70" t="n">
        <f aca="false">U332-U334</f>
        <v>153668.038408779</v>
      </c>
      <c r="V335" s="70" t="n">
        <f aca="false">V332-V334</f>
        <v>222474.622770919</v>
      </c>
      <c r="W335" s="70" t="n">
        <f aca="false">W332-W334</f>
        <v>263758.573388203</v>
      </c>
      <c r="X335" s="70" t="n">
        <f aca="false">X332-X334</f>
        <v>277519.890260631</v>
      </c>
      <c r="Y335" s="70" t="n">
        <f aca="false">Y332-Y334</f>
        <v>263758.573388203</v>
      </c>
      <c r="Z335" s="70" t="n">
        <f aca="false">Z332-Z334</f>
        <v>222474.622770919</v>
      </c>
      <c r="AA335" s="70" t="n">
        <f aca="false">AA332-AA334</f>
        <v>153668.038408779</v>
      </c>
      <c r="AB335" s="70" t="n">
        <f aca="false">AB332-AB334</f>
        <v>101338.820301783</v>
      </c>
    </row>
    <row r="336" customFormat="false" ht="15" hidden="false" customHeight="false" outlineLevel="0" collapsed="false">
      <c r="A336" s="27" t="s">
        <v>758</v>
      </c>
      <c r="B336" s="56" t="s">
        <v>759</v>
      </c>
      <c r="C336" s="57" t="n">
        <f aca="false">SUM(E336:P336)</f>
        <v>0</v>
      </c>
      <c r="D336" s="57" t="n">
        <f aca="false">SUM(Q336:AB336)</f>
        <v>0</v>
      </c>
      <c r="E336" s="58" t="n">
        <f aca="false">E335*Project_Register!$W$14</f>
        <v>0</v>
      </c>
      <c r="F336" s="58" t="n">
        <f aca="false">F335*Project_Register!$W$14</f>
        <v>0</v>
      </c>
      <c r="G336" s="58" t="n">
        <f aca="false">G335*Project_Register!$W$14</f>
        <v>0</v>
      </c>
      <c r="H336" s="58" t="n">
        <f aca="false">H335*Project_Register!$W$14</f>
        <v>0</v>
      </c>
      <c r="I336" s="58" t="n">
        <f aca="false">I335*Project_Register!$W$14</f>
        <v>0</v>
      </c>
      <c r="J336" s="58" t="n">
        <f aca="false">J335*Project_Register!$W$14</f>
        <v>0</v>
      </c>
      <c r="K336" s="58" t="n">
        <f aca="false">K335*Project_Register!$W$14</f>
        <v>0</v>
      </c>
      <c r="L336" s="58" t="n">
        <f aca="false">L335*Project_Register!$W$14</f>
        <v>0</v>
      </c>
      <c r="M336" s="58" t="n">
        <f aca="false">M335*Project_Register!$W$14</f>
        <v>0</v>
      </c>
      <c r="N336" s="58" t="n">
        <f aca="false">N335*Project_Register!$W$14</f>
        <v>0</v>
      </c>
      <c r="O336" s="58" t="n">
        <f aca="false">O335*Project_Register!$W$14</f>
        <v>0</v>
      </c>
      <c r="P336" s="58" t="n">
        <f aca="false">P335*Project_Register!$W$14</f>
        <v>0</v>
      </c>
      <c r="Q336" s="58" t="n">
        <f aca="false">Q335*Project_Register!$W$14</f>
        <v>0</v>
      </c>
      <c r="R336" s="58" t="n">
        <f aca="false">R335*Project_Register!$W$14</f>
        <v>0</v>
      </c>
      <c r="S336" s="58" t="n">
        <f aca="false">S335*Project_Register!$W$14</f>
        <v>0</v>
      </c>
      <c r="T336" s="58" t="n">
        <f aca="false">T335*Project_Register!$W$14</f>
        <v>0</v>
      </c>
      <c r="U336" s="58" t="n">
        <f aca="false">U335*Project_Register!$W$14</f>
        <v>0</v>
      </c>
      <c r="V336" s="58" t="n">
        <f aca="false">V335*Project_Register!$W$14</f>
        <v>0</v>
      </c>
      <c r="W336" s="58" t="n">
        <f aca="false">W335*Project_Register!$W$14</f>
        <v>0</v>
      </c>
      <c r="X336" s="58" t="n">
        <f aca="false">X335*Project_Register!$W$14</f>
        <v>0</v>
      </c>
      <c r="Y336" s="58" t="n">
        <f aca="false">Y335*Project_Register!$W$14</f>
        <v>0</v>
      </c>
      <c r="Z336" s="58" t="n">
        <f aca="false">Z335*Project_Register!$W$14</f>
        <v>0</v>
      </c>
      <c r="AA336" s="58" t="n">
        <f aca="false">AA335*Project_Register!$W$14</f>
        <v>0</v>
      </c>
      <c r="AB336" s="58" t="n">
        <f aca="false">AB335*Project_Register!$W$14</f>
        <v>0</v>
      </c>
    </row>
    <row r="337" customFormat="false" ht="15" hidden="false" customHeight="false" outlineLevel="0" collapsed="false">
      <c r="A337" s="27" t="s">
        <v>760</v>
      </c>
      <c r="B337" s="56"/>
      <c r="C337" s="57" t="n">
        <f aca="false">SUM(E337:P337)</f>
        <v>0</v>
      </c>
      <c r="D337" s="57" t="n">
        <f aca="false">SUM(Q337:AB337)</f>
        <v>1716000</v>
      </c>
      <c r="E337" s="70" t="n">
        <f aca="false">E335+E336</f>
        <v>0</v>
      </c>
      <c r="F337" s="70" t="n">
        <f aca="false">F335+F336</f>
        <v>0</v>
      </c>
      <c r="G337" s="70" t="n">
        <f aca="false">G335+G336</f>
        <v>0</v>
      </c>
      <c r="H337" s="70" t="n">
        <f aca="false">H335+H336</f>
        <v>0</v>
      </c>
      <c r="I337" s="70" t="n">
        <f aca="false">I335+I336</f>
        <v>0</v>
      </c>
      <c r="J337" s="70" t="n">
        <f aca="false">J335+J336</f>
        <v>0</v>
      </c>
      <c r="K337" s="70" t="n">
        <f aca="false">K335+K336</f>
        <v>0</v>
      </c>
      <c r="L337" s="70" t="n">
        <f aca="false">L335+L336</f>
        <v>0</v>
      </c>
      <c r="M337" s="70" t="n">
        <f aca="false">M335+M336</f>
        <v>0</v>
      </c>
      <c r="N337" s="70" t="n">
        <f aca="false">N335+N336</f>
        <v>0</v>
      </c>
      <c r="O337" s="70" t="n">
        <f aca="false">O335+O336</f>
        <v>0</v>
      </c>
      <c r="P337" s="70" t="n">
        <f aca="false">P335+P336</f>
        <v>0</v>
      </c>
      <c r="Q337" s="70" t="n">
        <f aca="false">Q335+Q336</f>
        <v>0</v>
      </c>
      <c r="R337" s="70" t="n">
        <f aca="false">R335+R336</f>
        <v>0</v>
      </c>
      <c r="S337" s="70" t="n">
        <f aca="false">S335+S336</f>
        <v>0</v>
      </c>
      <c r="T337" s="70" t="n">
        <f aca="false">T335+T336</f>
        <v>57338.8203017833</v>
      </c>
      <c r="U337" s="70" t="n">
        <f aca="false">U335+U336</f>
        <v>153668.038408779</v>
      </c>
      <c r="V337" s="70" t="n">
        <f aca="false">V335+V336</f>
        <v>222474.622770919</v>
      </c>
      <c r="W337" s="70" t="n">
        <f aca="false">W335+W336</f>
        <v>263758.573388203</v>
      </c>
      <c r="X337" s="70" t="n">
        <f aca="false">X335+X336</f>
        <v>277519.890260631</v>
      </c>
      <c r="Y337" s="70" t="n">
        <f aca="false">Y335+Y336</f>
        <v>263758.573388203</v>
      </c>
      <c r="Z337" s="70" t="n">
        <f aca="false">Z335+Z336</f>
        <v>222474.622770919</v>
      </c>
      <c r="AA337" s="70" t="n">
        <f aca="false">AA335+AA336</f>
        <v>153668.038408779</v>
      </c>
      <c r="AB337" s="70" t="n">
        <f aca="false">AB335+AB336</f>
        <v>101338.820301783</v>
      </c>
    </row>
    <row r="338" customFormat="false" ht="15" hidden="false" customHeight="false" outlineLevel="0" collapsed="false">
      <c r="A338" s="27" t="s">
        <v>761</v>
      </c>
      <c r="B338" s="56" t="s">
        <v>762</v>
      </c>
      <c r="C338" s="57" t="n">
        <f aca="false">SUM(E338:P338)</f>
        <v>0</v>
      </c>
      <c r="D338" s="57" t="n">
        <f aca="false">SUM(Q338:AB338)</f>
        <v>1614661.17969822</v>
      </c>
      <c r="E338" s="58" t="n">
        <f aca="false">IF(E$5="A",0,Project_Register!$AF$14+E337-(E337*MIN(1,Project_Register!$AY$14/30)+0*MIN(1,MAX(0,(Project_Register!$AY$14-30)/30))))</f>
        <v>0</v>
      </c>
      <c r="F338" s="58" t="n">
        <f aca="false">IF(F$5="A",0,E339+F337-(F337*MIN(1,Project_Register!$AY$14/30)+E337*MIN(1,MAX(0,(Project_Register!$AY$14-30)/30))))</f>
        <v>0</v>
      </c>
      <c r="G338" s="58" t="n">
        <f aca="false">IF(G$5="A",0,F339+G337-(G337*MIN(1,Project_Register!$AY$14/30)+F337*MIN(1,MAX(0,(Project_Register!$AY$14-30)/30))))</f>
        <v>0</v>
      </c>
      <c r="H338" s="58" t="n">
        <f aca="false">IF(H$5="A",0,G339+H337-(H337*MIN(1,Project_Register!$AY$14/30)+G337*MIN(1,MAX(0,(Project_Register!$AY$14-30)/30))))</f>
        <v>0</v>
      </c>
      <c r="I338" s="58" t="n">
        <f aca="false">IF(I$5="A",0,H339+I337-(I337*MIN(1,Project_Register!$AY$14/30)+H337*MIN(1,MAX(0,(Project_Register!$AY$14-30)/30))))</f>
        <v>0</v>
      </c>
      <c r="J338" s="58" t="n">
        <f aca="false">IF(J$5="A",0,I339+J337-(J337*MIN(1,Project_Register!$AY$14/30)+I337*MIN(1,MAX(0,(Project_Register!$AY$14-30)/30))))</f>
        <v>0</v>
      </c>
      <c r="K338" s="58" t="n">
        <f aca="false">IF(K$5="A",0,J339+K337-(K337*MIN(1,Project_Register!$AY$14/30)+J337*MIN(1,MAX(0,(Project_Register!$AY$14-30)/30))))</f>
        <v>0</v>
      </c>
      <c r="L338" s="58" t="n">
        <f aca="false">IF(L$5="A",0,K339+L337-(L337*MIN(1,Project_Register!$AY$14/30)+K337*MIN(1,MAX(0,(Project_Register!$AY$14-30)/30))))</f>
        <v>0</v>
      </c>
      <c r="M338" s="58" t="n">
        <f aca="false">IF(M$5="A",0,L339+M337-(M337*MIN(1,Project_Register!$AY$14/30)+L337*MIN(1,MAX(0,(Project_Register!$AY$14-30)/30))))</f>
        <v>0</v>
      </c>
      <c r="N338" s="58" t="n">
        <f aca="false">IF(N$5="A",0,M339+N337-(N337*MIN(1,Project_Register!$AY$14/30)+M337*MIN(1,MAX(0,(Project_Register!$AY$14-30)/30))))</f>
        <v>0</v>
      </c>
      <c r="O338" s="58" t="n">
        <f aca="false">IF(O$5="A",0,N339+O337-(O337*MIN(1,Project_Register!$AY$14/30)+N337*MIN(1,MAX(0,(Project_Register!$AY$14-30)/30))))</f>
        <v>0</v>
      </c>
      <c r="P338" s="58" t="n">
        <f aca="false">IF(P$5="A",0,O339+P337-(P337*MIN(1,Project_Register!$AY$14/30)+O337*MIN(1,MAX(0,(Project_Register!$AY$14-30)/30))))</f>
        <v>0</v>
      </c>
      <c r="Q338" s="58" t="n">
        <f aca="false">IF(Q$5="A",0,P339+Q337-(Q337*MIN(1,Project_Register!$AY$14/30)+P337*MIN(1,MAX(0,(Project_Register!$AY$14-30)/30))))</f>
        <v>0</v>
      </c>
      <c r="R338" s="58" t="n">
        <f aca="false">IF(R$5="A",0,Q339+R337-(R337*MIN(1,Project_Register!$AY$14/30)+Q337*MIN(1,MAX(0,(Project_Register!$AY$14-30)/30))))</f>
        <v>0</v>
      </c>
      <c r="S338" s="58" t="n">
        <f aca="false">IF(S$5="A",0,R339+S337-(S337*MIN(1,Project_Register!$AY$14/30)+R337*MIN(1,MAX(0,(Project_Register!$AY$14-30)/30))))</f>
        <v>0</v>
      </c>
      <c r="T338" s="58" t="n">
        <f aca="false">IF(T$5="A",0,S339+T337-(T337*MIN(1,Project_Register!$AY$14/30)+S337*MIN(1,MAX(0,(Project_Register!$AY$14-30)/30))))</f>
        <v>0</v>
      </c>
      <c r="U338" s="58" t="n">
        <f aca="false">IF(U$5="A",0,T339+U337-(U337*MIN(1,Project_Register!$AY$14/30)+T337*MIN(1,MAX(0,(Project_Register!$AY$14-30)/30))))</f>
        <v>57338.8203017833</v>
      </c>
      <c r="V338" s="58" t="n">
        <f aca="false">IF(V$5="A",0,U339+V337-(V337*MIN(1,Project_Register!$AY$14/30)+U337*MIN(1,MAX(0,(Project_Register!$AY$14-30)/30))))</f>
        <v>153668.038408779</v>
      </c>
      <c r="W338" s="58" t="n">
        <f aca="false">IF(W$5="A",0,V339+W337-(W337*MIN(1,Project_Register!$AY$14/30)+V337*MIN(1,MAX(0,(Project_Register!$AY$14-30)/30))))</f>
        <v>222474.622770919</v>
      </c>
      <c r="X338" s="58" t="n">
        <f aca="false">IF(X$5="A",0,W339+X337-(X337*MIN(1,Project_Register!$AY$14/30)+W337*MIN(1,MAX(0,(Project_Register!$AY$14-30)/30))))</f>
        <v>263758.573388203</v>
      </c>
      <c r="Y338" s="58" t="n">
        <f aca="false">IF(Y$5="A",0,X339+Y337-(Y337*MIN(1,Project_Register!$AY$14/30)+X337*MIN(1,MAX(0,(Project_Register!$AY$14-30)/30))))</f>
        <v>277519.890260631</v>
      </c>
      <c r="Z338" s="58" t="n">
        <f aca="false">IF(Z$5="A",0,Y339+Z337-(Z337*MIN(1,Project_Register!$AY$14/30)+Y337*MIN(1,MAX(0,(Project_Register!$AY$14-30)/30))))</f>
        <v>263758.573388203</v>
      </c>
      <c r="AA338" s="58" t="n">
        <f aca="false">IF(AA$5="A",0,Z339+AA337-(AA337*MIN(1,Project_Register!$AY$14/30)+Z337*MIN(1,MAX(0,(Project_Register!$AY$14-30)/30))))</f>
        <v>222474.622770919</v>
      </c>
      <c r="AB338" s="58" t="n">
        <f aca="false">IF(AB$5="A",0,AA339+AB337-(AB337*MIN(1,Project_Register!$AY$14/30)+AA337*MIN(1,MAX(0,(Project_Register!$AY$14-30)/30))))</f>
        <v>153668.038408779</v>
      </c>
    </row>
    <row r="339" customFormat="false" ht="15" hidden="false" customHeight="false" outlineLevel="0" collapsed="false">
      <c r="A339" s="27" t="s">
        <v>763</v>
      </c>
      <c r="B339" s="56" t="s">
        <v>764</v>
      </c>
      <c r="C339" s="57" t="n">
        <f aca="false">P339</f>
        <v>0</v>
      </c>
      <c r="D339" s="57" t="n">
        <f aca="false">AB339</f>
        <v>101338.820301783</v>
      </c>
      <c r="E339" s="58" t="n">
        <f aca="false">Project_Register!$AF$14+E337-E338</f>
        <v>0</v>
      </c>
      <c r="F339" s="70" t="n">
        <f aca="false">E339+F337-F338</f>
        <v>0</v>
      </c>
      <c r="G339" s="70" t="n">
        <f aca="false">F339+G337-G338</f>
        <v>0</v>
      </c>
      <c r="H339" s="70" t="n">
        <f aca="false">G339+H337-H338</f>
        <v>0</v>
      </c>
      <c r="I339" s="70" t="n">
        <f aca="false">H339+I337-I338</f>
        <v>0</v>
      </c>
      <c r="J339" s="70" t="n">
        <f aca="false">I339+J337-J338</f>
        <v>0</v>
      </c>
      <c r="K339" s="70" t="n">
        <f aca="false">J339+K337-K338</f>
        <v>0</v>
      </c>
      <c r="L339" s="70" t="n">
        <f aca="false">K339+L337-L338</f>
        <v>0</v>
      </c>
      <c r="M339" s="70" t="n">
        <f aca="false">L339+M337-M338</f>
        <v>0</v>
      </c>
      <c r="N339" s="70" t="n">
        <f aca="false">M339+N337-N338</f>
        <v>0</v>
      </c>
      <c r="O339" s="70" t="n">
        <f aca="false">N339+O337-O338</f>
        <v>0</v>
      </c>
      <c r="P339" s="70" t="n">
        <f aca="false">O339+P337-P338</f>
        <v>0</v>
      </c>
      <c r="Q339" s="70" t="n">
        <f aca="false">P339+Q337-Q338</f>
        <v>0</v>
      </c>
      <c r="R339" s="70" t="n">
        <f aca="false">Q339+R337-R338</f>
        <v>0</v>
      </c>
      <c r="S339" s="70" t="n">
        <f aca="false">R339+S337-S338</f>
        <v>0</v>
      </c>
      <c r="T339" s="70" t="n">
        <f aca="false">S339+T337-T338</f>
        <v>57338.8203017833</v>
      </c>
      <c r="U339" s="70" t="n">
        <f aca="false">T339+U337-U338</f>
        <v>153668.038408779</v>
      </c>
      <c r="V339" s="70" t="n">
        <f aca="false">U339+V337-V338</f>
        <v>222474.622770919</v>
      </c>
      <c r="W339" s="70" t="n">
        <f aca="false">V339+W337-W338</f>
        <v>263758.573388203</v>
      </c>
      <c r="X339" s="70" t="n">
        <f aca="false">W339+X337-X338</f>
        <v>277519.890260631</v>
      </c>
      <c r="Y339" s="70" t="n">
        <f aca="false">X339+Y337-Y338</f>
        <v>263758.573388203</v>
      </c>
      <c r="Z339" s="70" t="n">
        <f aca="false">Y339+Z337-Z338</f>
        <v>222474.622770919</v>
      </c>
      <c r="AA339" s="70" t="n">
        <f aca="false">Z339+AA337-AA338</f>
        <v>153668.038408779</v>
      </c>
      <c r="AB339" s="70" t="n">
        <f aca="false">AA339+AB337-AB338</f>
        <v>101338.820301783</v>
      </c>
    </row>
    <row r="340" customFormat="false" ht="15" hidden="false" customHeight="false" outlineLevel="0" collapsed="false">
      <c r="A340" s="27" t="s">
        <v>765</v>
      </c>
      <c r="B340" s="56" t="s">
        <v>766</v>
      </c>
      <c r="C340" s="57" t="n">
        <f aca="false">P340</f>
        <v>0</v>
      </c>
      <c r="D340" s="57" t="n">
        <f aca="false">AB340</f>
        <v>0</v>
      </c>
      <c r="E340" s="70" t="n">
        <f aca="false">E325-E331</f>
        <v>0</v>
      </c>
      <c r="F340" s="70" t="n">
        <f aca="false">F325-F331</f>
        <v>0</v>
      </c>
      <c r="G340" s="70" t="n">
        <f aca="false">G325-G331</f>
        <v>0</v>
      </c>
      <c r="H340" s="70" t="n">
        <f aca="false">H325-H331</f>
        <v>0</v>
      </c>
      <c r="I340" s="70" t="n">
        <f aca="false">I325-I331</f>
        <v>0</v>
      </c>
      <c r="J340" s="70" t="n">
        <f aca="false">J325-J331</f>
        <v>0</v>
      </c>
      <c r="K340" s="70" t="n">
        <f aca="false">K325-K331</f>
        <v>0</v>
      </c>
      <c r="L340" s="70" t="n">
        <f aca="false">L325-L331</f>
        <v>0</v>
      </c>
      <c r="M340" s="70" t="n">
        <f aca="false">M325-M331</f>
        <v>0</v>
      </c>
      <c r="N340" s="70" t="n">
        <f aca="false">N325-N331</f>
        <v>0</v>
      </c>
      <c r="O340" s="70" t="n">
        <f aca="false">O325-O331</f>
        <v>0</v>
      </c>
      <c r="P340" s="70" t="n">
        <f aca="false">P325-P331</f>
        <v>0</v>
      </c>
      <c r="Q340" s="70" t="n">
        <f aca="false">Q325-Q331</f>
        <v>0</v>
      </c>
      <c r="R340" s="70" t="n">
        <f aca="false">R325-R331</f>
        <v>0</v>
      </c>
      <c r="S340" s="70" t="n">
        <f aca="false">S325-S331</f>
        <v>60356.6529492455</v>
      </c>
      <c r="T340" s="70" t="n">
        <f aca="false">T325-T331</f>
        <v>161755.829903978</v>
      </c>
      <c r="U340" s="70" t="n">
        <f aca="false">U325-U331</f>
        <v>234183.813443073</v>
      </c>
      <c r="V340" s="70" t="n">
        <f aca="false">V325-V331</f>
        <v>277640.603566529</v>
      </c>
      <c r="W340" s="70" t="n">
        <f aca="false">W325-W331</f>
        <v>292126.200274349</v>
      </c>
      <c r="X340" s="70" t="n">
        <f aca="false">X325-X331</f>
        <v>277640.60356653</v>
      </c>
      <c r="Y340" s="70" t="n">
        <f aca="false">Y325-Y331</f>
        <v>234183.813443072</v>
      </c>
      <c r="Z340" s="70" t="n">
        <f aca="false">Z325-Z331</f>
        <v>161755.829903978</v>
      </c>
      <c r="AA340" s="70" t="n">
        <f aca="false">AA325-AA331</f>
        <v>60356.6529492452</v>
      </c>
      <c r="AB340" s="70" t="n">
        <f aca="false">AB325-AB331</f>
        <v>0</v>
      </c>
    </row>
    <row r="341" customFormat="false" ht="15" hidden="false" customHeight="false" outlineLevel="0" collapsed="false">
      <c r="A341" s="27" t="s">
        <v>767</v>
      </c>
      <c r="B341" s="56"/>
      <c r="C341" s="57" t="n">
        <f aca="false">P341</f>
        <v>0</v>
      </c>
      <c r="D341" s="57" t="n">
        <f aca="false">AB341</f>
        <v>0</v>
      </c>
      <c r="E341" s="70" t="n">
        <f aca="false">MAX(0,E340)</f>
        <v>0</v>
      </c>
      <c r="F341" s="70" t="n">
        <f aca="false">MAX(0,F340)</f>
        <v>0</v>
      </c>
      <c r="G341" s="70" t="n">
        <f aca="false">MAX(0,G340)</f>
        <v>0</v>
      </c>
      <c r="H341" s="70" t="n">
        <f aca="false">MAX(0,H340)</f>
        <v>0</v>
      </c>
      <c r="I341" s="70" t="n">
        <f aca="false">MAX(0,I340)</f>
        <v>0</v>
      </c>
      <c r="J341" s="70" t="n">
        <f aca="false">MAX(0,J340)</f>
        <v>0</v>
      </c>
      <c r="K341" s="70" t="n">
        <f aca="false">MAX(0,K340)</f>
        <v>0</v>
      </c>
      <c r="L341" s="70" t="n">
        <f aca="false">MAX(0,L340)</f>
        <v>0</v>
      </c>
      <c r="M341" s="70" t="n">
        <f aca="false">MAX(0,M340)</f>
        <v>0</v>
      </c>
      <c r="N341" s="70" t="n">
        <f aca="false">MAX(0,N340)</f>
        <v>0</v>
      </c>
      <c r="O341" s="70" t="n">
        <f aca="false">MAX(0,O340)</f>
        <v>0</v>
      </c>
      <c r="P341" s="70" t="n">
        <f aca="false">MAX(0,P340)</f>
        <v>0</v>
      </c>
      <c r="Q341" s="70" t="n">
        <f aca="false">MAX(0,Q340)</f>
        <v>0</v>
      </c>
      <c r="R341" s="70" t="n">
        <f aca="false">MAX(0,R340)</f>
        <v>0</v>
      </c>
      <c r="S341" s="70" t="n">
        <f aca="false">MAX(0,S340)</f>
        <v>60356.6529492455</v>
      </c>
      <c r="T341" s="70" t="n">
        <f aca="false">MAX(0,T340)</f>
        <v>161755.829903978</v>
      </c>
      <c r="U341" s="70" t="n">
        <f aca="false">MAX(0,U340)</f>
        <v>234183.813443073</v>
      </c>
      <c r="V341" s="70" t="n">
        <f aca="false">MAX(0,V340)</f>
        <v>277640.603566529</v>
      </c>
      <c r="W341" s="70" t="n">
        <f aca="false">MAX(0,W340)</f>
        <v>292126.200274349</v>
      </c>
      <c r="X341" s="70" t="n">
        <f aca="false">MAX(0,X340)</f>
        <v>277640.60356653</v>
      </c>
      <c r="Y341" s="70" t="n">
        <f aca="false">MAX(0,Y340)</f>
        <v>234183.813443072</v>
      </c>
      <c r="Z341" s="70" t="n">
        <f aca="false">MAX(0,Z340)</f>
        <v>161755.829903978</v>
      </c>
      <c r="AA341" s="70" t="n">
        <f aca="false">MAX(0,AA340)</f>
        <v>60356.6529492452</v>
      </c>
      <c r="AB341" s="70" t="n">
        <f aca="false">MAX(0,AB340)</f>
        <v>0</v>
      </c>
    </row>
    <row r="342" customFormat="false" ht="15" hidden="false" customHeight="false" outlineLevel="0" collapsed="false">
      <c r="A342" s="27" t="s">
        <v>768</v>
      </c>
      <c r="B342" s="56"/>
      <c r="C342" s="57" t="n">
        <f aca="false">P342</f>
        <v>-0</v>
      </c>
      <c r="D342" s="57" t="n">
        <f aca="false">AB342</f>
        <v>-0</v>
      </c>
      <c r="E342" s="70" t="n">
        <f aca="false">MAX(0,-E340)</f>
        <v>-0</v>
      </c>
      <c r="F342" s="70" t="n">
        <f aca="false">MAX(0,-F340)</f>
        <v>-0</v>
      </c>
      <c r="G342" s="70" t="n">
        <f aca="false">MAX(0,-G340)</f>
        <v>-0</v>
      </c>
      <c r="H342" s="70" t="n">
        <f aca="false">MAX(0,-H340)</f>
        <v>-0</v>
      </c>
      <c r="I342" s="70" t="n">
        <f aca="false">MAX(0,-I340)</f>
        <v>-0</v>
      </c>
      <c r="J342" s="70" t="n">
        <f aca="false">MAX(0,-J340)</f>
        <v>-0</v>
      </c>
      <c r="K342" s="70" t="n">
        <f aca="false">MAX(0,-K340)</f>
        <v>-0</v>
      </c>
      <c r="L342" s="70" t="n">
        <f aca="false">MAX(0,-L340)</f>
        <v>-0</v>
      </c>
      <c r="M342" s="70" t="n">
        <f aca="false">MAX(0,-M340)</f>
        <v>-0</v>
      </c>
      <c r="N342" s="70" t="n">
        <f aca="false">MAX(0,-N340)</f>
        <v>-0</v>
      </c>
      <c r="O342" s="70" t="n">
        <f aca="false">MAX(0,-O340)</f>
        <v>-0</v>
      </c>
      <c r="P342" s="70" t="n">
        <f aca="false">MAX(0,-P340)</f>
        <v>-0</v>
      </c>
      <c r="Q342" s="70" t="n">
        <f aca="false">MAX(0,-Q340)</f>
        <v>-0</v>
      </c>
      <c r="R342" s="70" t="n">
        <f aca="false">MAX(0,-R340)</f>
        <v>-0</v>
      </c>
      <c r="S342" s="70" t="n">
        <f aca="false">MAX(0,-S340)</f>
        <v>0</v>
      </c>
      <c r="T342" s="70" t="n">
        <f aca="false">MAX(0,-T340)</f>
        <v>0</v>
      </c>
      <c r="U342" s="70" t="n">
        <f aca="false">MAX(0,-U340)</f>
        <v>0</v>
      </c>
      <c r="V342" s="70" t="n">
        <f aca="false">MAX(0,-V340)</f>
        <v>0</v>
      </c>
      <c r="W342" s="70" t="n">
        <f aca="false">MAX(0,-W340)</f>
        <v>0</v>
      </c>
      <c r="X342" s="70" t="n">
        <f aca="false">MAX(0,-X340)</f>
        <v>0</v>
      </c>
      <c r="Y342" s="70" t="n">
        <f aca="false">MAX(0,-Y340)</f>
        <v>0</v>
      </c>
      <c r="Z342" s="70" t="n">
        <f aca="false">MAX(0,-Z340)</f>
        <v>0</v>
      </c>
      <c r="AA342" s="70" t="n">
        <f aca="false">MAX(0,-AA340)</f>
        <v>0</v>
      </c>
      <c r="AB342" s="70" t="n">
        <f aca="false">MAX(0,-AB340)</f>
        <v>-0</v>
      </c>
    </row>
    <row r="343" customFormat="false" ht="15" hidden="false" customHeight="false" outlineLevel="0" collapsed="false">
      <c r="A343" s="27" t="s">
        <v>769</v>
      </c>
      <c r="B343" s="56"/>
      <c r="C343" s="57" t="n">
        <f aca="false">P343</f>
        <v>0</v>
      </c>
      <c r="D343" s="57" t="n">
        <f aca="false">AB343</f>
        <v>866880</v>
      </c>
      <c r="E343" s="58" t="n">
        <f aca="false">Project_Register!$AG$14+E313</f>
        <v>0</v>
      </c>
      <c r="F343" s="70" t="n">
        <f aca="false">E343+F313</f>
        <v>0</v>
      </c>
      <c r="G343" s="70" t="n">
        <f aca="false">F343+G313</f>
        <v>0</v>
      </c>
      <c r="H343" s="70" t="n">
        <f aca="false">G343+H313</f>
        <v>0</v>
      </c>
      <c r="I343" s="70" t="n">
        <f aca="false">H343+I313</f>
        <v>0</v>
      </c>
      <c r="J343" s="70" t="n">
        <f aca="false">I343+J313</f>
        <v>0</v>
      </c>
      <c r="K343" s="70" t="n">
        <f aca="false">J343+K313</f>
        <v>0</v>
      </c>
      <c r="L343" s="70" t="n">
        <f aca="false">K343+L313</f>
        <v>0</v>
      </c>
      <c r="M343" s="70" t="n">
        <f aca="false">L343+M313</f>
        <v>0</v>
      </c>
      <c r="N343" s="70" t="n">
        <f aca="false">M343+N313</f>
        <v>0</v>
      </c>
      <c r="O343" s="70" t="n">
        <f aca="false">N343+O313</f>
        <v>0</v>
      </c>
      <c r="P343" s="70" t="n">
        <f aca="false">O343+P313</f>
        <v>0</v>
      </c>
      <c r="Q343" s="70" t="n">
        <f aca="false">P343+Q313</f>
        <v>0</v>
      </c>
      <c r="R343" s="70" t="n">
        <f aca="false">Q343+R313</f>
        <v>0</v>
      </c>
      <c r="S343" s="70" t="n">
        <f aca="false">R343+S313</f>
        <v>29728.3950617284</v>
      </c>
      <c r="T343" s="70" t="n">
        <f aca="false">S343+T313</f>
        <v>109400.493827161</v>
      </c>
      <c r="U343" s="70" t="n">
        <f aca="false">T343+U313</f>
        <v>224746.666666667</v>
      </c>
      <c r="V343" s="70" t="n">
        <f aca="false">U343+V313</f>
        <v>361497.283950617</v>
      </c>
      <c r="W343" s="70" t="n">
        <f aca="false">V343+W313</f>
        <v>505382.716049383</v>
      </c>
      <c r="X343" s="70" t="n">
        <f aca="false">W343+X313</f>
        <v>642133.333333334</v>
      </c>
      <c r="Y343" s="70" t="n">
        <f aca="false">X343+Y313</f>
        <v>757479.50617284</v>
      </c>
      <c r="Z343" s="70" t="n">
        <f aca="false">Y343+Z313</f>
        <v>837151.604938272</v>
      </c>
      <c r="AA343" s="70" t="n">
        <f aca="false">Z343+AA313</f>
        <v>866880</v>
      </c>
      <c r="AB343" s="70" t="n">
        <f aca="false">AA343+AB313</f>
        <v>866880</v>
      </c>
    </row>
    <row r="344" customFormat="false" ht="15" hidden="false" customHeight="false" outlineLevel="0" collapsed="false">
      <c r="A344" s="27" t="s">
        <v>770</v>
      </c>
      <c r="B344" s="56"/>
      <c r="C344" s="57" t="n">
        <f aca="false">P344</f>
        <v>0</v>
      </c>
      <c r="D344" s="57" t="n">
        <f aca="false">AB344</f>
        <v>21672</v>
      </c>
      <c r="E344" s="58" t="n">
        <f aca="false">Project_Register!$U$14*E343*(1-Project_Register!$R$14*(Assumptions!E$96&gt;=Project_Register!$AK$14+1)-(1-Project_Register!$R$14)*(Assumptions!E$96&gt;=Project_Register!$AN$14))</f>
        <v>0</v>
      </c>
      <c r="F344" s="58" t="n">
        <f aca="false">Project_Register!$U$14*F343*(1-Project_Register!$R$14*(Assumptions!F$96&gt;=Project_Register!$AK$14+1)-(1-Project_Register!$R$14)*(Assumptions!F$96&gt;=Project_Register!$AN$14))</f>
        <v>0</v>
      </c>
      <c r="G344" s="58" t="n">
        <f aca="false">Project_Register!$U$14*G343*(1-Project_Register!$R$14*(Assumptions!G$96&gt;=Project_Register!$AK$14+1)-(1-Project_Register!$R$14)*(Assumptions!G$96&gt;=Project_Register!$AN$14))</f>
        <v>0</v>
      </c>
      <c r="H344" s="58" t="n">
        <f aca="false">Project_Register!$U$14*H343*(1-Project_Register!$R$14*(Assumptions!H$96&gt;=Project_Register!$AK$14+1)-(1-Project_Register!$R$14)*(Assumptions!H$96&gt;=Project_Register!$AN$14))</f>
        <v>0</v>
      </c>
      <c r="I344" s="58" t="n">
        <f aca="false">Project_Register!$U$14*I343*(1-Project_Register!$R$14*(Assumptions!I$96&gt;=Project_Register!$AK$14+1)-(1-Project_Register!$R$14)*(Assumptions!I$96&gt;=Project_Register!$AN$14))</f>
        <v>0</v>
      </c>
      <c r="J344" s="58" t="n">
        <f aca="false">Project_Register!$U$14*J343*(1-Project_Register!$R$14*(Assumptions!J$96&gt;=Project_Register!$AK$14+1)-(1-Project_Register!$R$14)*(Assumptions!J$96&gt;=Project_Register!$AN$14))</f>
        <v>0</v>
      </c>
      <c r="K344" s="58" t="n">
        <f aca="false">Project_Register!$U$14*K343*(1-Project_Register!$R$14*(Assumptions!K$96&gt;=Project_Register!$AK$14+1)-(1-Project_Register!$R$14)*(Assumptions!K$96&gt;=Project_Register!$AN$14))</f>
        <v>0</v>
      </c>
      <c r="L344" s="58" t="n">
        <f aca="false">Project_Register!$U$14*L343*(1-Project_Register!$R$14*(Assumptions!L$96&gt;=Project_Register!$AK$14+1)-(1-Project_Register!$R$14)*(Assumptions!L$96&gt;=Project_Register!$AN$14))</f>
        <v>0</v>
      </c>
      <c r="M344" s="58" t="n">
        <f aca="false">Project_Register!$U$14*M343*(1-Project_Register!$R$14*(Assumptions!M$96&gt;=Project_Register!$AK$14+1)-(1-Project_Register!$R$14)*(Assumptions!M$96&gt;=Project_Register!$AN$14))</f>
        <v>0</v>
      </c>
      <c r="N344" s="58" t="n">
        <f aca="false">Project_Register!$U$14*N343*(1-Project_Register!$R$14*(Assumptions!N$96&gt;=Project_Register!$AK$14+1)-(1-Project_Register!$R$14)*(Assumptions!N$96&gt;=Project_Register!$AN$14))</f>
        <v>0</v>
      </c>
      <c r="O344" s="58" t="n">
        <f aca="false">Project_Register!$U$14*O343*(1-Project_Register!$R$14*(Assumptions!O$96&gt;=Project_Register!$AK$14+1)-(1-Project_Register!$R$14)*(Assumptions!O$96&gt;=Project_Register!$AN$14))</f>
        <v>0</v>
      </c>
      <c r="P344" s="58" t="n">
        <f aca="false">Project_Register!$U$14*P343*(1-Project_Register!$R$14*(Assumptions!P$96&gt;=Project_Register!$AK$14+1)-(1-Project_Register!$R$14)*(Assumptions!P$96&gt;=Project_Register!$AN$14))</f>
        <v>0</v>
      </c>
      <c r="Q344" s="58" t="n">
        <f aca="false">Project_Register!$U$14*Q343*(1-Project_Register!$R$14*(Assumptions!Q$96&gt;=Project_Register!$AK$14+1)-(1-Project_Register!$R$14)*(Assumptions!Q$96&gt;=Project_Register!$AN$14))</f>
        <v>0</v>
      </c>
      <c r="R344" s="58" t="n">
        <f aca="false">Project_Register!$U$14*R343*(1-Project_Register!$R$14*(Assumptions!R$96&gt;=Project_Register!$AK$14+1)-(1-Project_Register!$R$14)*(Assumptions!R$96&gt;=Project_Register!$AN$14))</f>
        <v>0</v>
      </c>
      <c r="S344" s="58" t="n">
        <f aca="false">Project_Register!$U$14*S343*(1-Project_Register!$R$14*(Assumptions!S$96&gt;=Project_Register!$AK$14+1)-(1-Project_Register!$R$14)*(Assumptions!S$96&gt;=Project_Register!$AN$14))</f>
        <v>1486.41975308642</v>
      </c>
      <c r="T344" s="58" t="n">
        <f aca="false">Project_Register!$U$14*T343*(1-Project_Register!$R$14*(Assumptions!T$96&gt;=Project_Register!$AK$14+1)-(1-Project_Register!$R$14)*(Assumptions!T$96&gt;=Project_Register!$AN$14))</f>
        <v>5470.02469135803</v>
      </c>
      <c r="U344" s="58" t="n">
        <f aca="false">Project_Register!$U$14*U343*(1-Project_Register!$R$14*(Assumptions!U$96&gt;=Project_Register!$AK$14+1)-(1-Project_Register!$R$14)*(Assumptions!U$96&gt;=Project_Register!$AN$14))</f>
        <v>11237.3333333333</v>
      </c>
      <c r="V344" s="58" t="n">
        <f aca="false">Project_Register!$U$14*V343*(1-Project_Register!$R$14*(Assumptions!V$96&gt;=Project_Register!$AK$14+1)-(1-Project_Register!$R$14)*(Assumptions!V$96&gt;=Project_Register!$AN$14))</f>
        <v>18074.8641975309</v>
      </c>
      <c r="W344" s="58" t="n">
        <f aca="false">Project_Register!$U$14*W343*(1-Project_Register!$R$14*(Assumptions!W$96&gt;=Project_Register!$AK$14+1)-(1-Project_Register!$R$14)*(Assumptions!W$96&gt;=Project_Register!$AN$14))</f>
        <v>25269.1358024691</v>
      </c>
      <c r="X344" s="58" t="n">
        <f aca="false">Project_Register!$U$14*X343*(1-Project_Register!$R$14*(Assumptions!X$96&gt;=Project_Register!$AK$14+1)-(1-Project_Register!$R$14)*(Assumptions!X$96&gt;=Project_Register!$AN$14))</f>
        <v>32106.6666666667</v>
      </c>
      <c r="Y344" s="58" t="n">
        <f aca="false">Project_Register!$U$14*Y343*(1-Project_Register!$R$14*(Assumptions!Y$96&gt;=Project_Register!$AK$14+1)-(1-Project_Register!$R$14)*(Assumptions!Y$96&gt;=Project_Register!$AN$14))</f>
        <v>37873.975308642</v>
      </c>
      <c r="Z344" s="58" t="n">
        <f aca="false">Project_Register!$U$14*Z343*(1-Project_Register!$R$14*(Assumptions!Z$96&gt;=Project_Register!$AK$14+1)-(1-Project_Register!$R$14)*(Assumptions!Z$96&gt;=Project_Register!$AN$14))</f>
        <v>41857.5802469136</v>
      </c>
      <c r="AA344" s="58" t="n">
        <f aca="false">Project_Register!$U$14*AA343*(1-Project_Register!$R$14*(Assumptions!AA$96&gt;=Project_Register!$AK$14+1)-(1-Project_Register!$R$14)*(Assumptions!AA$96&gt;=Project_Register!$AN$14))</f>
        <v>43344</v>
      </c>
      <c r="AB344" s="58" t="n">
        <f aca="false">Project_Register!$U$14*AB343*(1-Project_Register!$R$14*(Assumptions!AB$96&gt;=Project_Register!$AK$14+1)-(1-Project_Register!$R$14)*(Assumptions!AB$96&gt;=Project_Register!$AN$14))</f>
        <v>21672</v>
      </c>
    </row>
    <row r="345" customFormat="false" ht="15" hidden="false" customHeight="false" outlineLevel="0" collapsed="false">
      <c r="A345" s="27" t="s">
        <v>771</v>
      </c>
      <c r="B345" s="56"/>
      <c r="C345" s="57" t="n">
        <f aca="false">SUM(E345:P345)</f>
        <v>0</v>
      </c>
      <c r="D345" s="57" t="n">
        <f aca="false">SUM(Q345:AB345)</f>
        <v>21672</v>
      </c>
      <c r="E345" s="58" t="n">
        <f aca="false">E344-Project_Register!$AX$14</f>
        <v>0</v>
      </c>
      <c r="F345" s="70" t="n">
        <f aca="false">F344-E344</f>
        <v>0</v>
      </c>
      <c r="G345" s="70" t="n">
        <f aca="false">G344-F344</f>
        <v>0</v>
      </c>
      <c r="H345" s="70" t="n">
        <f aca="false">H344-G344</f>
        <v>0</v>
      </c>
      <c r="I345" s="70" t="n">
        <f aca="false">I344-H344</f>
        <v>0</v>
      </c>
      <c r="J345" s="70" t="n">
        <f aca="false">J344-I344</f>
        <v>0</v>
      </c>
      <c r="K345" s="70" t="n">
        <f aca="false">K344-J344</f>
        <v>0</v>
      </c>
      <c r="L345" s="70" t="n">
        <f aca="false">L344-K344</f>
        <v>0</v>
      </c>
      <c r="M345" s="70" t="n">
        <f aca="false">M344-L344</f>
        <v>0</v>
      </c>
      <c r="N345" s="70" t="n">
        <f aca="false">N344-M344</f>
        <v>0</v>
      </c>
      <c r="O345" s="70" t="n">
        <f aca="false">O344-N344</f>
        <v>0</v>
      </c>
      <c r="P345" s="70" t="n">
        <f aca="false">P344-O344</f>
        <v>0</v>
      </c>
      <c r="Q345" s="70" t="n">
        <f aca="false">Q344-P344</f>
        <v>0</v>
      </c>
      <c r="R345" s="70" t="n">
        <f aca="false">R344-Q344</f>
        <v>0</v>
      </c>
      <c r="S345" s="70" t="n">
        <f aca="false">S344-R344</f>
        <v>1486.41975308642</v>
      </c>
      <c r="T345" s="70" t="n">
        <f aca="false">T344-S344</f>
        <v>3983.60493827161</v>
      </c>
      <c r="U345" s="70" t="n">
        <f aca="false">U344-T344</f>
        <v>5767.30864197531</v>
      </c>
      <c r="V345" s="70" t="n">
        <f aca="false">V344-U344</f>
        <v>6837.53086419753</v>
      </c>
      <c r="W345" s="70" t="n">
        <f aca="false">W344-V344</f>
        <v>7194.27160493828</v>
      </c>
      <c r="X345" s="70" t="n">
        <f aca="false">X344-W344</f>
        <v>6837.53086419753</v>
      </c>
      <c r="Y345" s="70" t="n">
        <f aca="false">Y344-X344</f>
        <v>5767.30864197531</v>
      </c>
      <c r="Z345" s="70" t="n">
        <f aca="false">Z344-Y344</f>
        <v>3983.60493827162</v>
      </c>
      <c r="AA345" s="70" t="n">
        <f aca="false">AA344-Z344</f>
        <v>1486.4197530864</v>
      </c>
      <c r="AB345" s="70" t="n">
        <f aca="false">AB344-AA344</f>
        <v>-21672</v>
      </c>
    </row>
    <row r="346" customFormat="false" ht="15" hidden="false" customHeight="false" outlineLevel="0" collapsed="false">
      <c r="A346" s="27" t="s">
        <v>772</v>
      </c>
      <c r="B346" s="56" t="s">
        <v>773</v>
      </c>
      <c r="C346" s="57" t="n">
        <f aca="false">P346</f>
        <v>176000</v>
      </c>
      <c r="D346" s="57" t="n">
        <f aca="false">AB346</f>
        <v>0</v>
      </c>
      <c r="E346" s="58" t="n">
        <f aca="false">Project_Register!$V$14*Project_Register!$AO$14*(Assumptions!E$96&gt;=Project_Register!$AL$14)*(Assumptions!E$96&lt;=Project_Register!$AK$14)</f>
        <v>0</v>
      </c>
      <c r="F346" s="58" t="n">
        <f aca="false">Project_Register!$V$14*Project_Register!$AO$14*(Assumptions!F$96&gt;=Project_Register!$AL$14)*(Assumptions!F$96&lt;=Project_Register!$AK$14)</f>
        <v>0</v>
      </c>
      <c r="G346" s="58" t="n">
        <f aca="false">Project_Register!$V$14*Project_Register!$AO$14*(Assumptions!G$96&gt;=Project_Register!$AL$14)*(Assumptions!G$96&lt;=Project_Register!$AK$14)</f>
        <v>0</v>
      </c>
      <c r="H346" s="58" t="n">
        <f aca="false">Project_Register!$V$14*Project_Register!$AO$14*(Assumptions!H$96&gt;=Project_Register!$AL$14)*(Assumptions!H$96&lt;=Project_Register!$AK$14)</f>
        <v>0</v>
      </c>
      <c r="I346" s="58" t="n">
        <f aca="false">Project_Register!$V$14*Project_Register!$AO$14*(Assumptions!I$96&gt;=Project_Register!$AL$14)*(Assumptions!I$96&lt;=Project_Register!$AK$14)</f>
        <v>0</v>
      </c>
      <c r="J346" s="58" t="n">
        <f aca="false">Project_Register!$V$14*Project_Register!$AO$14*(Assumptions!J$96&gt;=Project_Register!$AL$14)*(Assumptions!J$96&lt;=Project_Register!$AK$14)</f>
        <v>0</v>
      </c>
      <c r="K346" s="58" t="n">
        <f aca="false">Project_Register!$V$14*Project_Register!$AO$14*(Assumptions!K$96&gt;=Project_Register!$AL$14)*(Assumptions!K$96&lt;=Project_Register!$AK$14)</f>
        <v>0</v>
      </c>
      <c r="L346" s="58" t="n">
        <f aca="false">Project_Register!$V$14*Project_Register!$AO$14*(Assumptions!L$96&gt;=Project_Register!$AL$14)*(Assumptions!L$96&lt;=Project_Register!$AK$14)</f>
        <v>176000</v>
      </c>
      <c r="M346" s="58" t="n">
        <f aca="false">Project_Register!$V$14*Project_Register!$AO$14*(Assumptions!M$96&gt;=Project_Register!$AL$14)*(Assumptions!M$96&lt;=Project_Register!$AK$14)</f>
        <v>176000</v>
      </c>
      <c r="N346" s="58" t="n">
        <f aca="false">Project_Register!$V$14*Project_Register!$AO$14*(Assumptions!N$96&gt;=Project_Register!$AL$14)*(Assumptions!N$96&lt;=Project_Register!$AK$14)</f>
        <v>176000</v>
      </c>
      <c r="O346" s="58" t="n">
        <f aca="false">Project_Register!$V$14*Project_Register!$AO$14*(Assumptions!O$96&gt;=Project_Register!$AL$14)*(Assumptions!O$96&lt;=Project_Register!$AK$14)</f>
        <v>176000</v>
      </c>
      <c r="P346" s="58" t="n">
        <f aca="false">Project_Register!$V$14*Project_Register!$AO$14*(Assumptions!P$96&gt;=Project_Register!$AL$14)*(Assumptions!P$96&lt;=Project_Register!$AK$14)</f>
        <v>176000</v>
      </c>
      <c r="Q346" s="58" t="n">
        <f aca="false">Project_Register!$V$14*Project_Register!$AO$14*(Assumptions!Q$96&gt;=Project_Register!$AL$14)*(Assumptions!Q$96&lt;=Project_Register!$AK$14)</f>
        <v>176000</v>
      </c>
      <c r="R346" s="58" t="n">
        <f aca="false">Project_Register!$V$14*Project_Register!$AO$14*(Assumptions!R$96&gt;=Project_Register!$AL$14)*(Assumptions!R$96&lt;=Project_Register!$AK$14)</f>
        <v>176000</v>
      </c>
      <c r="S346" s="58" t="n">
        <f aca="false">Project_Register!$V$14*Project_Register!$AO$14*(Assumptions!S$96&gt;=Project_Register!$AL$14)*(Assumptions!S$96&lt;=Project_Register!$AK$14)</f>
        <v>176000</v>
      </c>
      <c r="T346" s="58" t="n">
        <f aca="false">Project_Register!$V$14*Project_Register!$AO$14*(Assumptions!T$96&gt;=Project_Register!$AL$14)*(Assumptions!T$96&lt;=Project_Register!$AK$14)</f>
        <v>176000</v>
      </c>
      <c r="U346" s="58" t="n">
        <f aca="false">Project_Register!$V$14*Project_Register!$AO$14*(Assumptions!U$96&gt;=Project_Register!$AL$14)*(Assumptions!U$96&lt;=Project_Register!$AK$14)</f>
        <v>176000</v>
      </c>
      <c r="V346" s="58" t="n">
        <f aca="false">Project_Register!$V$14*Project_Register!$AO$14*(Assumptions!V$96&gt;=Project_Register!$AL$14)*(Assumptions!V$96&lt;=Project_Register!$AK$14)</f>
        <v>176000</v>
      </c>
      <c r="W346" s="58" t="n">
        <f aca="false">Project_Register!$V$14*Project_Register!$AO$14*(Assumptions!W$96&gt;=Project_Register!$AL$14)*(Assumptions!W$96&lt;=Project_Register!$AK$14)</f>
        <v>176000</v>
      </c>
      <c r="X346" s="58" t="n">
        <f aca="false">Project_Register!$V$14*Project_Register!$AO$14*(Assumptions!X$96&gt;=Project_Register!$AL$14)*(Assumptions!X$96&lt;=Project_Register!$AK$14)</f>
        <v>176000</v>
      </c>
      <c r="Y346" s="58" t="n">
        <f aca="false">Project_Register!$V$14*Project_Register!$AO$14*(Assumptions!Y$96&gt;=Project_Register!$AL$14)*(Assumptions!Y$96&lt;=Project_Register!$AK$14)</f>
        <v>176000</v>
      </c>
      <c r="Z346" s="58" t="n">
        <f aca="false">Project_Register!$V$14*Project_Register!$AO$14*(Assumptions!Z$96&gt;=Project_Register!$AL$14)*(Assumptions!Z$96&lt;=Project_Register!$AK$14)</f>
        <v>176000</v>
      </c>
      <c r="AA346" s="58" t="n">
        <f aca="false">Project_Register!$V$14*Project_Register!$AO$14*(Assumptions!AA$96&gt;=Project_Register!$AL$14)*(Assumptions!AA$96&lt;=Project_Register!$AK$14)</f>
        <v>176000</v>
      </c>
      <c r="AB346" s="58" t="n">
        <f aca="false">Project_Register!$V$14*Project_Register!$AO$14*(Assumptions!AB$96&gt;=Project_Register!$AL$14)*(Assumptions!AB$96&lt;=Project_Register!$AK$14)</f>
        <v>0</v>
      </c>
    </row>
    <row r="347" customFormat="false" ht="15" hidden="false" customHeight="false" outlineLevel="0" collapsed="false">
      <c r="A347" s="27" t="s">
        <v>774</v>
      </c>
      <c r="B347" s="56"/>
      <c r="C347" s="57" t="n">
        <f aca="false">P347</f>
        <v>1760000</v>
      </c>
      <c r="D347" s="57" t="n">
        <f aca="false">AB347</f>
        <v>0</v>
      </c>
      <c r="E347" s="58" t="n">
        <f aca="false">IF(OR(Project_Register!$E$14="Pipeline",Assumptions!E$96&gt;=Project_Register!$AL$14),MAX(0,E324-E325),0)</f>
        <v>0</v>
      </c>
      <c r="F347" s="58" t="n">
        <f aca="false">IF(OR(Project_Register!$E$14="Pipeline",Assumptions!F$96&gt;=Project_Register!$AL$14),MAX(0,F324-F325),0)</f>
        <v>0</v>
      </c>
      <c r="G347" s="58" t="n">
        <f aca="false">IF(OR(Project_Register!$E$14="Pipeline",Assumptions!G$96&gt;=Project_Register!$AL$14),MAX(0,G324-G325),0)</f>
        <v>0</v>
      </c>
      <c r="H347" s="58" t="n">
        <f aca="false">IF(OR(Project_Register!$E$14="Pipeline",Assumptions!H$96&gt;=Project_Register!$AL$14),MAX(0,H324-H325),0)</f>
        <v>0</v>
      </c>
      <c r="I347" s="58" t="n">
        <f aca="false">IF(OR(Project_Register!$E$14="Pipeline",Assumptions!I$96&gt;=Project_Register!$AL$14),MAX(0,I324-I325),0)</f>
        <v>0</v>
      </c>
      <c r="J347" s="58" t="n">
        <f aca="false">IF(OR(Project_Register!$E$14="Pipeline",Assumptions!J$96&gt;=Project_Register!$AL$14),MAX(0,J324-J325),0)</f>
        <v>0</v>
      </c>
      <c r="K347" s="58" t="n">
        <f aca="false">IF(OR(Project_Register!$E$14="Pipeline",Assumptions!K$96&gt;=Project_Register!$AL$14),MAX(0,K324-K325),0)</f>
        <v>0</v>
      </c>
      <c r="L347" s="58" t="n">
        <f aca="false">IF(OR(Project_Register!$E$14="Pipeline",Assumptions!L$96&gt;=Project_Register!$AL$14),MAX(0,L324-L325),0)</f>
        <v>1760000</v>
      </c>
      <c r="M347" s="58" t="n">
        <f aca="false">IF(OR(Project_Register!$E$14="Pipeline",Assumptions!M$96&gt;=Project_Register!$AL$14),MAX(0,M324-M325),0)</f>
        <v>1760000</v>
      </c>
      <c r="N347" s="58" t="n">
        <f aca="false">IF(OR(Project_Register!$E$14="Pipeline",Assumptions!N$96&gt;=Project_Register!$AL$14),MAX(0,N324-N325),0)</f>
        <v>1760000</v>
      </c>
      <c r="O347" s="58" t="n">
        <f aca="false">IF(OR(Project_Register!$E$14="Pipeline",Assumptions!O$96&gt;=Project_Register!$AL$14),MAX(0,O324-O325),0)</f>
        <v>1760000</v>
      </c>
      <c r="P347" s="58" t="n">
        <f aca="false">IF(OR(Project_Register!$E$14="Pipeline",Assumptions!P$96&gt;=Project_Register!$AL$14),MAX(0,P324-P325),0)</f>
        <v>1760000</v>
      </c>
      <c r="Q347" s="58" t="n">
        <f aca="false">IF(OR(Project_Register!$E$14="Pipeline",Assumptions!Q$96&gt;=Project_Register!$AL$14),MAX(0,Q324-Q325),0)</f>
        <v>1760000</v>
      </c>
      <c r="R347" s="58" t="n">
        <f aca="false">IF(OR(Project_Register!$E$14="Pipeline",Assumptions!R$96&gt;=Project_Register!$AL$14),MAX(0,R324-R325),0)</f>
        <v>1760000</v>
      </c>
      <c r="S347" s="58" t="n">
        <f aca="false">IF(OR(Project_Register!$E$14="Pipeline",Assumptions!S$96&gt;=Project_Register!$AL$14),MAX(0,S324-S325),0)</f>
        <v>1699643.34705075</v>
      </c>
      <c r="T347" s="58" t="n">
        <f aca="false">IF(OR(Project_Register!$E$14="Pipeline",Assumptions!T$96&gt;=Project_Register!$AL$14),MAX(0,T324-T325),0)</f>
        <v>1537887.51714678</v>
      </c>
      <c r="U347" s="58" t="n">
        <f aca="false">IF(OR(Project_Register!$E$14="Pipeline",Assumptions!U$96&gt;=Project_Register!$AL$14),MAX(0,U324-U325),0)</f>
        <v>1303703.7037037</v>
      </c>
      <c r="V347" s="58" t="n">
        <f aca="false">IF(OR(Project_Register!$E$14="Pipeline",Assumptions!V$96&gt;=Project_Register!$AL$14),MAX(0,V324-V325),0)</f>
        <v>1026063.10013717</v>
      </c>
      <c r="W347" s="58" t="n">
        <f aca="false">IF(OR(Project_Register!$E$14="Pipeline",Assumptions!W$96&gt;=Project_Register!$AL$14),MAX(0,W324-W325),0)</f>
        <v>733936.899862826</v>
      </c>
      <c r="X347" s="58" t="n">
        <f aca="false">IF(OR(Project_Register!$E$14="Pipeline",Assumptions!X$96&gt;=Project_Register!$AL$14),MAX(0,X324-X325),0)</f>
        <v>456296.296296296</v>
      </c>
      <c r="Y347" s="58" t="n">
        <f aca="false">IF(OR(Project_Register!$E$14="Pipeline",Assumptions!Y$96&gt;=Project_Register!$AL$14),MAX(0,Y324-Y325),0)</f>
        <v>222112.482853224</v>
      </c>
      <c r="Z347" s="58" t="n">
        <f aca="false">IF(OR(Project_Register!$E$14="Pipeline",Assumptions!Z$96&gt;=Project_Register!$AL$14),MAX(0,Z324-Z325),0)</f>
        <v>60356.6529492454</v>
      </c>
      <c r="AA347" s="58" t="n">
        <f aca="false">IF(OR(Project_Register!$E$14="Pipeline",Assumptions!AA$96&gt;=Project_Register!$AL$14),MAX(0,AA324-AA325),0)</f>
        <v>0</v>
      </c>
      <c r="AB347" s="58" t="n">
        <f aca="false">IF(OR(Project_Register!$E$14="Pipeline",Assumptions!AB$96&gt;=Project_Register!$AL$14),MAX(0,AB324-AB325),0)</f>
        <v>0</v>
      </c>
    </row>
    <row r="348" customFormat="false" ht="15" hidden="false" customHeight="false" outlineLevel="0" collapsed="false">
      <c r="A348" s="27" t="s">
        <v>775</v>
      </c>
      <c r="B348" s="56"/>
      <c r="C348" s="57" t="n">
        <f aca="false">SUM(E348:P348)</f>
        <v>1760000</v>
      </c>
      <c r="D348" s="57" t="n">
        <f aca="false">SUM(Q348:AB348)</f>
        <v>0</v>
      </c>
      <c r="E348" s="58" t="n">
        <f aca="false">IF(Assumptions!E$96=Project_Register!$AL$14,Project_Register!$AO$14,0)</f>
        <v>0</v>
      </c>
      <c r="F348" s="58" t="n">
        <f aca="false">IF(Assumptions!F$96=Project_Register!$AL$14,Project_Register!$AO$14,0)</f>
        <v>0</v>
      </c>
      <c r="G348" s="58" t="n">
        <f aca="false">IF(Assumptions!G$96=Project_Register!$AL$14,Project_Register!$AO$14,0)</f>
        <v>0</v>
      </c>
      <c r="H348" s="58" t="n">
        <f aca="false">IF(Assumptions!H$96=Project_Register!$AL$14,Project_Register!$AO$14,0)</f>
        <v>0</v>
      </c>
      <c r="I348" s="58" t="n">
        <f aca="false">IF(Assumptions!I$96=Project_Register!$AL$14,Project_Register!$AO$14,0)</f>
        <v>0</v>
      </c>
      <c r="J348" s="58" t="n">
        <f aca="false">IF(Assumptions!J$96=Project_Register!$AL$14,Project_Register!$AO$14,0)</f>
        <v>0</v>
      </c>
      <c r="K348" s="58" t="n">
        <f aca="false">IF(Assumptions!K$96=Project_Register!$AL$14,Project_Register!$AO$14,0)</f>
        <v>0</v>
      </c>
      <c r="L348" s="58" t="n">
        <f aca="false">IF(Assumptions!L$96=Project_Register!$AL$14,Project_Register!$AO$14,0)</f>
        <v>1760000</v>
      </c>
      <c r="M348" s="58" t="n">
        <f aca="false">IF(Assumptions!M$96=Project_Register!$AL$14,Project_Register!$AO$14,0)</f>
        <v>0</v>
      </c>
      <c r="N348" s="58" t="n">
        <f aca="false">IF(Assumptions!N$96=Project_Register!$AL$14,Project_Register!$AO$14,0)</f>
        <v>0</v>
      </c>
      <c r="O348" s="58" t="n">
        <f aca="false">IF(Assumptions!O$96=Project_Register!$AL$14,Project_Register!$AO$14,0)</f>
        <v>0</v>
      </c>
      <c r="P348" s="58" t="n">
        <f aca="false">IF(Assumptions!P$96=Project_Register!$AL$14,Project_Register!$AO$14,0)</f>
        <v>0</v>
      </c>
      <c r="Q348" s="58" t="n">
        <f aca="false">IF(Assumptions!Q$96=Project_Register!$AL$14,Project_Register!$AO$14,0)</f>
        <v>0</v>
      </c>
      <c r="R348" s="58" t="n">
        <f aca="false">IF(Assumptions!R$96=Project_Register!$AL$14,Project_Register!$AO$14,0)</f>
        <v>0</v>
      </c>
      <c r="S348" s="58" t="n">
        <f aca="false">IF(Assumptions!S$96=Project_Register!$AL$14,Project_Register!$AO$14,0)</f>
        <v>0</v>
      </c>
      <c r="T348" s="58" t="n">
        <f aca="false">IF(Assumptions!T$96=Project_Register!$AL$14,Project_Register!$AO$14,0)</f>
        <v>0</v>
      </c>
      <c r="U348" s="58" t="n">
        <f aca="false">IF(Assumptions!U$96=Project_Register!$AL$14,Project_Register!$AO$14,0)</f>
        <v>0</v>
      </c>
      <c r="V348" s="58" t="n">
        <f aca="false">IF(Assumptions!V$96=Project_Register!$AL$14,Project_Register!$AO$14,0)</f>
        <v>0</v>
      </c>
      <c r="W348" s="58" t="n">
        <f aca="false">IF(Assumptions!W$96=Project_Register!$AL$14,Project_Register!$AO$14,0)</f>
        <v>0</v>
      </c>
      <c r="X348" s="58" t="n">
        <f aca="false">IF(Assumptions!X$96=Project_Register!$AL$14,Project_Register!$AO$14,0)</f>
        <v>0</v>
      </c>
      <c r="Y348" s="58" t="n">
        <f aca="false">IF(Assumptions!Y$96=Project_Register!$AL$14,Project_Register!$AO$14,0)</f>
        <v>0</v>
      </c>
      <c r="Z348" s="58" t="n">
        <f aca="false">IF(Assumptions!Z$96=Project_Register!$AL$14,Project_Register!$AO$14,0)</f>
        <v>0</v>
      </c>
      <c r="AA348" s="58" t="n">
        <f aca="false">IF(Assumptions!AA$96=Project_Register!$AL$14,Project_Register!$AO$14,0)</f>
        <v>0</v>
      </c>
      <c r="AB348" s="58" t="n">
        <f aca="false">IF(Assumptions!AB$96=Project_Register!$AL$14,Project_Register!$AO$14,0)</f>
        <v>0</v>
      </c>
    </row>
    <row r="350" customFormat="false" ht="15" hidden="false" customHeight="false" outlineLevel="0" collapsed="false">
      <c r="A350" s="21" t="s">
        <v>785</v>
      </c>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row>
    <row r="351" customFormat="false" ht="15" hidden="false" customHeight="false" outlineLevel="0" collapsed="false">
      <c r="A351" s="27" t="s">
        <v>716</v>
      </c>
      <c r="B351" s="56" t="s">
        <v>717</v>
      </c>
      <c r="E351" s="104" t="n">
        <f aca="false">MIN(1,MAX(0,(Assumptions!E$96-Project_Register!$AJ$15+1)/(Project_Register!$AK$15-Project_Register!$AJ$15+1)))</f>
        <v>0</v>
      </c>
      <c r="F351" s="104" t="n">
        <f aca="false">MIN(1,MAX(0,(Assumptions!F$96-Project_Register!$AJ$15+1)/(Project_Register!$AK$15-Project_Register!$AJ$15+1)))</f>
        <v>0</v>
      </c>
      <c r="G351" s="104" t="n">
        <f aca="false">MIN(1,MAX(0,(Assumptions!G$96-Project_Register!$AJ$15+1)/(Project_Register!$AK$15-Project_Register!$AJ$15+1)))</f>
        <v>0</v>
      </c>
      <c r="H351" s="104" t="n">
        <f aca="false">MIN(1,MAX(0,(Assumptions!H$96-Project_Register!$AJ$15+1)/(Project_Register!$AK$15-Project_Register!$AJ$15+1)))</f>
        <v>0</v>
      </c>
      <c r="I351" s="104" t="n">
        <f aca="false">MIN(1,MAX(0,(Assumptions!I$96-Project_Register!$AJ$15+1)/(Project_Register!$AK$15-Project_Register!$AJ$15+1)))</f>
        <v>0</v>
      </c>
      <c r="J351" s="104" t="n">
        <f aca="false">MIN(1,MAX(0,(Assumptions!J$96-Project_Register!$AJ$15+1)/(Project_Register!$AK$15-Project_Register!$AJ$15+1)))</f>
        <v>0</v>
      </c>
      <c r="K351" s="104" t="n">
        <f aca="false">MIN(1,MAX(0,(Assumptions!K$96-Project_Register!$AJ$15+1)/(Project_Register!$AK$15-Project_Register!$AJ$15+1)))</f>
        <v>0</v>
      </c>
      <c r="L351" s="104" t="n">
        <f aca="false">MIN(1,MAX(0,(Assumptions!L$96-Project_Register!$AJ$15+1)/(Project_Register!$AK$15-Project_Register!$AJ$15+1)))</f>
        <v>0</v>
      </c>
      <c r="M351" s="104" t="n">
        <f aca="false">MIN(1,MAX(0,(Assumptions!M$96-Project_Register!$AJ$15+1)/(Project_Register!$AK$15-Project_Register!$AJ$15+1)))</f>
        <v>0</v>
      </c>
      <c r="N351" s="104" t="n">
        <f aca="false">MIN(1,MAX(0,(Assumptions!N$96-Project_Register!$AJ$15+1)/(Project_Register!$AK$15-Project_Register!$AJ$15+1)))</f>
        <v>0</v>
      </c>
      <c r="O351" s="104" t="n">
        <f aca="false">MIN(1,MAX(0,(Assumptions!O$96-Project_Register!$AJ$15+1)/(Project_Register!$AK$15-Project_Register!$AJ$15+1)))</f>
        <v>0</v>
      </c>
      <c r="P351" s="104" t="n">
        <f aca="false">MIN(1,MAX(0,(Assumptions!P$96-Project_Register!$AJ$15+1)/(Project_Register!$AK$15-Project_Register!$AJ$15+1)))</f>
        <v>0</v>
      </c>
      <c r="Q351" s="104" t="n">
        <f aca="false">MIN(1,MAX(0,(Assumptions!Q$96-Project_Register!$AJ$15+1)/(Project_Register!$AK$15-Project_Register!$AJ$15+1)))</f>
        <v>0</v>
      </c>
      <c r="R351" s="104" t="n">
        <f aca="false">MIN(1,MAX(0,(Assumptions!R$96-Project_Register!$AJ$15+1)/(Project_Register!$AK$15-Project_Register!$AJ$15+1)))</f>
        <v>0.125</v>
      </c>
      <c r="S351" s="104" t="n">
        <f aca="false">MIN(1,MAX(0,(Assumptions!S$96-Project_Register!$AJ$15+1)/(Project_Register!$AK$15-Project_Register!$AJ$15+1)))</f>
        <v>0.25</v>
      </c>
      <c r="T351" s="104" t="n">
        <f aca="false">MIN(1,MAX(0,(Assumptions!T$96-Project_Register!$AJ$15+1)/(Project_Register!$AK$15-Project_Register!$AJ$15+1)))</f>
        <v>0.375</v>
      </c>
      <c r="U351" s="104" t="n">
        <f aca="false">MIN(1,MAX(0,(Assumptions!U$96-Project_Register!$AJ$15+1)/(Project_Register!$AK$15-Project_Register!$AJ$15+1)))</f>
        <v>0.5</v>
      </c>
      <c r="V351" s="104" t="n">
        <f aca="false">MIN(1,MAX(0,(Assumptions!V$96-Project_Register!$AJ$15+1)/(Project_Register!$AK$15-Project_Register!$AJ$15+1)))</f>
        <v>0.625</v>
      </c>
      <c r="W351" s="104" t="n">
        <f aca="false">MIN(1,MAX(0,(Assumptions!W$96-Project_Register!$AJ$15+1)/(Project_Register!$AK$15-Project_Register!$AJ$15+1)))</f>
        <v>0.75</v>
      </c>
      <c r="X351" s="104" t="n">
        <f aca="false">MIN(1,MAX(0,(Assumptions!X$96-Project_Register!$AJ$15+1)/(Project_Register!$AK$15-Project_Register!$AJ$15+1)))</f>
        <v>0.875</v>
      </c>
      <c r="Y351" s="104" t="n">
        <f aca="false">MIN(1,MAX(0,(Assumptions!Y$96-Project_Register!$AJ$15+1)/(Project_Register!$AK$15-Project_Register!$AJ$15+1)))</f>
        <v>1</v>
      </c>
      <c r="Z351" s="104" t="n">
        <f aca="false">MIN(1,MAX(0,(Assumptions!Z$96-Project_Register!$AJ$15+1)/(Project_Register!$AK$15-Project_Register!$AJ$15+1)))</f>
        <v>1</v>
      </c>
      <c r="AA351" s="104" t="n">
        <f aca="false">MIN(1,MAX(0,(Assumptions!AA$96-Project_Register!$AJ$15+1)/(Project_Register!$AK$15-Project_Register!$AJ$15+1)))</f>
        <v>1</v>
      </c>
      <c r="AB351" s="104" t="n">
        <f aca="false">MIN(1,MAX(0,(Assumptions!AB$96-Project_Register!$AJ$15+1)/(Project_Register!$AK$15-Project_Register!$AJ$15+1)))</f>
        <v>1</v>
      </c>
    </row>
    <row r="352" customFormat="false" ht="15" hidden="false" customHeight="false" outlineLevel="0" collapsed="false">
      <c r="A352" s="27" t="s">
        <v>718</v>
      </c>
      <c r="B352" s="56" t="s">
        <v>719</v>
      </c>
      <c r="E352" s="105" t="n">
        <f aca="false">3*E351^2-2*E351^3</f>
        <v>0</v>
      </c>
      <c r="F352" s="105" t="n">
        <f aca="false">3*F351^2-2*F351^3</f>
        <v>0</v>
      </c>
      <c r="G352" s="105" t="n">
        <f aca="false">3*G351^2-2*G351^3</f>
        <v>0</v>
      </c>
      <c r="H352" s="105" t="n">
        <f aca="false">3*H351^2-2*H351^3</f>
        <v>0</v>
      </c>
      <c r="I352" s="105" t="n">
        <f aca="false">3*I351^2-2*I351^3</f>
        <v>0</v>
      </c>
      <c r="J352" s="105" t="n">
        <f aca="false">3*J351^2-2*J351^3</f>
        <v>0</v>
      </c>
      <c r="K352" s="105" t="n">
        <f aca="false">3*K351^2-2*K351^3</f>
        <v>0</v>
      </c>
      <c r="L352" s="105" t="n">
        <f aca="false">3*L351^2-2*L351^3</f>
        <v>0</v>
      </c>
      <c r="M352" s="105" t="n">
        <f aca="false">3*M351^2-2*M351^3</f>
        <v>0</v>
      </c>
      <c r="N352" s="105" t="n">
        <f aca="false">3*N351^2-2*N351^3</f>
        <v>0</v>
      </c>
      <c r="O352" s="105" t="n">
        <f aca="false">3*O351^2-2*O351^3</f>
        <v>0</v>
      </c>
      <c r="P352" s="105" t="n">
        <f aca="false">3*P351^2-2*P351^3</f>
        <v>0</v>
      </c>
      <c r="Q352" s="105" t="n">
        <f aca="false">3*Q351^2-2*Q351^3</f>
        <v>0</v>
      </c>
      <c r="R352" s="105" t="n">
        <f aca="false">3*R351^2-2*R351^3</f>
        <v>0.04296875</v>
      </c>
      <c r="S352" s="105" t="n">
        <f aca="false">3*S351^2-2*S351^3</f>
        <v>0.15625</v>
      </c>
      <c r="T352" s="105" t="n">
        <f aca="false">3*T351^2-2*T351^3</f>
        <v>0.31640625</v>
      </c>
      <c r="U352" s="105" t="n">
        <f aca="false">3*U351^2-2*U351^3</f>
        <v>0.5</v>
      </c>
      <c r="V352" s="105" t="n">
        <f aca="false">3*V351^2-2*V351^3</f>
        <v>0.68359375</v>
      </c>
      <c r="W352" s="105" t="n">
        <f aca="false">3*W351^2-2*W351^3</f>
        <v>0.84375</v>
      </c>
      <c r="X352" s="105" t="n">
        <f aca="false">3*X351^2-2*X351^3</f>
        <v>0.95703125</v>
      </c>
      <c r="Y352" s="105" t="n">
        <f aca="false">3*Y351^2-2*Y351^3</f>
        <v>1</v>
      </c>
      <c r="Z352" s="105" t="n">
        <f aca="false">3*Z351^2-2*Z351^3</f>
        <v>1</v>
      </c>
      <c r="AA352" s="105" t="n">
        <f aca="false">3*AA351^2-2*AA351^3</f>
        <v>1</v>
      </c>
      <c r="AB352" s="105" t="n">
        <f aca="false">3*AB351^2-2*AB351^3</f>
        <v>1</v>
      </c>
    </row>
    <row r="353" customFormat="false" ht="15" hidden="false" customHeight="false" outlineLevel="0" collapsed="false">
      <c r="A353" s="27" t="s">
        <v>720</v>
      </c>
      <c r="B353" s="56"/>
      <c r="E353" s="104" t="n">
        <f aca="false">3*MIN(1,MAX(0,(Assumptions!E$96-Project_Register!$AJ$15)/(Project_Register!$AK$15-Project_Register!$AJ$15+1)))^2-2*MIN(1,MAX(0,(Assumptions!E$96-Project_Register!$AJ$15)/(Project_Register!$AK$15-Project_Register!$AJ$15+1)))^3</f>
        <v>0</v>
      </c>
      <c r="F353" s="104" t="n">
        <f aca="false">3*MIN(1,MAX(0,(Assumptions!F$96-Project_Register!$AJ$15)/(Project_Register!$AK$15-Project_Register!$AJ$15+1)))^2-2*MIN(1,MAX(0,(Assumptions!F$96-Project_Register!$AJ$15)/(Project_Register!$AK$15-Project_Register!$AJ$15+1)))^3</f>
        <v>0</v>
      </c>
      <c r="G353" s="104" t="n">
        <f aca="false">3*MIN(1,MAX(0,(Assumptions!G$96-Project_Register!$AJ$15)/(Project_Register!$AK$15-Project_Register!$AJ$15+1)))^2-2*MIN(1,MAX(0,(Assumptions!G$96-Project_Register!$AJ$15)/(Project_Register!$AK$15-Project_Register!$AJ$15+1)))^3</f>
        <v>0</v>
      </c>
      <c r="H353" s="104" t="n">
        <f aca="false">3*MIN(1,MAX(0,(Assumptions!H$96-Project_Register!$AJ$15)/(Project_Register!$AK$15-Project_Register!$AJ$15+1)))^2-2*MIN(1,MAX(0,(Assumptions!H$96-Project_Register!$AJ$15)/(Project_Register!$AK$15-Project_Register!$AJ$15+1)))^3</f>
        <v>0</v>
      </c>
      <c r="I353" s="104" t="n">
        <f aca="false">3*MIN(1,MAX(0,(Assumptions!I$96-Project_Register!$AJ$15)/(Project_Register!$AK$15-Project_Register!$AJ$15+1)))^2-2*MIN(1,MAX(0,(Assumptions!I$96-Project_Register!$AJ$15)/(Project_Register!$AK$15-Project_Register!$AJ$15+1)))^3</f>
        <v>0</v>
      </c>
      <c r="J353" s="104" t="n">
        <f aca="false">3*MIN(1,MAX(0,(Assumptions!J$96-Project_Register!$AJ$15)/(Project_Register!$AK$15-Project_Register!$AJ$15+1)))^2-2*MIN(1,MAX(0,(Assumptions!J$96-Project_Register!$AJ$15)/(Project_Register!$AK$15-Project_Register!$AJ$15+1)))^3</f>
        <v>0</v>
      </c>
      <c r="K353" s="104" t="n">
        <f aca="false">3*MIN(1,MAX(0,(Assumptions!K$96-Project_Register!$AJ$15)/(Project_Register!$AK$15-Project_Register!$AJ$15+1)))^2-2*MIN(1,MAX(0,(Assumptions!K$96-Project_Register!$AJ$15)/(Project_Register!$AK$15-Project_Register!$AJ$15+1)))^3</f>
        <v>0</v>
      </c>
      <c r="L353" s="104" t="n">
        <f aca="false">3*MIN(1,MAX(0,(Assumptions!L$96-Project_Register!$AJ$15)/(Project_Register!$AK$15-Project_Register!$AJ$15+1)))^2-2*MIN(1,MAX(0,(Assumptions!L$96-Project_Register!$AJ$15)/(Project_Register!$AK$15-Project_Register!$AJ$15+1)))^3</f>
        <v>0</v>
      </c>
      <c r="M353" s="104" t="n">
        <f aca="false">3*MIN(1,MAX(0,(Assumptions!M$96-Project_Register!$AJ$15)/(Project_Register!$AK$15-Project_Register!$AJ$15+1)))^2-2*MIN(1,MAX(0,(Assumptions!M$96-Project_Register!$AJ$15)/(Project_Register!$AK$15-Project_Register!$AJ$15+1)))^3</f>
        <v>0</v>
      </c>
      <c r="N353" s="104" t="n">
        <f aca="false">3*MIN(1,MAX(0,(Assumptions!N$96-Project_Register!$AJ$15)/(Project_Register!$AK$15-Project_Register!$AJ$15+1)))^2-2*MIN(1,MAX(0,(Assumptions!N$96-Project_Register!$AJ$15)/(Project_Register!$AK$15-Project_Register!$AJ$15+1)))^3</f>
        <v>0</v>
      </c>
      <c r="O353" s="104" t="n">
        <f aca="false">3*MIN(1,MAX(0,(Assumptions!O$96-Project_Register!$AJ$15)/(Project_Register!$AK$15-Project_Register!$AJ$15+1)))^2-2*MIN(1,MAX(0,(Assumptions!O$96-Project_Register!$AJ$15)/(Project_Register!$AK$15-Project_Register!$AJ$15+1)))^3</f>
        <v>0</v>
      </c>
      <c r="P353" s="104" t="n">
        <f aca="false">3*MIN(1,MAX(0,(Assumptions!P$96-Project_Register!$AJ$15)/(Project_Register!$AK$15-Project_Register!$AJ$15+1)))^2-2*MIN(1,MAX(0,(Assumptions!P$96-Project_Register!$AJ$15)/(Project_Register!$AK$15-Project_Register!$AJ$15+1)))^3</f>
        <v>0</v>
      </c>
      <c r="Q353" s="104" t="n">
        <f aca="false">3*MIN(1,MAX(0,(Assumptions!Q$96-Project_Register!$AJ$15)/(Project_Register!$AK$15-Project_Register!$AJ$15+1)))^2-2*MIN(1,MAX(0,(Assumptions!Q$96-Project_Register!$AJ$15)/(Project_Register!$AK$15-Project_Register!$AJ$15+1)))^3</f>
        <v>0</v>
      </c>
      <c r="R353" s="104" t="n">
        <f aca="false">3*MIN(1,MAX(0,(Assumptions!R$96-Project_Register!$AJ$15)/(Project_Register!$AK$15-Project_Register!$AJ$15+1)))^2-2*MIN(1,MAX(0,(Assumptions!R$96-Project_Register!$AJ$15)/(Project_Register!$AK$15-Project_Register!$AJ$15+1)))^3</f>
        <v>0</v>
      </c>
      <c r="S353" s="104" t="n">
        <f aca="false">3*MIN(1,MAX(0,(Assumptions!S$96-Project_Register!$AJ$15)/(Project_Register!$AK$15-Project_Register!$AJ$15+1)))^2-2*MIN(1,MAX(0,(Assumptions!S$96-Project_Register!$AJ$15)/(Project_Register!$AK$15-Project_Register!$AJ$15+1)))^3</f>
        <v>0.04296875</v>
      </c>
      <c r="T353" s="104" t="n">
        <f aca="false">3*MIN(1,MAX(0,(Assumptions!T$96-Project_Register!$AJ$15)/(Project_Register!$AK$15-Project_Register!$AJ$15+1)))^2-2*MIN(1,MAX(0,(Assumptions!T$96-Project_Register!$AJ$15)/(Project_Register!$AK$15-Project_Register!$AJ$15+1)))^3</f>
        <v>0.15625</v>
      </c>
      <c r="U353" s="104" t="n">
        <f aca="false">3*MIN(1,MAX(0,(Assumptions!U$96-Project_Register!$AJ$15)/(Project_Register!$AK$15-Project_Register!$AJ$15+1)))^2-2*MIN(1,MAX(0,(Assumptions!U$96-Project_Register!$AJ$15)/(Project_Register!$AK$15-Project_Register!$AJ$15+1)))^3</f>
        <v>0.31640625</v>
      </c>
      <c r="V353" s="104" t="n">
        <f aca="false">3*MIN(1,MAX(0,(Assumptions!V$96-Project_Register!$AJ$15)/(Project_Register!$AK$15-Project_Register!$AJ$15+1)))^2-2*MIN(1,MAX(0,(Assumptions!V$96-Project_Register!$AJ$15)/(Project_Register!$AK$15-Project_Register!$AJ$15+1)))^3</f>
        <v>0.5</v>
      </c>
      <c r="W353" s="104" t="n">
        <f aca="false">3*MIN(1,MAX(0,(Assumptions!W$96-Project_Register!$AJ$15)/(Project_Register!$AK$15-Project_Register!$AJ$15+1)))^2-2*MIN(1,MAX(0,(Assumptions!W$96-Project_Register!$AJ$15)/(Project_Register!$AK$15-Project_Register!$AJ$15+1)))^3</f>
        <v>0.68359375</v>
      </c>
      <c r="X353" s="104" t="n">
        <f aca="false">3*MIN(1,MAX(0,(Assumptions!X$96-Project_Register!$AJ$15)/(Project_Register!$AK$15-Project_Register!$AJ$15+1)))^2-2*MIN(1,MAX(0,(Assumptions!X$96-Project_Register!$AJ$15)/(Project_Register!$AK$15-Project_Register!$AJ$15+1)))^3</f>
        <v>0.84375</v>
      </c>
      <c r="Y353" s="104" t="n">
        <f aca="false">3*MIN(1,MAX(0,(Assumptions!Y$96-Project_Register!$AJ$15)/(Project_Register!$AK$15-Project_Register!$AJ$15+1)))^2-2*MIN(1,MAX(0,(Assumptions!Y$96-Project_Register!$AJ$15)/(Project_Register!$AK$15-Project_Register!$AJ$15+1)))^3</f>
        <v>0.95703125</v>
      </c>
      <c r="Z353" s="104" t="n">
        <f aca="false">3*MIN(1,MAX(0,(Assumptions!Z$96-Project_Register!$AJ$15)/(Project_Register!$AK$15-Project_Register!$AJ$15+1)))^2-2*MIN(1,MAX(0,(Assumptions!Z$96-Project_Register!$AJ$15)/(Project_Register!$AK$15-Project_Register!$AJ$15+1)))^3</f>
        <v>1</v>
      </c>
      <c r="AA353" s="104" t="n">
        <f aca="false">3*MIN(1,MAX(0,(Assumptions!AA$96-Project_Register!$AJ$15)/(Project_Register!$AK$15-Project_Register!$AJ$15+1)))^2-2*MIN(1,MAX(0,(Assumptions!AA$96-Project_Register!$AJ$15)/(Project_Register!$AK$15-Project_Register!$AJ$15+1)))^3</f>
        <v>1</v>
      </c>
      <c r="AB353" s="104" t="n">
        <f aca="false">3*MIN(1,MAX(0,(Assumptions!AB$96-Project_Register!$AJ$15)/(Project_Register!$AK$15-Project_Register!$AJ$15+1)))^2-2*MIN(1,MAX(0,(Assumptions!AB$96-Project_Register!$AJ$15)/(Project_Register!$AK$15-Project_Register!$AJ$15+1)))^3</f>
        <v>1</v>
      </c>
    </row>
    <row r="354" customFormat="false" ht="15" hidden="false" customHeight="false" outlineLevel="0" collapsed="false">
      <c r="A354" s="27" t="s">
        <v>721</v>
      </c>
      <c r="B354" s="56" t="s">
        <v>722</v>
      </c>
      <c r="C354" s="57" t="n">
        <f aca="false">SUM(E354:P354)</f>
        <v>0</v>
      </c>
      <c r="D354" s="57" t="n">
        <f aca="false">SUM(Q354:AB354)</f>
        <v>89600</v>
      </c>
      <c r="E354" s="58" t="n">
        <f aca="false">IF(E$5="A",0,IF((Project_Register!$AT$15-Project_Register!$AQ$15)&lt;=0,0,IF(1-Project_Register!$AV$15&lt;=0.000001,IF(Assumptions!E$96=Assumptions!$C$10+1,(Project_Register!$AT$15-Project_Register!$AQ$15),0),(Project_Register!$AT$15-Project_Register!$AQ$15)*(E352-E353)/(1-Project_Register!$AV$15)))*Project_Register!$X$15)</f>
        <v>0</v>
      </c>
      <c r="F354" s="58" t="n">
        <f aca="false">IF(F$5="A",0,IF((Project_Register!$AT$15-Project_Register!$AQ$15)&lt;=0,0,IF(1-Project_Register!$AV$15&lt;=0.000001,IF(Assumptions!F$96=Assumptions!$C$10+1,(Project_Register!$AT$15-Project_Register!$AQ$15),0),(Project_Register!$AT$15-Project_Register!$AQ$15)*(F352-F353)/(1-Project_Register!$AV$15)))*Project_Register!$X$15)</f>
        <v>0</v>
      </c>
      <c r="G354" s="58" t="n">
        <f aca="false">IF(G$5="A",0,IF((Project_Register!$AT$15-Project_Register!$AQ$15)&lt;=0,0,IF(1-Project_Register!$AV$15&lt;=0.000001,IF(Assumptions!G$96=Assumptions!$C$10+1,(Project_Register!$AT$15-Project_Register!$AQ$15),0),(Project_Register!$AT$15-Project_Register!$AQ$15)*(G352-G353)/(1-Project_Register!$AV$15)))*Project_Register!$X$15)</f>
        <v>0</v>
      </c>
      <c r="H354" s="58" t="n">
        <f aca="false">IF(H$5="A",0,IF((Project_Register!$AT$15-Project_Register!$AQ$15)&lt;=0,0,IF(1-Project_Register!$AV$15&lt;=0.000001,IF(Assumptions!H$96=Assumptions!$C$10+1,(Project_Register!$AT$15-Project_Register!$AQ$15),0),(Project_Register!$AT$15-Project_Register!$AQ$15)*(H352-H353)/(1-Project_Register!$AV$15)))*Project_Register!$X$15)</f>
        <v>0</v>
      </c>
      <c r="I354" s="58" t="n">
        <f aca="false">IF(I$5="A",0,IF((Project_Register!$AT$15-Project_Register!$AQ$15)&lt;=0,0,IF(1-Project_Register!$AV$15&lt;=0.000001,IF(Assumptions!I$96=Assumptions!$C$10+1,(Project_Register!$AT$15-Project_Register!$AQ$15),0),(Project_Register!$AT$15-Project_Register!$AQ$15)*(I352-I353)/(1-Project_Register!$AV$15)))*Project_Register!$X$15)</f>
        <v>0</v>
      </c>
      <c r="J354" s="58" t="n">
        <f aca="false">IF(J$5="A",0,IF((Project_Register!$AT$15-Project_Register!$AQ$15)&lt;=0,0,IF(1-Project_Register!$AV$15&lt;=0.000001,IF(Assumptions!J$96=Assumptions!$C$10+1,(Project_Register!$AT$15-Project_Register!$AQ$15),0),(Project_Register!$AT$15-Project_Register!$AQ$15)*(J352-J353)/(1-Project_Register!$AV$15)))*Project_Register!$X$15)</f>
        <v>0</v>
      </c>
      <c r="K354" s="58" t="n">
        <f aca="false">IF(K$5="A",0,IF((Project_Register!$AT$15-Project_Register!$AQ$15)&lt;=0,0,IF(1-Project_Register!$AV$15&lt;=0.000001,IF(Assumptions!K$96=Assumptions!$C$10+1,(Project_Register!$AT$15-Project_Register!$AQ$15),0),(Project_Register!$AT$15-Project_Register!$AQ$15)*(K352-K353)/(1-Project_Register!$AV$15)))*Project_Register!$X$15)</f>
        <v>0</v>
      </c>
      <c r="L354" s="58" t="n">
        <f aca="false">IF(L$5="A",0,IF((Project_Register!$AT$15-Project_Register!$AQ$15)&lt;=0,0,IF(1-Project_Register!$AV$15&lt;=0.000001,IF(Assumptions!L$96=Assumptions!$C$10+1,(Project_Register!$AT$15-Project_Register!$AQ$15),0),(Project_Register!$AT$15-Project_Register!$AQ$15)*(L352-L353)/(1-Project_Register!$AV$15)))*Project_Register!$X$15)</f>
        <v>0</v>
      </c>
      <c r="M354" s="58" t="n">
        <f aca="false">IF(M$5="A",0,IF((Project_Register!$AT$15-Project_Register!$AQ$15)&lt;=0,0,IF(1-Project_Register!$AV$15&lt;=0.000001,IF(Assumptions!M$96=Assumptions!$C$10+1,(Project_Register!$AT$15-Project_Register!$AQ$15),0),(Project_Register!$AT$15-Project_Register!$AQ$15)*(M352-M353)/(1-Project_Register!$AV$15)))*Project_Register!$X$15)</f>
        <v>0</v>
      </c>
      <c r="N354" s="58" t="n">
        <f aca="false">IF(N$5="A",0,IF((Project_Register!$AT$15-Project_Register!$AQ$15)&lt;=0,0,IF(1-Project_Register!$AV$15&lt;=0.000001,IF(Assumptions!N$96=Assumptions!$C$10+1,(Project_Register!$AT$15-Project_Register!$AQ$15),0),(Project_Register!$AT$15-Project_Register!$AQ$15)*(N352-N353)/(1-Project_Register!$AV$15)))*Project_Register!$X$15)</f>
        <v>0</v>
      </c>
      <c r="O354" s="58" t="n">
        <f aca="false">IF(O$5="A",0,IF((Project_Register!$AT$15-Project_Register!$AQ$15)&lt;=0,0,IF(1-Project_Register!$AV$15&lt;=0.000001,IF(Assumptions!O$96=Assumptions!$C$10+1,(Project_Register!$AT$15-Project_Register!$AQ$15),0),(Project_Register!$AT$15-Project_Register!$AQ$15)*(O352-O353)/(1-Project_Register!$AV$15)))*Project_Register!$X$15)</f>
        <v>0</v>
      </c>
      <c r="P354" s="58" t="n">
        <f aca="false">IF(P$5="A",0,IF((Project_Register!$AT$15-Project_Register!$AQ$15)&lt;=0,0,IF(1-Project_Register!$AV$15&lt;=0.000001,IF(Assumptions!P$96=Assumptions!$C$10+1,(Project_Register!$AT$15-Project_Register!$AQ$15),0),(Project_Register!$AT$15-Project_Register!$AQ$15)*(P352-P353)/(1-Project_Register!$AV$15)))*Project_Register!$X$15)</f>
        <v>0</v>
      </c>
      <c r="Q354" s="58" t="n">
        <f aca="false">IF(Q$5="A",0,IF((Project_Register!$AT$15-Project_Register!$AQ$15)&lt;=0,0,IF(1-Project_Register!$AV$15&lt;=0.000001,IF(Assumptions!Q$96=Assumptions!$C$10+1,(Project_Register!$AT$15-Project_Register!$AQ$15),0),(Project_Register!$AT$15-Project_Register!$AQ$15)*(Q352-Q353)/(1-Project_Register!$AV$15)))*Project_Register!$X$15)</f>
        <v>0</v>
      </c>
      <c r="R354" s="58" t="n">
        <f aca="false">IF(R$5="A",0,IF((Project_Register!$AT$15-Project_Register!$AQ$15)&lt;=0,0,IF(1-Project_Register!$AV$15&lt;=0.000001,IF(Assumptions!R$96=Assumptions!$C$10+1,(Project_Register!$AT$15-Project_Register!$AQ$15),0),(Project_Register!$AT$15-Project_Register!$AQ$15)*(R352-R353)/(1-Project_Register!$AV$15)))*Project_Register!$X$15)</f>
        <v>3850</v>
      </c>
      <c r="S354" s="58" t="n">
        <f aca="false">IF(S$5="A",0,IF((Project_Register!$AT$15-Project_Register!$AQ$15)&lt;=0,0,IF(1-Project_Register!$AV$15&lt;=0.000001,IF(Assumptions!S$96=Assumptions!$C$10+1,(Project_Register!$AT$15-Project_Register!$AQ$15),0),(Project_Register!$AT$15-Project_Register!$AQ$15)*(S352-S353)/(1-Project_Register!$AV$15)))*Project_Register!$X$15)</f>
        <v>10150</v>
      </c>
      <c r="T354" s="58" t="n">
        <f aca="false">IF(T$5="A",0,IF((Project_Register!$AT$15-Project_Register!$AQ$15)&lt;=0,0,IF(1-Project_Register!$AV$15&lt;=0.000001,IF(Assumptions!T$96=Assumptions!$C$10+1,(Project_Register!$AT$15-Project_Register!$AQ$15),0),(Project_Register!$AT$15-Project_Register!$AQ$15)*(T352-T353)/(1-Project_Register!$AV$15)))*Project_Register!$X$15)</f>
        <v>14350</v>
      </c>
      <c r="U354" s="58" t="n">
        <f aca="false">IF(U$5="A",0,IF((Project_Register!$AT$15-Project_Register!$AQ$15)&lt;=0,0,IF(1-Project_Register!$AV$15&lt;=0.000001,IF(Assumptions!U$96=Assumptions!$C$10+1,(Project_Register!$AT$15-Project_Register!$AQ$15),0),(Project_Register!$AT$15-Project_Register!$AQ$15)*(U352-U353)/(1-Project_Register!$AV$15)))*Project_Register!$X$15)</f>
        <v>16450</v>
      </c>
      <c r="V354" s="58" t="n">
        <f aca="false">IF(V$5="A",0,IF((Project_Register!$AT$15-Project_Register!$AQ$15)&lt;=0,0,IF(1-Project_Register!$AV$15&lt;=0.000001,IF(Assumptions!V$96=Assumptions!$C$10+1,(Project_Register!$AT$15-Project_Register!$AQ$15),0),(Project_Register!$AT$15-Project_Register!$AQ$15)*(V352-V353)/(1-Project_Register!$AV$15)))*Project_Register!$X$15)</f>
        <v>16450</v>
      </c>
      <c r="W354" s="58" t="n">
        <f aca="false">IF(W$5="A",0,IF((Project_Register!$AT$15-Project_Register!$AQ$15)&lt;=0,0,IF(1-Project_Register!$AV$15&lt;=0.000001,IF(Assumptions!W$96=Assumptions!$C$10+1,(Project_Register!$AT$15-Project_Register!$AQ$15),0),(Project_Register!$AT$15-Project_Register!$AQ$15)*(W352-W353)/(1-Project_Register!$AV$15)))*Project_Register!$X$15)</f>
        <v>14350</v>
      </c>
      <c r="X354" s="58" t="n">
        <f aca="false">IF(X$5="A",0,IF((Project_Register!$AT$15-Project_Register!$AQ$15)&lt;=0,0,IF(1-Project_Register!$AV$15&lt;=0.000001,IF(Assumptions!X$96=Assumptions!$C$10+1,(Project_Register!$AT$15-Project_Register!$AQ$15),0),(Project_Register!$AT$15-Project_Register!$AQ$15)*(X352-X353)/(1-Project_Register!$AV$15)))*Project_Register!$X$15)</f>
        <v>10150</v>
      </c>
      <c r="Y354" s="58" t="n">
        <f aca="false">IF(Y$5="A",0,IF((Project_Register!$AT$15-Project_Register!$AQ$15)&lt;=0,0,IF(1-Project_Register!$AV$15&lt;=0.000001,IF(Assumptions!Y$96=Assumptions!$C$10+1,(Project_Register!$AT$15-Project_Register!$AQ$15),0),(Project_Register!$AT$15-Project_Register!$AQ$15)*(Y352-Y353)/(1-Project_Register!$AV$15)))*Project_Register!$X$15)</f>
        <v>3850</v>
      </c>
      <c r="Z354" s="58" t="n">
        <f aca="false">IF(Z$5="A",0,IF((Project_Register!$AT$15-Project_Register!$AQ$15)&lt;=0,0,IF(1-Project_Register!$AV$15&lt;=0.000001,IF(Assumptions!Z$96=Assumptions!$C$10+1,(Project_Register!$AT$15-Project_Register!$AQ$15),0),(Project_Register!$AT$15-Project_Register!$AQ$15)*(Z352-Z353)/(1-Project_Register!$AV$15)))*Project_Register!$X$15)</f>
        <v>0</v>
      </c>
      <c r="AA354" s="58" t="n">
        <f aca="false">IF(AA$5="A",0,IF((Project_Register!$AT$15-Project_Register!$AQ$15)&lt;=0,0,IF(1-Project_Register!$AV$15&lt;=0.000001,IF(Assumptions!AA$96=Assumptions!$C$10+1,(Project_Register!$AT$15-Project_Register!$AQ$15),0),(Project_Register!$AT$15-Project_Register!$AQ$15)*(AA352-AA353)/(1-Project_Register!$AV$15)))*Project_Register!$X$15)</f>
        <v>0</v>
      </c>
      <c r="AB354" s="58" t="n">
        <f aca="false">IF(AB$5="A",0,IF((Project_Register!$AT$15-Project_Register!$AQ$15)&lt;=0,0,IF(1-Project_Register!$AV$15&lt;=0.000001,IF(Assumptions!AB$96=Assumptions!$C$10+1,(Project_Register!$AT$15-Project_Register!$AQ$15),0),(Project_Register!$AT$15-Project_Register!$AQ$15)*(AB352-AB353)/(1-Project_Register!$AV$15)))*Project_Register!$X$15)</f>
        <v>0</v>
      </c>
    </row>
    <row r="355" customFormat="false" ht="15" hidden="false" customHeight="false" outlineLevel="0" collapsed="false">
      <c r="A355" s="27" t="s">
        <v>723</v>
      </c>
      <c r="B355" s="56" t="s">
        <v>722</v>
      </c>
      <c r="C355" s="57" t="n">
        <f aca="false">SUM(E355:P355)</f>
        <v>0</v>
      </c>
      <c r="D355" s="57" t="n">
        <f aca="false">SUM(Q355:AB355)</f>
        <v>280000</v>
      </c>
      <c r="E355" s="58" t="n">
        <f aca="false">IF(E$5="A",0,IF((Project_Register!$AT$15-Project_Register!$AQ$15)&lt;=0,0,IF(1-Project_Register!$AV$15&lt;=0.000001,IF(Assumptions!E$96=Assumptions!$C$10+1,(Project_Register!$AT$15-Project_Register!$AQ$15),0),(Project_Register!$AT$15-Project_Register!$AQ$15)*(E352-E353)/(1-Project_Register!$AV$15)))*Project_Register!$Y$15)</f>
        <v>0</v>
      </c>
      <c r="F355" s="58" t="n">
        <f aca="false">IF(F$5="A",0,IF((Project_Register!$AT$15-Project_Register!$AQ$15)&lt;=0,0,IF(1-Project_Register!$AV$15&lt;=0.000001,IF(Assumptions!F$96=Assumptions!$C$10+1,(Project_Register!$AT$15-Project_Register!$AQ$15),0),(Project_Register!$AT$15-Project_Register!$AQ$15)*(F352-F353)/(1-Project_Register!$AV$15)))*Project_Register!$Y$15)</f>
        <v>0</v>
      </c>
      <c r="G355" s="58" t="n">
        <f aca="false">IF(G$5="A",0,IF((Project_Register!$AT$15-Project_Register!$AQ$15)&lt;=0,0,IF(1-Project_Register!$AV$15&lt;=0.000001,IF(Assumptions!G$96=Assumptions!$C$10+1,(Project_Register!$AT$15-Project_Register!$AQ$15),0),(Project_Register!$AT$15-Project_Register!$AQ$15)*(G352-G353)/(1-Project_Register!$AV$15)))*Project_Register!$Y$15)</f>
        <v>0</v>
      </c>
      <c r="H355" s="58" t="n">
        <f aca="false">IF(H$5="A",0,IF((Project_Register!$AT$15-Project_Register!$AQ$15)&lt;=0,0,IF(1-Project_Register!$AV$15&lt;=0.000001,IF(Assumptions!H$96=Assumptions!$C$10+1,(Project_Register!$AT$15-Project_Register!$AQ$15),0),(Project_Register!$AT$15-Project_Register!$AQ$15)*(H352-H353)/(1-Project_Register!$AV$15)))*Project_Register!$Y$15)</f>
        <v>0</v>
      </c>
      <c r="I355" s="58" t="n">
        <f aca="false">IF(I$5="A",0,IF((Project_Register!$AT$15-Project_Register!$AQ$15)&lt;=0,0,IF(1-Project_Register!$AV$15&lt;=0.000001,IF(Assumptions!I$96=Assumptions!$C$10+1,(Project_Register!$AT$15-Project_Register!$AQ$15),0),(Project_Register!$AT$15-Project_Register!$AQ$15)*(I352-I353)/(1-Project_Register!$AV$15)))*Project_Register!$Y$15)</f>
        <v>0</v>
      </c>
      <c r="J355" s="58" t="n">
        <f aca="false">IF(J$5="A",0,IF((Project_Register!$AT$15-Project_Register!$AQ$15)&lt;=0,0,IF(1-Project_Register!$AV$15&lt;=0.000001,IF(Assumptions!J$96=Assumptions!$C$10+1,(Project_Register!$AT$15-Project_Register!$AQ$15),0),(Project_Register!$AT$15-Project_Register!$AQ$15)*(J352-J353)/(1-Project_Register!$AV$15)))*Project_Register!$Y$15)</f>
        <v>0</v>
      </c>
      <c r="K355" s="58" t="n">
        <f aca="false">IF(K$5="A",0,IF((Project_Register!$AT$15-Project_Register!$AQ$15)&lt;=0,0,IF(1-Project_Register!$AV$15&lt;=0.000001,IF(Assumptions!K$96=Assumptions!$C$10+1,(Project_Register!$AT$15-Project_Register!$AQ$15),0),(Project_Register!$AT$15-Project_Register!$AQ$15)*(K352-K353)/(1-Project_Register!$AV$15)))*Project_Register!$Y$15)</f>
        <v>0</v>
      </c>
      <c r="L355" s="58" t="n">
        <f aca="false">IF(L$5="A",0,IF((Project_Register!$AT$15-Project_Register!$AQ$15)&lt;=0,0,IF(1-Project_Register!$AV$15&lt;=0.000001,IF(Assumptions!L$96=Assumptions!$C$10+1,(Project_Register!$AT$15-Project_Register!$AQ$15),0),(Project_Register!$AT$15-Project_Register!$AQ$15)*(L352-L353)/(1-Project_Register!$AV$15)))*Project_Register!$Y$15)</f>
        <v>0</v>
      </c>
      <c r="M355" s="58" t="n">
        <f aca="false">IF(M$5="A",0,IF((Project_Register!$AT$15-Project_Register!$AQ$15)&lt;=0,0,IF(1-Project_Register!$AV$15&lt;=0.000001,IF(Assumptions!M$96=Assumptions!$C$10+1,(Project_Register!$AT$15-Project_Register!$AQ$15),0),(Project_Register!$AT$15-Project_Register!$AQ$15)*(M352-M353)/(1-Project_Register!$AV$15)))*Project_Register!$Y$15)</f>
        <v>0</v>
      </c>
      <c r="N355" s="58" t="n">
        <f aca="false">IF(N$5="A",0,IF((Project_Register!$AT$15-Project_Register!$AQ$15)&lt;=0,0,IF(1-Project_Register!$AV$15&lt;=0.000001,IF(Assumptions!N$96=Assumptions!$C$10+1,(Project_Register!$AT$15-Project_Register!$AQ$15),0),(Project_Register!$AT$15-Project_Register!$AQ$15)*(N352-N353)/(1-Project_Register!$AV$15)))*Project_Register!$Y$15)</f>
        <v>0</v>
      </c>
      <c r="O355" s="58" t="n">
        <f aca="false">IF(O$5="A",0,IF((Project_Register!$AT$15-Project_Register!$AQ$15)&lt;=0,0,IF(1-Project_Register!$AV$15&lt;=0.000001,IF(Assumptions!O$96=Assumptions!$C$10+1,(Project_Register!$AT$15-Project_Register!$AQ$15),0),(Project_Register!$AT$15-Project_Register!$AQ$15)*(O352-O353)/(1-Project_Register!$AV$15)))*Project_Register!$Y$15)</f>
        <v>0</v>
      </c>
      <c r="P355" s="58" t="n">
        <f aca="false">IF(P$5="A",0,IF((Project_Register!$AT$15-Project_Register!$AQ$15)&lt;=0,0,IF(1-Project_Register!$AV$15&lt;=0.000001,IF(Assumptions!P$96=Assumptions!$C$10+1,(Project_Register!$AT$15-Project_Register!$AQ$15),0),(Project_Register!$AT$15-Project_Register!$AQ$15)*(P352-P353)/(1-Project_Register!$AV$15)))*Project_Register!$Y$15)</f>
        <v>0</v>
      </c>
      <c r="Q355" s="58" t="n">
        <f aca="false">IF(Q$5="A",0,IF((Project_Register!$AT$15-Project_Register!$AQ$15)&lt;=0,0,IF(1-Project_Register!$AV$15&lt;=0.000001,IF(Assumptions!Q$96=Assumptions!$C$10+1,(Project_Register!$AT$15-Project_Register!$AQ$15),0),(Project_Register!$AT$15-Project_Register!$AQ$15)*(Q352-Q353)/(1-Project_Register!$AV$15)))*Project_Register!$Y$15)</f>
        <v>0</v>
      </c>
      <c r="R355" s="58" t="n">
        <f aca="false">IF(R$5="A",0,IF((Project_Register!$AT$15-Project_Register!$AQ$15)&lt;=0,0,IF(1-Project_Register!$AV$15&lt;=0.000001,IF(Assumptions!R$96=Assumptions!$C$10+1,(Project_Register!$AT$15-Project_Register!$AQ$15),0),(Project_Register!$AT$15-Project_Register!$AQ$15)*(R352-R353)/(1-Project_Register!$AV$15)))*Project_Register!$Y$15)</f>
        <v>12031.25</v>
      </c>
      <c r="S355" s="58" t="n">
        <f aca="false">IF(S$5="A",0,IF((Project_Register!$AT$15-Project_Register!$AQ$15)&lt;=0,0,IF(1-Project_Register!$AV$15&lt;=0.000001,IF(Assumptions!S$96=Assumptions!$C$10+1,(Project_Register!$AT$15-Project_Register!$AQ$15),0),(Project_Register!$AT$15-Project_Register!$AQ$15)*(S352-S353)/(1-Project_Register!$AV$15)))*Project_Register!$Y$15)</f>
        <v>31718.75</v>
      </c>
      <c r="T355" s="58" t="n">
        <f aca="false">IF(T$5="A",0,IF((Project_Register!$AT$15-Project_Register!$AQ$15)&lt;=0,0,IF(1-Project_Register!$AV$15&lt;=0.000001,IF(Assumptions!T$96=Assumptions!$C$10+1,(Project_Register!$AT$15-Project_Register!$AQ$15),0),(Project_Register!$AT$15-Project_Register!$AQ$15)*(T352-T353)/(1-Project_Register!$AV$15)))*Project_Register!$Y$15)</f>
        <v>44843.75</v>
      </c>
      <c r="U355" s="58" t="n">
        <f aca="false">IF(U$5="A",0,IF((Project_Register!$AT$15-Project_Register!$AQ$15)&lt;=0,0,IF(1-Project_Register!$AV$15&lt;=0.000001,IF(Assumptions!U$96=Assumptions!$C$10+1,(Project_Register!$AT$15-Project_Register!$AQ$15),0),(Project_Register!$AT$15-Project_Register!$AQ$15)*(U352-U353)/(1-Project_Register!$AV$15)))*Project_Register!$Y$15)</f>
        <v>51406.25</v>
      </c>
      <c r="V355" s="58" t="n">
        <f aca="false">IF(V$5="A",0,IF((Project_Register!$AT$15-Project_Register!$AQ$15)&lt;=0,0,IF(1-Project_Register!$AV$15&lt;=0.000001,IF(Assumptions!V$96=Assumptions!$C$10+1,(Project_Register!$AT$15-Project_Register!$AQ$15),0),(Project_Register!$AT$15-Project_Register!$AQ$15)*(V352-V353)/(1-Project_Register!$AV$15)))*Project_Register!$Y$15)</f>
        <v>51406.25</v>
      </c>
      <c r="W355" s="58" t="n">
        <f aca="false">IF(W$5="A",0,IF((Project_Register!$AT$15-Project_Register!$AQ$15)&lt;=0,0,IF(1-Project_Register!$AV$15&lt;=0.000001,IF(Assumptions!W$96=Assumptions!$C$10+1,(Project_Register!$AT$15-Project_Register!$AQ$15),0),(Project_Register!$AT$15-Project_Register!$AQ$15)*(W352-W353)/(1-Project_Register!$AV$15)))*Project_Register!$Y$15)</f>
        <v>44843.75</v>
      </c>
      <c r="X355" s="58" t="n">
        <f aca="false">IF(X$5="A",0,IF((Project_Register!$AT$15-Project_Register!$AQ$15)&lt;=0,0,IF(1-Project_Register!$AV$15&lt;=0.000001,IF(Assumptions!X$96=Assumptions!$C$10+1,(Project_Register!$AT$15-Project_Register!$AQ$15),0),(Project_Register!$AT$15-Project_Register!$AQ$15)*(X352-X353)/(1-Project_Register!$AV$15)))*Project_Register!$Y$15)</f>
        <v>31718.75</v>
      </c>
      <c r="Y355" s="58" t="n">
        <f aca="false">IF(Y$5="A",0,IF((Project_Register!$AT$15-Project_Register!$AQ$15)&lt;=0,0,IF(1-Project_Register!$AV$15&lt;=0.000001,IF(Assumptions!Y$96=Assumptions!$C$10+1,(Project_Register!$AT$15-Project_Register!$AQ$15),0),(Project_Register!$AT$15-Project_Register!$AQ$15)*(Y352-Y353)/(1-Project_Register!$AV$15)))*Project_Register!$Y$15)</f>
        <v>12031.25</v>
      </c>
      <c r="Z355" s="58" t="n">
        <f aca="false">IF(Z$5="A",0,IF((Project_Register!$AT$15-Project_Register!$AQ$15)&lt;=0,0,IF(1-Project_Register!$AV$15&lt;=0.000001,IF(Assumptions!Z$96=Assumptions!$C$10+1,(Project_Register!$AT$15-Project_Register!$AQ$15),0),(Project_Register!$AT$15-Project_Register!$AQ$15)*(Z352-Z353)/(1-Project_Register!$AV$15)))*Project_Register!$Y$15)</f>
        <v>0</v>
      </c>
      <c r="AA355" s="58" t="n">
        <f aca="false">IF(AA$5="A",0,IF((Project_Register!$AT$15-Project_Register!$AQ$15)&lt;=0,0,IF(1-Project_Register!$AV$15&lt;=0.000001,IF(Assumptions!AA$96=Assumptions!$C$10+1,(Project_Register!$AT$15-Project_Register!$AQ$15),0),(Project_Register!$AT$15-Project_Register!$AQ$15)*(AA352-AA353)/(1-Project_Register!$AV$15)))*Project_Register!$Y$15)</f>
        <v>0</v>
      </c>
      <c r="AB355" s="58" t="n">
        <f aca="false">IF(AB$5="A",0,IF((Project_Register!$AT$15-Project_Register!$AQ$15)&lt;=0,0,IF(1-Project_Register!$AV$15&lt;=0.000001,IF(Assumptions!AB$96=Assumptions!$C$10+1,(Project_Register!$AT$15-Project_Register!$AQ$15),0),(Project_Register!$AT$15-Project_Register!$AQ$15)*(AB352-AB353)/(1-Project_Register!$AV$15)))*Project_Register!$Y$15)</f>
        <v>0</v>
      </c>
    </row>
    <row r="356" customFormat="false" ht="15" hidden="false" customHeight="false" outlineLevel="0" collapsed="false">
      <c r="A356" s="27" t="s">
        <v>724</v>
      </c>
      <c r="B356" s="56" t="s">
        <v>722</v>
      </c>
      <c r="C356" s="57" t="n">
        <f aca="false">SUM(E356:P356)</f>
        <v>0</v>
      </c>
      <c r="D356" s="57" t="n">
        <f aca="false">SUM(Q356:AB356)</f>
        <v>134400</v>
      </c>
      <c r="E356" s="58" t="n">
        <f aca="false">IF(E$5="A",0,IF((Project_Register!$AT$15-Project_Register!$AQ$15)&lt;=0,0,IF(1-Project_Register!$AV$15&lt;=0.000001,IF(Assumptions!E$96=Assumptions!$C$10+1,(Project_Register!$AT$15-Project_Register!$AQ$15),0),(Project_Register!$AT$15-Project_Register!$AQ$15)*(E352-E353)/(1-Project_Register!$AV$15)))*Project_Register!$Z$15)</f>
        <v>0</v>
      </c>
      <c r="F356" s="58" t="n">
        <f aca="false">IF(F$5="A",0,IF((Project_Register!$AT$15-Project_Register!$AQ$15)&lt;=0,0,IF(1-Project_Register!$AV$15&lt;=0.000001,IF(Assumptions!F$96=Assumptions!$C$10+1,(Project_Register!$AT$15-Project_Register!$AQ$15),0),(Project_Register!$AT$15-Project_Register!$AQ$15)*(F352-F353)/(1-Project_Register!$AV$15)))*Project_Register!$Z$15)</f>
        <v>0</v>
      </c>
      <c r="G356" s="58" t="n">
        <f aca="false">IF(G$5="A",0,IF((Project_Register!$AT$15-Project_Register!$AQ$15)&lt;=0,0,IF(1-Project_Register!$AV$15&lt;=0.000001,IF(Assumptions!G$96=Assumptions!$C$10+1,(Project_Register!$AT$15-Project_Register!$AQ$15),0),(Project_Register!$AT$15-Project_Register!$AQ$15)*(G352-G353)/(1-Project_Register!$AV$15)))*Project_Register!$Z$15)</f>
        <v>0</v>
      </c>
      <c r="H356" s="58" t="n">
        <f aca="false">IF(H$5="A",0,IF((Project_Register!$AT$15-Project_Register!$AQ$15)&lt;=0,0,IF(1-Project_Register!$AV$15&lt;=0.000001,IF(Assumptions!H$96=Assumptions!$C$10+1,(Project_Register!$AT$15-Project_Register!$AQ$15),0),(Project_Register!$AT$15-Project_Register!$AQ$15)*(H352-H353)/(1-Project_Register!$AV$15)))*Project_Register!$Z$15)</f>
        <v>0</v>
      </c>
      <c r="I356" s="58" t="n">
        <f aca="false">IF(I$5="A",0,IF((Project_Register!$AT$15-Project_Register!$AQ$15)&lt;=0,0,IF(1-Project_Register!$AV$15&lt;=0.000001,IF(Assumptions!I$96=Assumptions!$C$10+1,(Project_Register!$AT$15-Project_Register!$AQ$15),0),(Project_Register!$AT$15-Project_Register!$AQ$15)*(I352-I353)/(1-Project_Register!$AV$15)))*Project_Register!$Z$15)</f>
        <v>0</v>
      </c>
      <c r="J356" s="58" t="n">
        <f aca="false">IF(J$5="A",0,IF((Project_Register!$AT$15-Project_Register!$AQ$15)&lt;=0,0,IF(1-Project_Register!$AV$15&lt;=0.000001,IF(Assumptions!J$96=Assumptions!$C$10+1,(Project_Register!$AT$15-Project_Register!$AQ$15),0),(Project_Register!$AT$15-Project_Register!$AQ$15)*(J352-J353)/(1-Project_Register!$AV$15)))*Project_Register!$Z$15)</f>
        <v>0</v>
      </c>
      <c r="K356" s="58" t="n">
        <f aca="false">IF(K$5="A",0,IF((Project_Register!$AT$15-Project_Register!$AQ$15)&lt;=0,0,IF(1-Project_Register!$AV$15&lt;=0.000001,IF(Assumptions!K$96=Assumptions!$C$10+1,(Project_Register!$AT$15-Project_Register!$AQ$15),0),(Project_Register!$AT$15-Project_Register!$AQ$15)*(K352-K353)/(1-Project_Register!$AV$15)))*Project_Register!$Z$15)</f>
        <v>0</v>
      </c>
      <c r="L356" s="58" t="n">
        <f aca="false">IF(L$5="A",0,IF((Project_Register!$AT$15-Project_Register!$AQ$15)&lt;=0,0,IF(1-Project_Register!$AV$15&lt;=0.000001,IF(Assumptions!L$96=Assumptions!$C$10+1,(Project_Register!$AT$15-Project_Register!$AQ$15),0),(Project_Register!$AT$15-Project_Register!$AQ$15)*(L352-L353)/(1-Project_Register!$AV$15)))*Project_Register!$Z$15)</f>
        <v>0</v>
      </c>
      <c r="M356" s="58" t="n">
        <f aca="false">IF(M$5="A",0,IF((Project_Register!$AT$15-Project_Register!$AQ$15)&lt;=0,0,IF(1-Project_Register!$AV$15&lt;=0.000001,IF(Assumptions!M$96=Assumptions!$C$10+1,(Project_Register!$AT$15-Project_Register!$AQ$15),0),(Project_Register!$AT$15-Project_Register!$AQ$15)*(M352-M353)/(1-Project_Register!$AV$15)))*Project_Register!$Z$15)</f>
        <v>0</v>
      </c>
      <c r="N356" s="58" t="n">
        <f aca="false">IF(N$5="A",0,IF((Project_Register!$AT$15-Project_Register!$AQ$15)&lt;=0,0,IF(1-Project_Register!$AV$15&lt;=0.000001,IF(Assumptions!N$96=Assumptions!$C$10+1,(Project_Register!$AT$15-Project_Register!$AQ$15),0),(Project_Register!$AT$15-Project_Register!$AQ$15)*(N352-N353)/(1-Project_Register!$AV$15)))*Project_Register!$Z$15)</f>
        <v>0</v>
      </c>
      <c r="O356" s="58" t="n">
        <f aca="false">IF(O$5="A",0,IF((Project_Register!$AT$15-Project_Register!$AQ$15)&lt;=0,0,IF(1-Project_Register!$AV$15&lt;=0.000001,IF(Assumptions!O$96=Assumptions!$C$10+1,(Project_Register!$AT$15-Project_Register!$AQ$15),0),(Project_Register!$AT$15-Project_Register!$AQ$15)*(O352-O353)/(1-Project_Register!$AV$15)))*Project_Register!$Z$15)</f>
        <v>0</v>
      </c>
      <c r="P356" s="58" t="n">
        <f aca="false">IF(P$5="A",0,IF((Project_Register!$AT$15-Project_Register!$AQ$15)&lt;=0,0,IF(1-Project_Register!$AV$15&lt;=0.000001,IF(Assumptions!P$96=Assumptions!$C$10+1,(Project_Register!$AT$15-Project_Register!$AQ$15),0),(Project_Register!$AT$15-Project_Register!$AQ$15)*(P352-P353)/(1-Project_Register!$AV$15)))*Project_Register!$Z$15)</f>
        <v>0</v>
      </c>
      <c r="Q356" s="58" t="n">
        <f aca="false">IF(Q$5="A",0,IF((Project_Register!$AT$15-Project_Register!$AQ$15)&lt;=0,0,IF(1-Project_Register!$AV$15&lt;=0.000001,IF(Assumptions!Q$96=Assumptions!$C$10+1,(Project_Register!$AT$15-Project_Register!$AQ$15),0),(Project_Register!$AT$15-Project_Register!$AQ$15)*(Q352-Q353)/(1-Project_Register!$AV$15)))*Project_Register!$Z$15)</f>
        <v>0</v>
      </c>
      <c r="R356" s="58" t="n">
        <f aca="false">IF(R$5="A",0,IF((Project_Register!$AT$15-Project_Register!$AQ$15)&lt;=0,0,IF(1-Project_Register!$AV$15&lt;=0.000001,IF(Assumptions!R$96=Assumptions!$C$10+1,(Project_Register!$AT$15-Project_Register!$AQ$15),0),(Project_Register!$AT$15-Project_Register!$AQ$15)*(R352-R353)/(1-Project_Register!$AV$15)))*Project_Register!$Z$15)</f>
        <v>5775</v>
      </c>
      <c r="S356" s="58" t="n">
        <f aca="false">IF(S$5="A",0,IF((Project_Register!$AT$15-Project_Register!$AQ$15)&lt;=0,0,IF(1-Project_Register!$AV$15&lt;=0.000001,IF(Assumptions!S$96=Assumptions!$C$10+1,(Project_Register!$AT$15-Project_Register!$AQ$15),0),(Project_Register!$AT$15-Project_Register!$AQ$15)*(S352-S353)/(1-Project_Register!$AV$15)))*Project_Register!$Z$15)</f>
        <v>15225</v>
      </c>
      <c r="T356" s="58" t="n">
        <f aca="false">IF(T$5="A",0,IF((Project_Register!$AT$15-Project_Register!$AQ$15)&lt;=0,0,IF(1-Project_Register!$AV$15&lt;=0.000001,IF(Assumptions!T$96=Assumptions!$C$10+1,(Project_Register!$AT$15-Project_Register!$AQ$15),0),(Project_Register!$AT$15-Project_Register!$AQ$15)*(T352-T353)/(1-Project_Register!$AV$15)))*Project_Register!$Z$15)</f>
        <v>21525</v>
      </c>
      <c r="U356" s="58" t="n">
        <f aca="false">IF(U$5="A",0,IF((Project_Register!$AT$15-Project_Register!$AQ$15)&lt;=0,0,IF(1-Project_Register!$AV$15&lt;=0.000001,IF(Assumptions!U$96=Assumptions!$C$10+1,(Project_Register!$AT$15-Project_Register!$AQ$15),0),(Project_Register!$AT$15-Project_Register!$AQ$15)*(U352-U353)/(1-Project_Register!$AV$15)))*Project_Register!$Z$15)</f>
        <v>24675</v>
      </c>
      <c r="V356" s="58" t="n">
        <f aca="false">IF(V$5="A",0,IF((Project_Register!$AT$15-Project_Register!$AQ$15)&lt;=0,0,IF(1-Project_Register!$AV$15&lt;=0.000001,IF(Assumptions!V$96=Assumptions!$C$10+1,(Project_Register!$AT$15-Project_Register!$AQ$15),0),(Project_Register!$AT$15-Project_Register!$AQ$15)*(V352-V353)/(1-Project_Register!$AV$15)))*Project_Register!$Z$15)</f>
        <v>24675</v>
      </c>
      <c r="W356" s="58" t="n">
        <f aca="false">IF(W$5="A",0,IF((Project_Register!$AT$15-Project_Register!$AQ$15)&lt;=0,0,IF(1-Project_Register!$AV$15&lt;=0.000001,IF(Assumptions!W$96=Assumptions!$C$10+1,(Project_Register!$AT$15-Project_Register!$AQ$15),0),(Project_Register!$AT$15-Project_Register!$AQ$15)*(W352-W353)/(1-Project_Register!$AV$15)))*Project_Register!$Z$15)</f>
        <v>21525</v>
      </c>
      <c r="X356" s="58" t="n">
        <f aca="false">IF(X$5="A",0,IF((Project_Register!$AT$15-Project_Register!$AQ$15)&lt;=0,0,IF(1-Project_Register!$AV$15&lt;=0.000001,IF(Assumptions!X$96=Assumptions!$C$10+1,(Project_Register!$AT$15-Project_Register!$AQ$15),0),(Project_Register!$AT$15-Project_Register!$AQ$15)*(X352-X353)/(1-Project_Register!$AV$15)))*Project_Register!$Z$15)</f>
        <v>15225</v>
      </c>
      <c r="Y356" s="58" t="n">
        <f aca="false">IF(Y$5="A",0,IF((Project_Register!$AT$15-Project_Register!$AQ$15)&lt;=0,0,IF(1-Project_Register!$AV$15&lt;=0.000001,IF(Assumptions!Y$96=Assumptions!$C$10+1,(Project_Register!$AT$15-Project_Register!$AQ$15),0),(Project_Register!$AT$15-Project_Register!$AQ$15)*(Y352-Y353)/(1-Project_Register!$AV$15)))*Project_Register!$Z$15)</f>
        <v>5775</v>
      </c>
      <c r="Z356" s="58" t="n">
        <f aca="false">IF(Z$5="A",0,IF((Project_Register!$AT$15-Project_Register!$AQ$15)&lt;=0,0,IF(1-Project_Register!$AV$15&lt;=0.000001,IF(Assumptions!Z$96=Assumptions!$C$10+1,(Project_Register!$AT$15-Project_Register!$AQ$15),0),(Project_Register!$AT$15-Project_Register!$AQ$15)*(Z352-Z353)/(1-Project_Register!$AV$15)))*Project_Register!$Z$15)</f>
        <v>0</v>
      </c>
      <c r="AA356" s="58" t="n">
        <f aca="false">IF(AA$5="A",0,IF((Project_Register!$AT$15-Project_Register!$AQ$15)&lt;=0,0,IF(1-Project_Register!$AV$15&lt;=0.000001,IF(Assumptions!AA$96=Assumptions!$C$10+1,(Project_Register!$AT$15-Project_Register!$AQ$15),0),(Project_Register!$AT$15-Project_Register!$AQ$15)*(AA352-AA353)/(1-Project_Register!$AV$15)))*Project_Register!$Z$15)</f>
        <v>0</v>
      </c>
      <c r="AB356" s="58" t="n">
        <f aca="false">IF(AB$5="A",0,IF((Project_Register!$AT$15-Project_Register!$AQ$15)&lt;=0,0,IF(1-Project_Register!$AV$15&lt;=0.000001,IF(Assumptions!AB$96=Assumptions!$C$10+1,(Project_Register!$AT$15-Project_Register!$AQ$15),0),(Project_Register!$AT$15-Project_Register!$AQ$15)*(AB352-AB353)/(1-Project_Register!$AV$15)))*Project_Register!$Z$15)</f>
        <v>0</v>
      </c>
    </row>
    <row r="357" customFormat="false" ht="15" hidden="false" customHeight="false" outlineLevel="0" collapsed="false">
      <c r="A357" s="27" t="s">
        <v>725</v>
      </c>
      <c r="B357" s="56" t="s">
        <v>722</v>
      </c>
      <c r="C357" s="57" t="n">
        <f aca="false">SUM(E357:P357)</f>
        <v>0</v>
      </c>
      <c r="D357" s="57" t="n">
        <f aca="false">SUM(Q357:AB357)</f>
        <v>16800</v>
      </c>
      <c r="E357" s="58" t="n">
        <f aca="false">IF(E$5="A",0,IF((Project_Register!$AT$15-Project_Register!$AQ$15)&lt;=0,0,IF(1-Project_Register!$AV$15&lt;=0.000001,IF(Assumptions!E$96=Assumptions!$C$10+1,(Project_Register!$AT$15-Project_Register!$AQ$15),0),(Project_Register!$AT$15-Project_Register!$AQ$15)*(E352-E353)/(1-Project_Register!$AV$15)))*Project_Register!$AA$15)</f>
        <v>0</v>
      </c>
      <c r="F357" s="58" t="n">
        <f aca="false">IF(F$5="A",0,IF((Project_Register!$AT$15-Project_Register!$AQ$15)&lt;=0,0,IF(1-Project_Register!$AV$15&lt;=0.000001,IF(Assumptions!F$96=Assumptions!$C$10+1,(Project_Register!$AT$15-Project_Register!$AQ$15),0),(Project_Register!$AT$15-Project_Register!$AQ$15)*(F352-F353)/(1-Project_Register!$AV$15)))*Project_Register!$AA$15)</f>
        <v>0</v>
      </c>
      <c r="G357" s="58" t="n">
        <f aca="false">IF(G$5="A",0,IF((Project_Register!$AT$15-Project_Register!$AQ$15)&lt;=0,0,IF(1-Project_Register!$AV$15&lt;=0.000001,IF(Assumptions!G$96=Assumptions!$C$10+1,(Project_Register!$AT$15-Project_Register!$AQ$15),0),(Project_Register!$AT$15-Project_Register!$AQ$15)*(G352-G353)/(1-Project_Register!$AV$15)))*Project_Register!$AA$15)</f>
        <v>0</v>
      </c>
      <c r="H357" s="58" t="n">
        <f aca="false">IF(H$5="A",0,IF((Project_Register!$AT$15-Project_Register!$AQ$15)&lt;=0,0,IF(1-Project_Register!$AV$15&lt;=0.000001,IF(Assumptions!H$96=Assumptions!$C$10+1,(Project_Register!$AT$15-Project_Register!$AQ$15),0),(Project_Register!$AT$15-Project_Register!$AQ$15)*(H352-H353)/(1-Project_Register!$AV$15)))*Project_Register!$AA$15)</f>
        <v>0</v>
      </c>
      <c r="I357" s="58" t="n">
        <f aca="false">IF(I$5="A",0,IF((Project_Register!$AT$15-Project_Register!$AQ$15)&lt;=0,0,IF(1-Project_Register!$AV$15&lt;=0.000001,IF(Assumptions!I$96=Assumptions!$C$10+1,(Project_Register!$AT$15-Project_Register!$AQ$15),0),(Project_Register!$AT$15-Project_Register!$AQ$15)*(I352-I353)/(1-Project_Register!$AV$15)))*Project_Register!$AA$15)</f>
        <v>0</v>
      </c>
      <c r="J357" s="58" t="n">
        <f aca="false">IF(J$5="A",0,IF((Project_Register!$AT$15-Project_Register!$AQ$15)&lt;=0,0,IF(1-Project_Register!$AV$15&lt;=0.000001,IF(Assumptions!J$96=Assumptions!$C$10+1,(Project_Register!$AT$15-Project_Register!$AQ$15),0),(Project_Register!$AT$15-Project_Register!$AQ$15)*(J352-J353)/(1-Project_Register!$AV$15)))*Project_Register!$AA$15)</f>
        <v>0</v>
      </c>
      <c r="K357" s="58" t="n">
        <f aca="false">IF(K$5="A",0,IF((Project_Register!$AT$15-Project_Register!$AQ$15)&lt;=0,0,IF(1-Project_Register!$AV$15&lt;=0.000001,IF(Assumptions!K$96=Assumptions!$C$10+1,(Project_Register!$AT$15-Project_Register!$AQ$15),0),(Project_Register!$AT$15-Project_Register!$AQ$15)*(K352-K353)/(1-Project_Register!$AV$15)))*Project_Register!$AA$15)</f>
        <v>0</v>
      </c>
      <c r="L357" s="58" t="n">
        <f aca="false">IF(L$5="A",0,IF((Project_Register!$AT$15-Project_Register!$AQ$15)&lt;=0,0,IF(1-Project_Register!$AV$15&lt;=0.000001,IF(Assumptions!L$96=Assumptions!$C$10+1,(Project_Register!$AT$15-Project_Register!$AQ$15),0),(Project_Register!$AT$15-Project_Register!$AQ$15)*(L352-L353)/(1-Project_Register!$AV$15)))*Project_Register!$AA$15)</f>
        <v>0</v>
      </c>
      <c r="M357" s="58" t="n">
        <f aca="false">IF(M$5="A",0,IF((Project_Register!$AT$15-Project_Register!$AQ$15)&lt;=0,0,IF(1-Project_Register!$AV$15&lt;=0.000001,IF(Assumptions!M$96=Assumptions!$C$10+1,(Project_Register!$AT$15-Project_Register!$AQ$15),0),(Project_Register!$AT$15-Project_Register!$AQ$15)*(M352-M353)/(1-Project_Register!$AV$15)))*Project_Register!$AA$15)</f>
        <v>0</v>
      </c>
      <c r="N357" s="58" t="n">
        <f aca="false">IF(N$5="A",0,IF((Project_Register!$AT$15-Project_Register!$AQ$15)&lt;=0,0,IF(1-Project_Register!$AV$15&lt;=0.000001,IF(Assumptions!N$96=Assumptions!$C$10+1,(Project_Register!$AT$15-Project_Register!$AQ$15),0),(Project_Register!$AT$15-Project_Register!$AQ$15)*(N352-N353)/(1-Project_Register!$AV$15)))*Project_Register!$AA$15)</f>
        <v>0</v>
      </c>
      <c r="O357" s="58" t="n">
        <f aca="false">IF(O$5="A",0,IF((Project_Register!$AT$15-Project_Register!$AQ$15)&lt;=0,0,IF(1-Project_Register!$AV$15&lt;=0.000001,IF(Assumptions!O$96=Assumptions!$C$10+1,(Project_Register!$AT$15-Project_Register!$AQ$15),0),(Project_Register!$AT$15-Project_Register!$AQ$15)*(O352-O353)/(1-Project_Register!$AV$15)))*Project_Register!$AA$15)</f>
        <v>0</v>
      </c>
      <c r="P357" s="58" t="n">
        <f aca="false">IF(P$5="A",0,IF((Project_Register!$AT$15-Project_Register!$AQ$15)&lt;=0,0,IF(1-Project_Register!$AV$15&lt;=0.000001,IF(Assumptions!P$96=Assumptions!$C$10+1,(Project_Register!$AT$15-Project_Register!$AQ$15),0),(Project_Register!$AT$15-Project_Register!$AQ$15)*(P352-P353)/(1-Project_Register!$AV$15)))*Project_Register!$AA$15)</f>
        <v>0</v>
      </c>
      <c r="Q357" s="58" t="n">
        <f aca="false">IF(Q$5="A",0,IF((Project_Register!$AT$15-Project_Register!$AQ$15)&lt;=0,0,IF(1-Project_Register!$AV$15&lt;=0.000001,IF(Assumptions!Q$96=Assumptions!$C$10+1,(Project_Register!$AT$15-Project_Register!$AQ$15),0),(Project_Register!$AT$15-Project_Register!$AQ$15)*(Q352-Q353)/(1-Project_Register!$AV$15)))*Project_Register!$AA$15)</f>
        <v>0</v>
      </c>
      <c r="R357" s="58" t="n">
        <f aca="false">IF(R$5="A",0,IF((Project_Register!$AT$15-Project_Register!$AQ$15)&lt;=0,0,IF(1-Project_Register!$AV$15&lt;=0.000001,IF(Assumptions!R$96=Assumptions!$C$10+1,(Project_Register!$AT$15-Project_Register!$AQ$15),0),(Project_Register!$AT$15-Project_Register!$AQ$15)*(R352-R353)/(1-Project_Register!$AV$15)))*Project_Register!$AA$15)</f>
        <v>721.875</v>
      </c>
      <c r="S357" s="58" t="n">
        <f aca="false">IF(S$5="A",0,IF((Project_Register!$AT$15-Project_Register!$AQ$15)&lt;=0,0,IF(1-Project_Register!$AV$15&lt;=0.000001,IF(Assumptions!S$96=Assumptions!$C$10+1,(Project_Register!$AT$15-Project_Register!$AQ$15),0),(Project_Register!$AT$15-Project_Register!$AQ$15)*(S352-S353)/(1-Project_Register!$AV$15)))*Project_Register!$AA$15)</f>
        <v>1903.125</v>
      </c>
      <c r="T357" s="58" t="n">
        <f aca="false">IF(T$5="A",0,IF((Project_Register!$AT$15-Project_Register!$AQ$15)&lt;=0,0,IF(1-Project_Register!$AV$15&lt;=0.000001,IF(Assumptions!T$96=Assumptions!$C$10+1,(Project_Register!$AT$15-Project_Register!$AQ$15),0),(Project_Register!$AT$15-Project_Register!$AQ$15)*(T352-T353)/(1-Project_Register!$AV$15)))*Project_Register!$AA$15)</f>
        <v>2690.625</v>
      </c>
      <c r="U357" s="58" t="n">
        <f aca="false">IF(U$5="A",0,IF((Project_Register!$AT$15-Project_Register!$AQ$15)&lt;=0,0,IF(1-Project_Register!$AV$15&lt;=0.000001,IF(Assumptions!U$96=Assumptions!$C$10+1,(Project_Register!$AT$15-Project_Register!$AQ$15),0),(Project_Register!$AT$15-Project_Register!$AQ$15)*(U352-U353)/(1-Project_Register!$AV$15)))*Project_Register!$AA$15)</f>
        <v>3084.375</v>
      </c>
      <c r="V357" s="58" t="n">
        <f aca="false">IF(V$5="A",0,IF((Project_Register!$AT$15-Project_Register!$AQ$15)&lt;=0,0,IF(1-Project_Register!$AV$15&lt;=0.000001,IF(Assumptions!V$96=Assumptions!$C$10+1,(Project_Register!$AT$15-Project_Register!$AQ$15),0),(Project_Register!$AT$15-Project_Register!$AQ$15)*(V352-V353)/(1-Project_Register!$AV$15)))*Project_Register!$AA$15)</f>
        <v>3084.375</v>
      </c>
      <c r="W357" s="58" t="n">
        <f aca="false">IF(W$5="A",0,IF((Project_Register!$AT$15-Project_Register!$AQ$15)&lt;=0,0,IF(1-Project_Register!$AV$15&lt;=0.000001,IF(Assumptions!W$96=Assumptions!$C$10+1,(Project_Register!$AT$15-Project_Register!$AQ$15),0),(Project_Register!$AT$15-Project_Register!$AQ$15)*(W352-W353)/(1-Project_Register!$AV$15)))*Project_Register!$AA$15)</f>
        <v>2690.625</v>
      </c>
      <c r="X357" s="58" t="n">
        <f aca="false">IF(X$5="A",0,IF((Project_Register!$AT$15-Project_Register!$AQ$15)&lt;=0,0,IF(1-Project_Register!$AV$15&lt;=0.000001,IF(Assumptions!X$96=Assumptions!$C$10+1,(Project_Register!$AT$15-Project_Register!$AQ$15),0),(Project_Register!$AT$15-Project_Register!$AQ$15)*(X352-X353)/(1-Project_Register!$AV$15)))*Project_Register!$AA$15)</f>
        <v>1903.125</v>
      </c>
      <c r="Y357" s="58" t="n">
        <f aca="false">IF(Y$5="A",0,IF((Project_Register!$AT$15-Project_Register!$AQ$15)&lt;=0,0,IF(1-Project_Register!$AV$15&lt;=0.000001,IF(Assumptions!Y$96=Assumptions!$C$10+1,(Project_Register!$AT$15-Project_Register!$AQ$15),0),(Project_Register!$AT$15-Project_Register!$AQ$15)*(Y352-Y353)/(1-Project_Register!$AV$15)))*Project_Register!$AA$15)</f>
        <v>721.875</v>
      </c>
      <c r="Z357" s="58" t="n">
        <f aca="false">IF(Z$5="A",0,IF((Project_Register!$AT$15-Project_Register!$AQ$15)&lt;=0,0,IF(1-Project_Register!$AV$15&lt;=0.000001,IF(Assumptions!Z$96=Assumptions!$C$10+1,(Project_Register!$AT$15-Project_Register!$AQ$15),0),(Project_Register!$AT$15-Project_Register!$AQ$15)*(Z352-Z353)/(1-Project_Register!$AV$15)))*Project_Register!$AA$15)</f>
        <v>0</v>
      </c>
      <c r="AA357" s="58" t="n">
        <f aca="false">IF(AA$5="A",0,IF((Project_Register!$AT$15-Project_Register!$AQ$15)&lt;=0,0,IF(1-Project_Register!$AV$15&lt;=0.000001,IF(Assumptions!AA$96=Assumptions!$C$10+1,(Project_Register!$AT$15-Project_Register!$AQ$15),0),(Project_Register!$AT$15-Project_Register!$AQ$15)*(AA352-AA353)/(1-Project_Register!$AV$15)))*Project_Register!$AA$15)</f>
        <v>0</v>
      </c>
      <c r="AB357" s="58" t="n">
        <f aca="false">IF(AB$5="A",0,IF((Project_Register!$AT$15-Project_Register!$AQ$15)&lt;=0,0,IF(1-Project_Register!$AV$15&lt;=0.000001,IF(Assumptions!AB$96=Assumptions!$C$10+1,(Project_Register!$AT$15-Project_Register!$AQ$15),0),(Project_Register!$AT$15-Project_Register!$AQ$15)*(AB352-AB353)/(1-Project_Register!$AV$15)))*Project_Register!$AA$15)</f>
        <v>0</v>
      </c>
    </row>
    <row r="358" customFormat="false" ht="15" hidden="false" customHeight="false" outlineLevel="0" collapsed="false">
      <c r="A358" s="27" t="s">
        <v>726</v>
      </c>
      <c r="B358" s="56" t="s">
        <v>722</v>
      </c>
      <c r="C358" s="57" t="n">
        <f aca="false">SUM(E358:P358)</f>
        <v>0</v>
      </c>
      <c r="D358" s="57" t="n">
        <f aca="false">SUM(Q358:AB358)</f>
        <v>39200</v>
      </c>
      <c r="E358" s="58" t="n">
        <f aca="false">IF(E$5="A",0,IF((Project_Register!$AT$15-Project_Register!$AQ$15)&lt;=0,0,IF(1-Project_Register!$AV$15&lt;=0.000001,IF(Assumptions!E$96=Assumptions!$C$10+1,(Project_Register!$AT$15-Project_Register!$AQ$15),0),(Project_Register!$AT$15-Project_Register!$AQ$15)*(E352-E353)/(1-Project_Register!$AV$15)))*Project_Register!$AB$15)</f>
        <v>0</v>
      </c>
      <c r="F358" s="58" t="n">
        <f aca="false">IF(F$5="A",0,IF((Project_Register!$AT$15-Project_Register!$AQ$15)&lt;=0,0,IF(1-Project_Register!$AV$15&lt;=0.000001,IF(Assumptions!F$96=Assumptions!$C$10+1,(Project_Register!$AT$15-Project_Register!$AQ$15),0),(Project_Register!$AT$15-Project_Register!$AQ$15)*(F352-F353)/(1-Project_Register!$AV$15)))*Project_Register!$AB$15)</f>
        <v>0</v>
      </c>
      <c r="G358" s="58" t="n">
        <f aca="false">IF(G$5="A",0,IF((Project_Register!$AT$15-Project_Register!$AQ$15)&lt;=0,0,IF(1-Project_Register!$AV$15&lt;=0.000001,IF(Assumptions!G$96=Assumptions!$C$10+1,(Project_Register!$AT$15-Project_Register!$AQ$15),0),(Project_Register!$AT$15-Project_Register!$AQ$15)*(G352-G353)/(1-Project_Register!$AV$15)))*Project_Register!$AB$15)</f>
        <v>0</v>
      </c>
      <c r="H358" s="58" t="n">
        <f aca="false">IF(H$5="A",0,IF((Project_Register!$AT$15-Project_Register!$AQ$15)&lt;=0,0,IF(1-Project_Register!$AV$15&lt;=0.000001,IF(Assumptions!H$96=Assumptions!$C$10+1,(Project_Register!$AT$15-Project_Register!$AQ$15),0),(Project_Register!$AT$15-Project_Register!$AQ$15)*(H352-H353)/(1-Project_Register!$AV$15)))*Project_Register!$AB$15)</f>
        <v>0</v>
      </c>
      <c r="I358" s="58" t="n">
        <f aca="false">IF(I$5="A",0,IF((Project_Register!$AT$15-Project_Register!$AQ$15)&lt;=0,0,IF(1-Project_Register!$AV$15&lt;=0.000001,IF(Assumptions!I$96=Assumptions!$C$10+1,(Project_Register!$AT$15-Project_Register!$AQ$15),0),(Project_Register!$AT$15-Project_Register!$AQ$15)*(I352-I353)/(1-Project_Register!$AV$15)))*Project_Register!$AB$15)</f>
        <v>0</v>
      </c>
      <c r="J358" s="58" t="n">
        <f aca="false">IF(J$5="A",0,IF((Project_Register!$AT$15-Project_Register!$AQ$15)&lt;=0,0,IF(1-Project_Register!$AV$15&lt;=0.000001,IF(Assumptions!J$96=Assumptions!$C$10+1,(Project_Register!$AT$15-Project_Register!$AQ$15),0),(Project_Register!$AT$15-Project_Register!$AQ$15)*(J352-J353)/(1-Project_Register!$AV$15)))*Project_Register!$AB$15)</f>
        <v>0</v>
      </c>
      <c r="K358" s="58" t="n">
        <f aca="false">IF(K$5="A",0,IF((Project_Register!$AT$15-Project_Register!$AQ$15)&lt;=0,0,IF(1-Project_Register!$AV$15&lt;=0.000001,IF(Assumptions!K$96=Assumptions!$C$10+1,(Project_Register!$AT$15-Project_Register!$AQ$15),0),(Project_Register!$AT$15-Project_Register!$AQ$15)*(K352-K353)/(1-Project_Register!$AV$15)))*Project_Register!$AB$15)</f>
        <v>0</v>
      </c>
      <c r="L358" s="58" t="n">
        <f aca="false">IF(L$5="A",0,IF((Project_Register!$AT$15-Project_Register!$AQ$15)&lt;=0,0,IF(1-Project_Register!$AV$15&lt;=0.000001,IF(Assumptions!L$96=Assumptions!$C$10+1,(Project_Register!$AT$15-Project_Register!$AQ$15),0),(Project_Register!$AT$15-Project_Register!$AQ$15)*(L352-L353)/(1-Project_Register!$AV$15)))*Project_Register!$AB$15)</f>
        <v>0</v>
      </c>
      <c r="M358" s="58" t="n">
        <f aca="false">IF(M$5="A",0,IF((Project_Register!$AT$15-Project_Register!$AQ$15)&lt;=0,0,IF(1-Project_Register!$AV$15&lt;=0.000001,IF(Assumptions!M$96=Assumptions!$C$10+1,(Project_Register!$AT$15-Project_Register!$AQ$15),0),(Project_Register!$AT$15-Project_Register!$AQ$15)*(M352-M353)/(1-Project_Register!$AV$15)))*Project_Register!$AB$15)</f>
        <v>0</v>
      </c>
      <c r="N358" s="58" t="n">
        <f aca="false">IF(N$5="A",0,IF((Project_Register!$AT$15-Project_Register!$AQ$15)&lt;=0,0,IF(1-Project_Register!$AV$15&lt;=0.000001,IF(Assumptions!N$96=Assumptions!$C$10+1,(Project_Register!$AT$15-Project_Register!$AQ$15),0),(Project_Register!$AT$15-Project_Register!$AQ$15)*(N352-N353)/(1-Project_Register!$AV$15)))*Project_Register!$AB$15)</f>
        <v>0</v>
      </c>
      <c r="O358" s="58" t="n">
        <f aca="false">IF(O$5="A",0,IF((Project_Register!$AT$15-Project_Register!$AQ$15)&lt;=0,0,IF(1-Project_Register!$AV$15&lt;=0.000001,IF(Assumptions!O$96=Assumptions!$C$10+1,(Project_Register!$AT$15-Project_Register!$AQ$15),0),(Project_Register!$AT$15-Project_Register!$AQ$15)*(O352-O353)/(1-Project_Register!$AV$15)))*Project_Register!$AB$15)</f>
        <v>0</v>
      </c>
      <c r="P358" s="58" t="n">
        <f aca="false">IF(P$5="A",0,IF((Project_Register!$AT$15-Project_Register!$AQ$15)&lt;=0,0,IF(1-Project_Register!$AV$15&lt;=0.000001,IF(Assumptions!P$96=Assumptions!$C$10+1,(Project_Register!$AT$15-Project_Register!$AQ$15),0),(Project_Register!$AT$15-Project_Register!$AQ$15)*(P352-P353)/(1-Project_Register!$AV$15)))*Project_Register!$AB$15)</f>
        <v>0</v>
      </c>
      <c r="Q358" s="58" t="n">
        <f aca="false">IF(Q$5="A",0,IF((Project_Register!$AT$15-Project_Register!$AQ$15)&lt;=0,0,IF(1-Project_Register!$AV$15&lt;=0.000001,IF(Assumptions!Q$96=Assumptions!$C$10+1,(Project_Register!$AT$15-Project_Register!$AQ$15),0),(Project_Register!$AT$15-Project_Register!$AQ$15)*(Q352-Q353)/(1-Project_Register!$AV$15)))*Project_Register!$AB$15)</f>
        <v>0</v>
      </c>
      <c r="R358" s="58" t="n">
        <f aca="false">IF(R$5="A",0,IF((Project_Register!$AT$15-Project_Register!$AQ$15)&lt;=0,0,IF(1-Project_Register!$AV$15&lt;=0.000001,IF(Assumptions!R$96=Assumptions!$C$10+1,(Project_Register!$AT$15-Project_Register!$AQ$15),0),(Project_Register!$AT$15-Project_Register!$AQ$15)*(R352-R353)/(1-Project_Register!$AV$15)))*Project_Register!$AB$15)</f>
        <v>1684.375</v>
      </c>
      <c r="S358" s="58" t="n">
        <f aca="false">IF(S$5="A",0,IF((Project_Register!$AT$15-Project_Register!$AQ$15)&lt;=0,0,IF(1-Project_Register!$AV$15&lt;=0.000001,IF(Assumptions!S$96=Assumptions!$C$10+1,(Project_Register!$AT$15-Project_Register!$AQ$15),0),(Project_Register!$AT$15-Project_Register!$AQ$15)*(S352-S353)/(1-Project_Register!$AV$15)))*Project_Register!$AB$15)</f>
        <v>4440.625</v>
      </c>
      <c r="T358" s="58" t="n">
        <f aca="false">IF(T$5="A",0,IF((Project_Register!$AT$15-Project_Register!$AQ$15)&lt;=0,0,IF(1-Project_Register!$AV$15&lt;=0.000001,IF(Assumptions!T$96=Assumptions!$C$10+1,(Project_Register!$AT$15-Project_Register!$AQ$15),0),(Project_Register!$AT$15-Project_Register!$AQ$15)*(T352-T353)/(1-Project_Register!$AV$15)))*Project_Register!$AB$15)</f>
        <v>6278.125</v>
      </c>
      <c r="U358" s="58" t="n">
        <f aca="false">IF(U$5="A",0,IF((Project_Register!$AT$15-Project_Register!$AQ$15)&lt;=0,0,IF(1-Project_Register!$AV$15&lt;=0.000001,IF(Assumptions!U$96=Assumptions!$C$10+1,(Project_Register!$AT$15-Project_Register!$AQ$15),0),(Project_Register!$AT$15-Project_Register!$AQ$15)*(U352-U353)/(1-Project_Register!$AV$15)))*Project_Register!$AB$15)</f>
        <v>7196.875</v>
      </c>
      <c r="V358" s="58" t="n">
        <f aca="false">IF(V$5="A",0,IF((Project_Register!$AT$15-Project_Register!$AQ$15)&lt;=0,0,IF(1-Project_Register!$AV$15&lt;=0.000001,IF(Assumptions!V$96=Assumptions!$C$10+1,(Project_Register!$AT$15-Project_Register!$AQ$15),0),(Project_Register!$AT$15-Project_Register!$AQ$15)*(V352-V353)/(1-Project_Register!$AV$15)))*Project_Register!$AB$15)</f>
        <v>7196.875</v>
      </c>
      <c r="W358" s="58" t="n">
        <f aca="false">IF(W$5="A",0,IF((Project_Register!$AT$15-Project_Register!$AQ$15)&lt;=0,0,IF(1-Project_Register!$AV$15&lt;=0.000001,IF(Assumptions!W$96=Assumptions!$C$10+1,(Project_Register!$AT$15-Project_Register!$AQ$15),0),(Project_Register!$AT$15-Project_Register!$AQ$15)*(W352-W353)/(1-Project_Register!$AV$15)))*Project_Register!$AB$15)</f>
        <v>6278.125</v>
      </c>
      <c r="X358" s="58" t="n">
        <f aca="false">IF(X$5="A",0,IF((Project_Register!$AT$15-Project_Register!$AQ$15)&lt;=0,0,IF(1-Project_Register!$AV$15&lt;=0.000001,IF(Assumptions!X$96=Assumptions!$C$10+1,(Project_Register!$AT$15-Project_Register!$AQ$15),0),(Project_Register!$AT$15-Project_Register!$AQ$15)*(X352-X353)/(1-Project_Register!$AV$15)))*Project_Register!$AB$15)</f>
        <v>4440.625</v>
      </c>
      <c r="Y358" s="58" t="n">
        <f aca="false">IF(Y$5="A",0,IF((Project_Register!$AT$15-Project_Register!$AQ$15)&lt;=0,0,IF(1-Project_Register!$AV$15&lt;=0.000001,IF(Assumptions!Y$96=Assumptions!$C$10+1,(Project_Register!$AT$15-Project_Register!$AQ$15),0),(Project_Register!$AT$15-Project_Register!$AQ$15)*(Y352-Y353)/(1-Project_Register!$AV$15)))*Project_Register!$AB$15)</f>
        <v>1684.375</v>
      </c>
      <c r="Z358" s="58" t="n">
        <f aca="false">IF(Z$5="A",0,IF((Project_Register!$AT$15-Project_Register!$AQ$15)&lt;=0,0,IF(1-Project_Register!$AV$15&lt;=0.000001,IF(Assumptions!Z$96=Assumptions!$C$10+1,(Project_Register!$AT$15-Project_Register!$AQ$15),0),(Project_Register!$AT$15-Project_Register!$AQ$15)*(Z352-Z353)/(1-Project_Register!$AV$15)))*Project_Register!$AB$15)</f>
        <v>0</v>
      </c>
      <c r="AA358" s="58" t="n">
        <f aca="false">IF(AA$5="A",0,IF((Project_Register!$AT$15-Project_Register!$AQ$15)&lt;=0,0,IF(1-Project_Register!$AV$15&lt;=0.000001,IF(Assumptions!AA$96=Assumptions!$C$10+1,(Project_Register!$AT$15-Project_Register!$AQ$15),0),(Project_Register!$AT$15-Project_Register!$AQ$15)*(AA352-AA353)/(1-Project_Register!$AV$15)))*Project_Register!$AB$15)</f>
        <v>0</v>
      </c>
      <c r="AB358" s="58" t="n">
        <f aca="false">IF(AB$5="A",0,IF((Project_Register!$AT$15-Project_Register!$AQ$15)&lt;=0,0,IF(1-Project_Register!$AV$15&lt;=0.000001,IF(Assumptions!AB$96=Assumptions!$C$10+1,(Project_Register!$AT$15-Project_Register!$AQ$15),0),(Project_Register!$AT$15-Project_Register!$AQ$15)*(AB352-AB353)/(1-Project_Register!$AV$15)))*Project_Register!$AB$15)</f>
        <v>0</v>
      </c>
    </row>
    <row r="359" customFormat="false" ht="15" hidden="false" customHeight="false" outlineLevel="0" collapsed="false">
      <c r="A359" s="67" t="s">
        <v>727</v>
      </c>
      <c r="B359" s="68" t="s">
        <v>728</v>
      </c>
      <c r="C359" s="69" t="n">
        <f aca="false">SUM(E359:P359)</f>
        <v>0</v>
      </c>
      <c r="D359" s="69" t="n">
        <f aca="false">SUM(Q359:AB359)</f>
        <v>560000</v>
      </c>
      <c r="E359" s="69" t="n">
        <f aca="false">SUM(E354:E358)</f>
        <v>0</v>
      </c>
      <c r="F359" s="69" t="n">
        <f aca="false">SUM(F354:F358)</f>
        <v>0</v>
      </c>
      <c r="G359" s="69" t="n">
        <f aca="false">SUM(G354:G358)</f>
        <v>0</v>
      </c>
      <c r="H359" s="69" t="n">
        <f aca="false">SUM(H354:H358)</f>
        <v>0</v>
      </c>
      <c r="I359" s="69" t="n">
        <f aca="false">SUM(I354:I358)</f>
        <v>0</v>
      </c>
      <c r="J359" s="69" t="n">
        <f aca="false">SUM(J354:J358)</f>
        <v>0</v>
      </c>
      <c r="K359" s="69" t="n">
        <f aca="false">SUM(K354:K358)</f>
        <v>0</v>
      </c>
      <c r="L359" s="69" t="n">
        <f aca="false">SUM(L354:L358)</f>
        <v>0</v>
      </c>
      <c r="M359" s="69" t="n">
        <f aca="false">SUM(M354:M358)</f>
        <v>0</v>
      </c>
      <c r="N359" s="69" t="n">
        <f aca="false">SUM(N354:N358)</f>
        <v>0</v>
      </c>
      <c r="O359" s="69" t="n">
        <f aca="false">SUM(O354:O358)</f>
        <v>0</v>
      </c>
      <c r="P359" s="69" t="n">
        <f aca="false">SUM(P354:P358)</f>
        <v>0</v>
      </c>
      <c r="Q359" s="69" t="n">
        <f aca="false">SUM(Q354:Q358)</f>
        <v>0</v>
      </c>
      <c r="R359" s="69" t="n">
        <f aca="false">SUM(R354:R358)</f>
        <v>24062.5</v>
      </c>
      <c r="S359" s="69" t="n">
        <f aca="false">SUM(S354:S358)</f>
        <v>63437.5</v>
      </c>
      <c r="T359" s="69" t="n">
        <f aca="false">SUM(T354:T358)</f>
        <v>89687.5</v>
      </c>
      <c r="U359" s="69" t="n">
        <f aca="false">SUM(U354:U358)</f>
        <v>102812.5</v>
      </c>
      <c r="V359" s="69" t="n">
        <f aca="false">SUM(V354:V358)</f>
        <v>102812.5</v>
      </c>
      <c r="W359" s="69" t="n">
        <f aca="false">SUM(W354:W358)</f>
        <v>89687.5</v>
      </c>
      <c r="X359" s="69" t="n">
        <f aca="false">SUM(X354:X358)</f>
        <v>63437.5</v>
      </c>
      <c r="Y359" s="69" t="n">
        <f aca="false">SUM(Y354:Y358)</f>
        <v>24062.5</v>
      </c>
      <c r="Z359" s="69" t="n">
        <f aca="false">SUM(Z354:Z358)</f>
        <v>0</v>
      </c>
      <c r="AA359" s="69" t="n">
        <f aca="false">SUM(AA354:AA358)</f>
        <v>0</v>
      </c>
      <c r="AB359" s="69" t="n">
        <f aca="false">SUM(AB354:AB358)</f>
        <v>0</v>
      </c>
    </row>
    <row r="360" customFormat="false" ht="15" hidden="false" customHeight="false" outlineLevel="0" collapsed="false">
      <c r="A360" s="27" t="s">
        <v>729</v>
      </c>
      <c r="B360" s="56" t="s">
        <v>730</v>
      </c>
      <c r="C360" s="57" t="n">
        <f aca="false">P360</f>
        <v>0</v>
      </c>
      <c r="D360" s="57" t="n">
        <f aca="false">AB360</f>
        <v>560000</v>
      </c>
      <c r="E360" s="58" t="n">
        <f aca="false">Project_Register!$AC$15+E359</f>
        <v>0</v>
      </c>
      <c r="F360" s="70" t="n">
        <f aca="false">E360+F359</f>
        <v>0</v>
      </c>
      <c r="G360" s="70" t="n">
        <f aca="false">F360+G359</f>
        <v>0</v>
      </c>
      <c r="H360" s="70" t="n">
        <f aca="false">G360+H359</f>
        <v>0</v>
      </c>
      <c r="I360" s="70" t="n">
        <f aca="false">H360+I359</f>
        <v>0</v>
      </c>
      <c r="J360" s="70" t="n">
        <f aca="false">I360+J359</f>
        <v>0</v>
      </c>
      <c r="K360" s="70" t="n">
        <f aca="false">J360+K359</f>
        <v>0</v>
      </c>
      <c r="L360" s="70" t="n">
        <f aca="false">K360+L359</f>
        <v>0</v>
      </c>
      <c r="M360" s="70" t="n">
        <f aca="false">L360+M359</f>
        <v>0</v>
      </c>
      <c r="N360" s="70" t="n">
        <f aca="false">M360+N359</f>
        <v>0</v>
      </c>
      <c r="O360" s="70" t="n">
        <f aca="false">N360+O359</f>
        <v>0</v>
      </c>
      <c r="P360" s="70" t="n">
        <f aca="false">O360+P359</f>
        <v>0</v>
      </c>
      <c r="Q360" s="70" t="n">
        <f aca="false">P360+Q359</f>
        <v>0</v>
      </c>
      <c r="R360" s="70" t="n">
        <f aca="false">Q360+R359</f>
        <v>24062.5</v>
      </c>
      <c r="S360" s="70" t="n">
        <f aca="false">R360+S359</f>
        <v>87500</v>
      </c>
      <c r="T360" s="70" t="n">
        <f aca="false">S360+T359</f>
        <v>177187.5</v>
      </c>
      <c r="U360" s="70" t="n">
        <f aca="false">T360+U359</f>
        <v>280000</v>
      </c>
      <c r="V360" s="70" t="n">
        <f aca="false">U360+V359</f>
        <v>382812.5</v>
      </c>
      <c r="W360" s="70" t="n">
        <f aca="false">V360+W359</f>
        <v>472500</v>
      </c>
      <c r="X360" s="70" t="n">
        <f aca="false">W360+X359</f>
        <v>535937.5</v>
      </c>
      <c r="Y360" s="70" t="n">
        <f aca="false">X360+Y359</f>
        <v>560000</v>
      </c>
      <c r="Z360" s="70" t="n">
        <f aca="false">Y360+Z359</f>
        <v>560000</v>
      </c>
      <c r="AA360" s="70" t="n">
        <f aca="false">Z360+AA359</f>
        <v>560000</v>
      </c>
      <c r="AB360" s="70" t="n">
        <f aca="false">AA360+AB359</f>
        <v>560000</v>
      </c>
    </row>
    <row r="361" customFormat="false" ht="15" hidden="false" customHeight="false" outlineLevel="0" collapsed="false">
      <c r="A361" s="27" t="s">
        <v>731</v>
      </c>
      <c r="B361" s="56" t="s">
        <v>732</v>
      </c>
      <c r="C361" s="57" t="n">
        <f aca="false">P361</f>
        <v>560000</v>
      </c>
      <c r="D361" s="57" t="n">
        <f aca="false">AB361</f>
        <v>560000</v>
      </c>
      <c r="E361" s="58" t="n">
        <f aca="false">IF(E$5="A",IF(E360+Project_Register!$AP$15&lt;=0,Project_Register!$AP$15,E360+Project_Register!$AP$15),Project_Register!$AT$15)</f>
        <v>560000</v>
      </c>
      <c r="F361" s="58" t="n">
        <f aca="false">IF(F$5="A",IF(F360+Project_Register!$AP$15&lt;=0,Project_Register!$AP$15,F360+Project_Register!$AP$15),Project_Register!$AT$15)</f>
        <v>560000</v>
      </c>
      <c r="G361" s="58" t="n">
        <f aca="false">IF(G$5="A",IF(G360+Project_Register!$AP$15&lt;=0,Project_Register!$AP$15,G360+Project_Register!$AP$15),Project_Register!$AT$15)</f>
        <v>560000</v>
      </c>
      <c r="H361" s="58" t="n">
        <f aca="false">IF(H$5="A",IF(H360+Project_Register!$AP$15&lt;=0,Project_Register!$AP$15,H360+Project_Register!$AP$15),Project_Register!$AT$15)</f>
        <v>560000</v>
      </c>
      <c r="I361" s="58" t="n">
        <f aca="false">IF(I$5="A",IF(I360+Project_Register!$AP$15&lt;=0,Project_Register!$AP$15,I360+Project_Register!$AP$15),Project_Register!$AT$15)</f>
        <v>560000</v>
      </c>
      <c r="J361" s="58" t="n">
        <f aca="false">IF(J$5="A",IF(J360+Project_Register!$AP$15&lt;=0,Project_Register!$AP$15,J360+Project_Register!$AP$15),Project_Register!$AT$15)</f>
        <v>560000</v>
      </c>
      <c r="K361" s="58" t="n">
        <f aca="false">IF(K$5="A",IF(K360+Project_Register!$AP$15&lt;=0,Project_Register!$AP$15,K360+Project_Register!$AP$15),Project_Register!$AT$15)</f>
        <v>560000</v>
      </c>
      <c r="L361" s="58" t="n">
        <f aca="false">IF(L$5="A",IF(L360+Project_Register!$AP$15&lt;=0,Project_Register!$AP$15,L360+Project_Register!$AP$15),Project_Register!$AT$15)</f>
        <v>560000</v>
      </c>
      <c r="M361" s="58" t="n">
        <f aca="false">IF(M$5="A",IF(M360+Project_Register!$AP$15&lt;=0,Project_Register!$AP$15,M360+Project_Register!$AP$15),Project_Register!$AT$15)</f>
        <v>560000</v>
      </c>
      <c r="N361" s="58" t="n">
        <f aca="false">IF(N$5="A",IF(N360+Project_Register!$AP$15&lt;=0,Project_Register!$AP$15,N360+Project_Register!$AP$15),Project_Register!$AT$15)</f>
        <v>560000</v>
      </c>
      <c r="O361" s="58" t="n">
        <f aca="false">IF(O$5="A",IF(O360+Project_Register!$AP$15&lt;=0,Project_Register!$AP$15,O360+Project_Register!$AP$15),Project_Register!$AT$15)</f>
        <v>560000</v>
      </c>
      <c r="P361" s="58" t="n">
        <f aca="false">IF(P$5="A",IF(P360+Project_Register!$AP$15&lt;=0,Project_Register!$AP$15,P360+Project_Register!$AP$15),Project_Register!$AT$15)</f>
        <v>560000</v>
      </c>
      <c r="Q361" s="58" t="n">
        <f aca="false">IF(Q$5="A",IF(Q360+Project_Register!$AP$15&lt;=0,Project_Register!$AP$15,Q360+Project_Register!$AP$15),Project_Register!$AT$15)</f>
        <v>560000</v>
      </c>
      <c r="R361" s="58" t="n">
        <f aca="false">IF(R$5="A",IF(R360+Project_Register!$AP$15&lt;=0,Project_Register!$AP$15,R360+Project_Register!$AP$15),Project_Register!$AT$15)</f>
        <v>560000</v>
      </c>
      <c r="S361" s="58" t="n">
        <f aca="false">IF(S$5="A",IF(S360+Project_Register!$AP$15&lt;=0,Project_Register!$AP$15,S360+Project_Register!$AP$15),Project_Register!$AT$15)</f>
        <v>560000</v>
      </c>
      <c r="T361" s="58" t="n">
        <f aca="false">IF(T$5="A",IF(T360+Project_Register!$AP$15&lt;=0,Project_Register!$AP$15,T360+Project_Register!$AP$15),Project_Register!$AT$15)</f>
        <v>560000</v>
      </c>
      <c r="U361" s="58" t="n">
        <f aca="false">IF(U$5="A",IF(U360+Project_Register!$AP$15&lt;=0,Project_Register!$AP$15,U360+Project_Register!$AP$15),Project_Register!$AT$15)</f>
        <v>560000</v>
      </c>
      <c r="V361" s="58" t="n">
        <f aca="false">IF(V$5="A",IF(V360+Project_Register!$AP$15&lt;=0,Project_Register!$AP$15,V360+Project_Register!$AP$15),Project_Register!$AT$15)</f>
        <v>560000</v>
      </c>
      <c r="W361" s="58" t="n">
        <f aca="false">IF(W$5="A",IF(W360+Project_Register!$AP$15&lt;=0,Project_Register!$AP$15,W360+Project_Register!$AP$15),Project_Register!$AT$15)</f>
        <v>560000</v>
      </c>
      <c r="X361" s="58" t="n">
        <f aca="false">IF(X$5="A",IF(X360+Project_Register!$AP$15&lt;=0,Project_Register!$AP$15,X360+Project_Register!$AP$15),Project_Register!$AT$15)</f>
        <v>560000</v>
      </c>
      <c r="Y361" s="58" t="n">
        <f aca="false">IF(Y$5="A",IF(Y360+Project_Register!$AP$15&lt;=0,Project_Register!$AP$15,Y360+Project_Register!$AP$15),Project_Register!$AT$15)</f>
        <v>560000</v>
      </c>
      <c r="Z361" s="58" t="n">
        <f aca="false">IF(Z$5="A",IF(Z360+Project_Register!$AP$15&lt;=0,Project_Register!$AP$15,Z360+Project_Register!$AP$15),Project_Register!$AT$15)</f>
        <v>560000</v>
      </c>
      <c r="AA361" s="58" t="n">
        <f aca="false">IF(AA$5="A",IF(AA360+Project_Register!$AP$15&lt;=0,Project_Register!$AP$15,AA360+Project_Register!$AP$15),Project_Register!$AT$15)</f>
        <v>560000</v>
      </c>
      <c r="AB361" s="58" t="n">
        <f aca="false">IF(AB$5="A",IF(AB360+Project_Register!$AP$15&lt;=0,Project_Register!$AP$15,AB360+Project_Register!$AP$15),Project_Register!$AT$15)</f>
        <v>560000</v>
      </c>
    </row>
    <row r="362" customFormat="false" ht="15" hidden="false" customHeight="false" outlineLevel="0" collapsed="false">
      <c r="A362" s="27" t="s">
        <v>733</v>
      </c>
      <c r="B362" s="56" t="s">
        <v>734</v>
      </c>
      <c r="C362" s="59" t="n">
        <f aca="false">P362</f>
        <v>0</v>
      </c>
      <c r="D362" s="59" t="n">
        <f aca="false">AB362</f>
        <v>1</v>
      </c>
      <c r="E362" s="60" t="n">
        <f aca="false">IF(E361&lt;=0,0,MIN(1,E360/E361))</f>
        <v>0</v>
      </c>
      <c r="F362" s="60" t="n">
        <f aca="false">IF(F361&lt;=0,0,MIN(1,F360/F361))</f>
        <v>0</v>
      </c>
      <c r="G362" s="60" t="n">
        <f aca="false">IF(G361&lt;=0,0,MIN(1,G360/G361))</f>
        <v>0</v>
      </c>
      <c r="H362" s="60" t="n">
        <f aca="false">IF(H361&lt;=0,0,MIN(1,H360/H361))</f>
        <v>0</v>
      </c>
      <c r="I362" s="60" t="n">
        <f aca="false">IF(I361&lt;=0,0,MIN(1,I360/I361))</f>
        <v>0</v>
      </c>
      <c r="J362" s="60" t="n">
        <f aca="false">IF(J361&lt;=0,0,MIN(1,J360/J361))</f>
        <v>0</v>
      </c>
      <c r="K362" s="60" t="n">
        <f aca="false">IF(K361&lt;=0,0,MIN(1,K360/K361))</f>
        <v>0</v>
      </c>
      <c r="L362" s="60" t="n">
        <f aca="false">IF(L361&lt;=0,0,MIN(1,L360/L361))</f>
        <v>0</v>
      </c>
      <c r="M362" s="60" t="n">
        <f aca="false">IF(M361&lt;=0,0,MIN(1,M360/M361))</f>
        <v>0</v>
      </c>
      <c r="N362" s="60" t="n">
        <f aca="false">IF(N361&lt;=0,0,MIN(1,N360/N361))</f>
        <v>0</v>
      </c>
      <c r="O362" s="60" t="n">
        <f aca="false">IF(O361&lt;=0,0,MIN(1,O360/O361))</f>
        <v>0</v>
      </c>
      <c r="P362" s="60" t="n">
        <f aca="false">IF(P361&lt;=0,0,MIN(1,P360/P361))</f>
        <v>0</v>
      </c>
      <c r="Q362" s="60" t="n">
        <f aca="false">IF(Q361&lt;=0,0,MIN(1,Q360/Q361))</f>
        <v>0</v>
      </c>
      <c r="R362" s="60" t="n">
        <f aca="false">IF(R361&lt;=0,0,MIN(1,R360/R361))</f>
        <v>0.04296875</v>
      </c>
      <c r="S362" s="60" t="n">
        <f aca="false">IF(S361&lt;=0,0,MIN(1,S360/S361))</f>
        <v>0.15625</v>
      </c>
      <c r="T362" s="60" t="n">
        <f aca="false">IF(T361&lt;=0,0,MIN(1,T360/T361))</f>
        <v>0.31640625</v>
      </c>
      <c r="U362" s="60" t="n">
        <f aca="false">IF(U361&lt;=0,0,MIN(1,U360/U361))</f>
        <v>0.5</v>
      </c>
      <c r="V362" s="60" t="n">
        <f aca="false">IF(V361&lt;=0,0,MIN(1,V360/V361))</f>
        <v>0.68359375</v>
      </c>
      <c r="W362" s="60" t="n">
        <f aca="false">IF(W361&lt;=0,0,MIN(1,W360/W361))</f>
        <v>0.84375</v>
      </c>
      <c r="X362" s="60" t="n">
        <f aca="false">IF(X361&lt;=0,0,MIN(1,X360/X361))</f>
        <v>0.95703125</v>
      </c>
      <c r="Y362" s="60" t="n">
        <f aca="false">IF(Y361&lt;=0,0,MIN(1,Y360/Y361))</f>
        <v>1</v>
      </c>
      <c r="Z362" s="60" t="n">
        <f aca="false">IF(Z361&lt;=0,0,MIN(1,Z360/Z361))</f>
        <v>1</v>
      </c>
      <c r="AA362" s="60" t="n">
        <f aca="false">IF(AA361&lt;=0,0,MIN(1,AA360/AA361))</f>
        <v>1</v>
      </c>
      <c r="AB362" s="60" t="n">
        <f aca="false">IF(AB361&lt;=0,0,MIN(1,AB360/AB361))</f>
        <v>1</v>
      </c>
    </row>
    <row r="363" customFormat="false" ht="15" hidden="false" customHeight="false" outlineLevel="0" collapsed="false">
      <c r="A363" s="27" t="s">
        <v>735</v>
      </c>
      <c r="B363" s="56" t="s">
        <v>736</v>
      </c>
      <c r="C363" s="57" t="n">
        <f aca="false">P363</f>
        <v>0</v>
      </c>
      <c r="D363" s="57" t="n">
        <f aca="false">AB363</f>
        <v>0</v>
      </c>
      <c r="E363" s="58" t="n">
        <f aca="false">SUMIFS(Variations!$H$6:$H$21,Variations!$B$6:$B$21,"CF-P01",Variations!$F$6:$F$21,"Approved",Variations!$G$6:$G$21,"&lt;="&amp;Assumptions!E$95)</f>
        <v>0</v>
      </c>
      <c r="F363" s="58" t="n">
        <f aca="false">SUMIFS(Variations!$H$6:$H$21,Variations!$B$6:$B$21,"CF-P01",Variations!$F$6:$F$21,"Approved",Variations!$G$6:$G$21,"&lt;="&amp;Assumptions!F$95)</f>
        <v>0</v>
      </c>
      <c r="G363" s="58" t="n">
        <f aca="false">SUMIFS(Variations!$H$6:$H$21,Variations!$B$6:$B$21,"CF-P01",Variations!$F$6:$F$21,"Approved",Variations!$G$6:$G$21,"&lt;="&amp;Assumptions!G$95)</f>
        <v>0</v>
      </c>
      <c r="H363" s="58" t="n">
        <f aca="false">SUMIFS(Variations!$H$6:$H$21,Variations!$B$6:$B$21,"CF-P01",Variations!$F$6:$F$21,"Approved",Variations!$G$6:$G$21,"&lt;="&amp;Assumptions!H$95)</f>
        <v>0</v>
      </c>
      <c r="I363" s="58" t="n">
        <f aca="false">SUMIFS(Variations!$H$6:$H$21,Variations!$B$6:$B$21,"CF-P01",Variations!$F$6:$F$21,"Approved",Variations!$G$6:$G$21,"&lt;="&amp;Assumptions!I$95)</f>
        <v>0</v>
      </c>
      <c r="J363" s="58" t="n">
        <f aca="false">SUMIFS(Variations!$H$6:$H$21,Variations!$B$6:$B$21,"CF-P01",Variations!$F$6:$F$21,"Approved",Variations!$G$6:$G$21,"&lt;="&amp;Assumptions!J$95)</f>
        <v>0</v>
      </c>
      <c r="K363" s="58" t="n">
        <f aca="false">SUMIFS(Variations!$H$6:$H$21,Variations!$B$6:$B$21,"CF-P01",Variations!$F$6:$F$21,"Approved",Variations!$G$6:$G$21,"&lt;="&amp;Assumptions!K$95)</f>
        <v>0</v>
      </c>
      <c r="L363" s="58" t="n">
        <f aca="false">SUMIFS(Variations!$H$6:$H$21,Variations!$B$6:$B$21,"CF-P01",Variations!$F$6:$F$21,"Approved",Variations!$G$6:$G$21,"&lt;="&amp;Assumptions!L$95)</f>
        <v>0</v>
      </c>
      <c r="M363" s="58" t="n">
        <f aca="false">SUMIFS(Variations!$H$6:$H$21,Variations!$B$6:$B$21,"CF-P01",Variations!$F$6:$F$21,"Approved",Variations!$G$6:$G$21,"&lt;="&amp;Assumptions!M$95)</f>
        <v>0</v>
      </c>
      <c r="N363" s="58" t="n">
        <f aca="false">SUMIFS(Variations!$H$6:$H$21,Variations!$B$6:$B$21,"CF-P01",Variations!$F$6:$F$21,"Approved",Variations!$G$6:$G$21,"&lt;="&amp;Assumptions!N$95)</f>
        <v>0</v>
      </c>
      <c r="O363" s="58" t="n">
        <f aca="false">SUMIFS(Variations!$H$6:$H$21,Variations!$B$6:$B$21,"CF-P01",Variations!$F$6:$F$21,"Approved",Variations!$G$6:$G$21,"&lt;="&amp;Assumptions!O$95)</f>
        <v>0</v>
      </c>
      <c r="P363" s="58" t="n">
        <f aca="false">SUMIFS(Variations!$H$6:$H$21,Variations!$B$6:$B$21,"CF-P01",Variations!$F$6:$F$21,"Approved",Variations!$G$6:$G$21,"&lt;="&amp;Assumptions!P$95)</f>
        <v>0</v>
      </c>
      <c r="Q363" s="58" t="n">
        <f aca="false">SUMIFS(Variations!$H$6:$H$21,Variations!$B$6:$B$21,"CF-P01",Variations!$F$6:$F$21,"Approved",Variations!$G$6:$G$21,"&lt;="&amp;Assumptions!Q$95)</f>
        <v>0</v>
      </c>
      <c r="R363" s="58" t="n">
        <f aca="false">SUMIFS(Variations!$H$6:$H$21,Variations!$B$6:$B$21,"CF-P01",Variations!$F$6:$F$21,"Approved",Variations!$G$6:$G$21,"&lt;="&amp;Assumptions!R$95)</f>
        <v>0</v>
      </c>
      <c r="S363" s="58" t="n">
        <f aca="false">SUMIFS(Variations!$H$6:$H$21,Variations!$B$6:$B$21,"CF-P01",Variations!$F$6:$F$21,"Approved",Variations!$G$6:$G$21,"&lt;="&amp;Assumptions!S$95)</f>
        <v>0</v>
      </c>
      <c r="T363" s="58" t="n">
        <f aca="false">SUMIFS(Variations!$H$6:$H$21,Variations!$B$6:$B$21,"CF-P01",Variations!$F$6:$F$21,"Approved",Variations!$G$6:$G$21,"&lt;="&amp;Assumptions!T$95)</f>
        <v>0</v>
      </c>
      <c r="U363" s="58" t="n">
        <f aca="false">SUMIFS(Variations!$H$6:$H$21,Variations!$B$6:$B$21,"CF-P01",Variations!$F$6:$F$21,"Approved",Variations!$G$6:$G$21,"&lt;="&amp;Assumptions!U$95)</f>
        <v>0</v>
      </c>
      <c r="V363" s="58" t="n">
        <f aca="false">SUMIFS(Variations!$H$6:$H$21,Variations!$B$6:$B$21,"CF-P01",Variations!$F$6:$F$21,"Approved",Variations!$G$6:$G$21,"&lt;="&amp;Assumptions!V$95)</f>
        <v>0</v>
      </c>
      <c r="W363" s="58" t="n">
        <f aca="false">SUMIFS(Variations!$H$6:$H$21,Variations!$B$6:$B$21,"CF-P01",Variations!$F$6:$F$21,"Approved",Variations!$G$6:$G$21,"&lt;="&amp;Assumptions!W$95)</f>
        <v>0</v>
      </c>
      <c r="X363" s="58" t="n">
        <f aca="false">SUMIFS(Variations!$H$6:$H$21,Variations!$B$6:$B$21,"CF-P01",Variations!$F$6:$F$21,"Approved",Variations!$G$6:$G$21,"&lt;="&amp;Assumptions!X$95)</f>
        <v>0</v>
      </c>
      <c r="Y363" s="58" t="n">
        <f aca="false">SUMIFS(Variations!$H$6:$H$21,Variations!$B$6:$B$21,"CF-P01",Variations!$F$6:$F$21,"Approved",Variations!$G$6:$G$21,"&lt;="&amp;Assumptions!Y$95)</f>
        <v>0</v>
      </c>
      <c r="Z363" s="58" t="n">
        <f aca="false">SUMIFS(Variations!$H$6:$H$21,Variations!$B$6:$B$21,"CF-P01",Variations!$F$6:$F$21,"Approved",Variations!$G$6:$G$21,"&lt;="&amp;Assumptions!Z$95)</f>
        <v>0</v>
      </c>
      <c r="AA363" s="58" t="n">
        <f aca="false">SUMIFS(Variations!$H$6:$H$21,Variations!$B$6:$B$21,"CF-P01",Variations!$F$6:$F$21,"Approved",Variations!$G$6:$G$21,"&lt;="&amp;Assumptions!AA$95)</f>
        <v>0</v>
      </c>
      <c r="AB363" s="58" t="n">
        <f aca="false">SUMIFS(Variations!$H$6:$H$21,Variations!$B$6:$B$21,"CF-P01",Variations!$F$6:$F$21,"Approved",Variations!$G$6:$G$21,"&lt;="&amp;Assumptions!AB$95)</f>
        <v>0</v>
      </c>
    </row>
    <row r="364" customFormat="false" ht="15" hidden="false" customHeight="false" outlineLevel="0" collapsed="false">
      <c r="A364" s="27" t="s">
        <v>737</v>
      </c>
      <c r="B364" s="56"/>
      <c r="C364" s="57" t="n">
        <f aca="false">P364</f>
        <v>0</v>
      </c>
      <c r="D364" s="57" t="n">
        <f aca="false">AB364</f>
        <v>0</v>
      </c>
      <c r="E364" s="58" t="n">
        <f aca="false">SUMIFS(Variations!$E$6:$E$21,Variations!$B$6:$B$21,"CF-P01",Variations!$D$6:$D$21,"&lt;="&amp;Assumptions!E$95,Variations!$G$6:$G$21,"&gt;"&amp;Assumptions!E$95)</f>
        <v>0</v>
      </c>
      <c r="F364" s="58" t="n">
        <f aca="false">SUMIFS(Variations!$E$6:$E$21,Variations!$B$6:$B$21,"CF-P01",Variations!$D$6:$D$21,"&lt;="&amp;Assumptions!F$95,Variations!$G$6:$G$21,"&gt;"&amp;Assumptions!F$95)</f>
        <v>0</v>
      </c>
      <c r="G364" s="58" t="n">
        <f aca="false">SUMIFS(Variations!$E$6:$E$21,Variations!$B$6:$B$21,"CF-P01",Variations!$D$6:$D$21,"&lt;="&amp;Assumptions!G$95,Variations!$G$6:$G$21,"&gt;"&amp;Assumptions!G$95)</f>
        <v>0</v>
      </c>
      <c r="H364" s="58" t="n">
        <f aca="false">SUMIFS(Variations!$E$6:$E$21,Variations!$B$6:$B$21,"CF-P01",Variations!$D$6:$D$21,"&lt;="&amp;Assumptions!H$95,Variations!$G$6:$G$21,"&gt;"&amp;Assumptions!H$95)</f>
        <v>0</v>
      </c>
      <c r="I364" s="58" t="n">
        <f aca="false">SUMIFS(Variations!$E$6:$E$21,Variations!$B$6:$B$21,"CF-P01",Variations!$D$6:$D$21,"&lt;="&amp;Assumptions!I$95,Variations!$G$6:$G$21,"&gt;"&amp;Assumptions!I$95)</f>
        <v>0</v>
      </c>
      <c r="J364" s="58" t="n">
        <f aca="false">SUMIFS(Variations!$E$6:$E$21,Variations!$B$6:$B$21,"CF-P01",Variations!$D$6:$D$21,"&lt;="&amp;Assumptions!J$95,Variations!$G$6:$G$21,"&gt;"&amp;Assumptions!J$95)</f>
        <v>0</v>
      </c>
      <c r="K364" s="58" t="n">
        <f aca="false">SUMIFS(Variations!$E$6:$E$21,Variations!$B$6:$B$21,"CF-P01",Variations!$D$6:$D$21,"&lt;="&amp;Assumptions!K$95,Variations!$G$6:$G$21,"&gt;"&amp;Assumptions!K$95)</f>
        <v>0</v>
      </c>
      <c r="L364" s="58" t="n">
        <f aca="false">SUMIFS(Variations!$E$6:$E$21,Variations!$B$6:$B$21,"CF-P01",Variations!$D$6:$D$21,"&lt;="&amp;Assumptions!L$95,Variations!$G$6:$G$21,"&gt;"&amp;Assumptions!L$95)</f>
        <v>0</v>
      </c>
      <c r="M364" s="58" t="n">
        <f aca="false">SUMIFS(Variations!$E$6:$E$21,Variations!$B$6:$B$21,"CF-P01",Variations!$D$6:$D$21,"&lt;="&amp;Assumptions!M$95,Variations!$G$6:$G$21,"&gt;"&amp;Assumptions!M$95)</f>
        <v>0</v>
      </c>
      <c r="N364" s="58" t="n">
        <f aca="false">SUMIFS(Variations!$E$6:$E$21,Variations!$B$6:$B$21,"CF-P01",Variations!$D$6:$D$21,"&lt;="&amp;Assumptions!N$95,Variations!$G$6:$G$21,"&gt;"&amp;Assumptions!N$95)</f>
        <v>0</v>
      </c>
      <c r="O364" s="58" t="n">
        <f aca="false">SUMIFS(Variations!$E$6:$E$21,Variations!$B$6:$B$21,"CF-P01",Variations!$D$6:$D$21,"&lt;="&amp;Assumptions!O$95,Variations!$G$6:$G$21,"&gt;"&amp;Assumptions!O$95)</f>
        <v>0</v>
      </c>
      <c r="P364" s="58" t="n">
        <f aca="false">SUMIFS(Variations!$E$6:$E$21,Variations!$B$6:$B$21,"CF-P01",Variations!$D$6:$D$21,"&lt;="&amp;Assumptions!P$95,Variations!$G$6:$G$21,"&gt;"&amp;Assumptions!P$95)</f>
        <v>0</v>
      </c>
      <c r="Q364" s="58" t="n">
        <f aca="false">SUMIFS(Variations!$E$6:$E$21,Variations!$B$6:$B$21,"CF-P01",Variations!$D$6:$D$21,"&lt;="&amp;Assumptions!Q$95,Variations!$G$6:$G$21,"&gt;"&amp;Assumptions!Q$95)</f>
        <v>0</v>
      </c>
      <c r="R364" s="58" t="n">
        <f aca="false">SUMIFS(Variations!$E$6:$E$21,Variations!$B$6:$B$21,"CF-P01",Variations!$D$6:$D$21,"&lt;="&amp;Assumptions!R$95,Variations!$G$6:$G$21,"&gt;"&amp;Assumptions!R$95)</f>
        <v>0</v>
      </c>
      <c r="S364" s="58" t="n">
        <f aca="false">SUMIFS(Variations!$E$6:$E$21,Variations!$B$6:$B$21,"CF-P01",Variations!$D$6:$D$21,"&lt;="&amp;Assumptions!S$95,Variations!$G$6:$G$21,"&gt;"&amp;Assumptions!S$95)</f>
        <v>0</v>
      </c>
      <c r="T364" s="58" t="n">
        <f aca="false">SUMIFS(Variations!$E$6:$E$21,Variations!$B$6:$B$21,"CF-P01",Variations!$D$6:$D$21,"&lt;="&amp;Assumptions!T$95,Variations!$G$6:$G$21,"&gt;"&amp;Assumptions!T$95)</f>
        <v>0</v>
      </c>
      <c r="U364" s="58" t="n">
        <f aca="false">SUMIFS(Variations!$E$6:$E$21,Variations!$B$6:$B$21,"CF-P01",Variations!$D$6:$D$21,"&lt;="&amp;Assumptions!U$95,Variations!$G$6:$G$21,"&gt;"&amp;Assumptions!U$95)</f>
        <v>0</v>
      </c>
      <c r="V364" s="58" t="n">
        <f aca="false">SUMIFS(Variations!$E$6:$E$21,Variations!$B$6:$B$21,"CF-P01",Variations!$D$6:$D$21,"&lt;="&amp;Assumptions!V$95,Variations!$G$6:$G$21,"&gt;"&amp;Assumptions!V$95)</f>
        <v>0</v>
      </c>
      <c r="W364" s="58" t="n">
        <f aca="false">SUMIFS(Variations!$E$6:$E$21,Variations!$B$6:$B$21,"CF-P01",Variations!$D$6:$D$21,"&lt;="&amp;Assumptions!W$95,Variations!$G$6:$G$21,"&gt;"&amp;Assumptions!W$95)</f>
        <v>0</v>
      </c>
      <c r="X364" s="58" t="n">
        <f aca="false">SUMIFS(Variations!$E$6:$E$21,Variations!$B$6:$B$21,"CF-P01",Variations!$D$6:$D$21,"&lt;="&amp;Assumptions!X$95,Variations!$G$6:$G$21,"&gt;"&amp;Assumptions!X$95)</f>
        <v>0</v>
      </c>
      <c r="Y364" s="58" t="n">
        <f aca="false">SUMIFS(Variations!$E$6:$E$21,Variations!$B$6:$B$21,"CF-P01",Variations!$D$6:$D$21,"&lt;="&amp;Assumptions!Y$95,Variations!$G$6:$G$21,"&gt;"&amp;Assumptions!Y$95)</f>
        <v>0</v>
      </c>
      <c r="Z364" s="58" t="n">
        <f aca="false">SUMIFS(Variations!$E$6:$E$21,Variations!$B$6:$B$21,"CF-P01",Variations!$D$6:$D$21,"&lt;="&amp;Assumptions!Z$95,Variations!$G$6:$G$21,"&gt;"&amp;Assumptions!Z$95)</f>
        <v>0</v>
      </c>
      <c r="AA364" s="58" t="n">
        <f aca="false">SUMIFS(Variations!$E$6:$E$21,Variations!$B$6:$B$21,"CF-P01",Variations!$D$6:$D$21,"&lt;="&amp;Assumptions!AA$95,Variations!$G$6:$G$21,"&gt;"&amp;Assumptions!AA$95)</f>
        <v>0</v>
      </c>
      <c r="AB364" s="58" t="n">
        <f aca="false">SUMIFS(Variations!$E$6:$E$21,Variations!$B$6:$B$21,"CF-P01",Variations!$D$6:$D$21,"&lt;="&amp;Assumptions!AB$95,Variations!$G$6:$G$21,"&gt;"&amp;Assumptions!AB$95)</f>
        <v>0</v>
      </c>
    </row>
    <row r="365" customFormat="false" ht="15" hidden="false" customHeight="false" outlineLevel="0" collapsed="false">
      <c r="A365" s="27" t="s">
        <v>738</v>
      </c>
      <c r="B365" s="56"/>
      <c r="C365" s="57" t="n">
        <f aca="false">P365</f>
        <v>0</v>
      </c>
      <c r="D365" s="57" t="n">
        <f aca="false">AB365</f>
        <v>0</v>
      </c>
      <c r="E365" s="58" t="n">
        <f aca="false">SUMIFS(Variations!$E$6:$E$21,Variations!$B$6:$B$21,"CF-P01",Variations!$F$6:$F$21,"Pending",Variations!$G$6:$G$21,"&lt;="&amp;Assumptions!E$95)</f>
        <v>0</v>
      </c>
      <c r="F365" s="58" t="n">
        <f aca="false">SUMIFS(Variations!$E$6:$E$21,Variations!$B$6:$B$21,"CF-P01",Variations!$F$6:$F$21,"Pending",Variations!$G$6:$G$21,"&lt;="&amp;Assumptions!F$95)</f>
        <v>0</v>
      </c>
      <c r="G365" s="58" t="n">
        <f aca="false">SUMIFS(Variations!$E$6:$E$21,Variations!$B$6:$B$21,"CF-P01",Variations!$F$6:$F$21,"Pending",Variations!$G$6:$G$21,"&lt;="&amp;Assumptions!G$95)</f>
        <v>0</v>
      </c>
      <c r="H365" s="58" t="n">
        <f aca="false">SUMIFS(Variations!$E$6:$E$21,Variations!$B$6:$B$21,"CF-P01",Variations!$F$6:$F$21,"Pending",Variations!$G$6:$G$21,"&lt;="&amp;Assumptions!H$95)</f>
        <v>0</v>
      </c>
      <c r="I365" s="58" t="n">
        <f aca="false">SUMIFS(Variations!$E$6:$E$21,Variations!$B$6:$B$21,"CF-P01",Variations!$F$6:$F$21,"Pending",Variations!$G$6:$G$21,"&lt;="&amp;Assumptions!I$95)</f>
        <v>0</v>
      </c>
      <c r="J365" s="58" t="n">
        <f aca="false">SUMIFS(Variations!$E$6:$E$21,Variations!$B$6:$B$21,"CF-P01",Variations!$F$6:$F$21,"Pending",Variations!$G$6:$G$21,"&lt;="&amp;Assumptions!J$95)</f>
        <v>0</v>
      </c>
      <c r="K365" s="58" t="n">
        <f aca="false">SUMIFS(Variations!$E$6:$E$21,Variations!$B$6:$B$21,"CF-P01",Variations!$F$6:$F$21,"Pending",Variations!$G$6:$G$21,"&lt;="&amp;Assumptions!K$95)</f>
        <v>0</v>
      </c>
      <c r="L365" s="58" t="n">
        <f aca="false">SUMIFS(Variations!$E$6:$E$21,Variations!$B$6:$B$21,"CF-P01",Variations!$F$6:$F$21,"Pending",Variations!$G$6:$G$21,"&lt;="&amp;Assumptions!L$95)</f>
        <v>0</v>
      </c>
      <c r="M365" s="58" t="n">
        <f aca="false">SUMIFS(Variations!$E$6:$E$21,Variations!$B$6:$B$21,"CF-P01",Variations!$F$6:$F$21,"Pending",Variations!$G$6:$G$21,"&lt;="&amp;Assumptions!M$95)</f>
        <v>0</v>
      </c>
      <c r="N365" s="58" t="n">
        <f aca="false">SUMIFS(Variations!$E$6:$E$21,Variations!$B$6:$B$21,"CF-P01",Variations!$F$6:$F$21,"Pending",Variations!$G$6:$G$21,"&lt;="&amp;Assumptions!N$95)</f>
        <v>0</v>
      </c>
      <c r="O365" s="58" t="n">
        <f aca="false">SUMIFS(Variations!$E$6:$E$21,Variations!$B$6:$B$21,"CF-P01",Variations!$F$6:$F$21,"Pending",Variations!$G$6:$G$21,"&lt;="&amp;Assumptions!O$95)</f>
        <v>0</v>
      </c>
      <c r="P365" s="58" t="n">
        <f aca="false">SUMIFS(Variations!$E$6:$E$21,Variations!$B$6:$B$21,"CF-P01",Variations!$F$6:$F$21,"Pending",Variations!$G$6:$G$21,"&lt;="&amp;Assumptions!P$95)</f>
        <v>0</v>
      </c>
      <c r="Q365" s="58" t="n">
        <f aca="false">SUMIFS(Variations!$E$6:$E$21,Variations!$B$6:$B$21,"CF-P01",Variations!$F$6:$F$21,"Pending",Variations!$G$6:$G$21,"&lt;="&amp;Assumptions!Q$95)</f>
        <v>0</v>
      </c>
      <c r="R365" s="58" t="n">
        <f aca="false">SUMIFS(Variations!$E$6:$E$21,Variations!$B$6:$B$21,"CF-P01",Variations!$F$6:$F$21,"Pending",Variations!$G$6:$G$21,"&lt;="&amp;Assumptions!R$95)</f>
        <v>0</v>
      </c>
      <c r="S365" s="58" t="n">
        <f aca="false">SUMIFS(Variations!$E$6:$E$21,Variations!$B$6:$B$21,"CF-P01",Variations!$F$6:$F$21,"Pending",Variations!$G$6:$G$21,"&lt;="&amp;Assumptions!S$95)</f>
        <v>0</v>
      </c>
      <c r="T365" s="58" t="n">
        <f aca="false">SUMIFS(Variations!$E$6:$E$21,Variations!$B$6:$B$21,"CF-P01",Variations!$F$6:$F$21,"Pending",Variations!$G$6:$G$21,"&lt;="&amp;Assumptions!T$95)</f>
        <v>0</v>
      </c>
      <c r="U365" s="58" t="n">
        <f aca="false">SUMIFS(Variations!$E$6:$E$21,Variations!$B$6:$B$21,"CF-P01",Variations!$F$6:$F$21,"Pending",Variations!$G$6:$G$21,"&lt;="&amp;Assumptions!U$95)</f>
        <v>0</v>
      </c>
      <c r="V365" s="58" t="n">
        <f aca="false">SUMIFS(Variations!$E$6:$E$21,Variations!$B$6:$B$21,"CF-P01",Variations!$F$6:$F$21,"Pending",Variations!$G$6:$G$21,"&lt;="&amp;Assumptions!V$95)</f>
        <v>0</v>
      </c>
      <c r="W365" s="58" t="n">
        <f aca="false">SUMIFS(Variations!$E$6:$E$21,Variations!$B$6:$B$21,"CF-P01",Variations!$F$6:$F$21,"Pending",Variations!$G$6:$G$21,"&lt;="&amp;Assumptions!W$95)</f>
        <v>0</v>
      </c>
      <c r="X365" s="58" t="n">
        <f aca="false">SUMIFS(Variations!$E$6:$E$21,Variations!$B$6:$B$21,"CF-P01",Variations!$F$6:$F$21,"Pending",Variations!$G$6:$G$21,"&lt;="&amp;Assumptions!X$95)</f>
        <v>0</v>
      </c>
      <c r="Y365" s="58" t="n">
        <f aca="false">SUMIFS(Variations!$E$6:$E$21,Variations!$B$6:$B$21,"CF-P01",Variations!$F$6:$F$21,"Pending",Variations!$G$6:$G$21,"&lt;="&amp;Assumptions!Y$95)</f>
        <v>0</v>
      </c>
      <c r="Z365" s="58" t="n">
        <f aca="false">SUMIFS(Variations!$E$6:$E$21,Variations!$B$6:$B$21,"CF-P01",Variations!$F$6:$F$21,"Pending",Variations!$G$6:$G$21,"&lt;="&amp;Assumptions!Z$95)</f>
        <v>0</v>
      </c>
      <c r="AA365" s="58" t="n">
        <f aca="false">SUMIFS(Variations!$E$6:$E$21,Variations!$B$6:$B$21,"CF-P01",Variations!$F$6:$F$21,"Pending",Variations!$G$6:$G$21,"&lt;="&amp;Assumptions!AA$95)</f>
        <v>0</v>
      </c>
      <c r="AB365" s="58" t="n">
        <f aca="false">SUMIFS(Variations!$E$6:$E$21,Variations!$B$6:$B$21,"CF-P01",Variations!$F$6:$F$21,"Pending",Variations!$G$6:$G$21,"&lt;="&amp;Assumptions!AB$95)</f>
        <v>0</v>
      </c>
    </row>
    <row r="366" customFormat="false" ht="15" hidden="false" customHeight="false" outlineLevel="0" collapsed="false">
      <c r="A366" s="27" t="s">
        <v>739</v>
      </c>
      <c r="B366" s="56" t="s">
        <v>740</v>
      </c>
      <c r="C366" s="57" t="n">
        <f aca="false">P366</f>
        <v>647500</v>
      </c>
      <c r="D366" s="57" t="n">
        <f aca="false">AB366</f>
        <v>647500</v>
      </c>
      <c r="E366" s="58" t="n">
        <f aca="false">Project_Register!$AO$15+E363+Assumptions!$C$74*E364+Assumptions!$F$121*E365</f>
        <v>647500</v>
      </c>
      <c r="F366" s="58" t="n">
        <f aca="false">Project_Register!$AO$15+F363+Assumptions!$C$74*F364+Assumptions!$F$121*F365</f>
        <v>647500</v>
      </c>
      <c r="G366" s="58" t="n">
        <f aca="false">Project_Register!$AO$15+G363+Assumptions!$C$74*G364+Assumptions!$F$121*G365</f>
        <v>647500</v>
      </c>
      <c r="H366" s="58" t="n">
        <f aca="false">Project_Register!$AO$15+H363+Assumptions!$C$74*H364+Assumptions!$F$121*H365</f>
        <v>647500</v>
      </c>
      <c r="I366" s="58" t="n">
        <f aca="false">Project_Register!$AO$15+I363+Assumptions!$C$74*I364+Assumptions!$F$121*I365</f>
        <v>647500</v>
      </c>
      <c r="J366" s="58" t="n">
        <f aca="false">Project_Register!$AO$15+J363+Assumptions!$C$74*J364+Assumptions!$F$121*J365</f>
        <v>647500</v>
      </c>
      <c r="K366" s="58" t="n">
        <f aca="false">Project_Register!$AO$15+K363+Assumptions!$C$74*K364+Assumptions!$F$121*K365</f>
        <v>647500</v>
      </c>
      <c r="L366" s="58" t="n">
        <f aca="false">Project_Register!$AO$15+L363+Assumptions!$C$74*L364+Assumptions!$F$121*L365</f>
        <v>647500</v>
      </c>
      <c r="M366" s="58" t="n">
        <f aca="false">Project_Register!$AO$15+M363+Assumptions!$C$74*M364+Assumptions!$F$121*M365</f>
        <v>647500</v>
      </c>
      <c r="N366" s="58" t="n">
        <f aca="false">Project_Register!$AO$15+N363+Assumptions!$C$74*N364+Assumptions!$F$121*N365</f>
        <v>647500</v>
      </c>
      <c r="O366" s="58" t="n">
        <f aca="false">Project_Register!$AO$15+O363+Assumptions!$C$74*O364+Assumptions!$F$121*O365</f>
        <v>647500</v>
      </c>
      <c r="P366" s="58" t="n">
        <f aca="false">Project_Register!$AO$15+P363+Assumptions!$C$74*P364+Assumptions!$F$121*P365</f>
        <v>647500</v>
      </c>
      <c r="Q366" s="58" t="n">
        <f aca="false">Project_Register!$AO$15+Q363+Assumptions!$C$74*Q364+Assumptions!$F$121*Q365</f>
        <v>647500</v>
      </c>
      <c r="R366" s="58" t="n">
        <f aca="false">Project_Register!$AO$15+R363+Assumptions!$C$74*R364+Assumptions!$F$121*R365</f>
        <v>647500</v>
      </c>
      <c r="S366" s="58" t="n">
        <f aca="false">Project_Register!$AO$15+S363+Assumptions!$C$74*S364+Assumptions!$F$121*S365</f>
        <v>647500</v>
      </c>
      <c r="T366" s="58" t="n">
        <f aca="false">Project_Register!$AO$15+T363+Assumptions!$C$74*T364+Assumptions!$F$121*T365</f>
        <v>647500</v>
      </c>
      <c r="U366" s="58" t="n">
        <f aca="false">Project_Register!$AO$15+U363+Assumptions!$C$74*U364+Assumptions!$F$121*U365</f>
        <v>647500</v>
      </c>
      <c r="V366" s="58" t="n">
        <f aca="false">Project_Register!$AO$15+V363+Assumptions!$C$74*V364+Assumptions!$F$121*V365</f>
        <v>647500</v>
      </c>
      <c r="W366" s="58" t="n">
        <f aca="false">Project_Register!$AO$15+W363+Assumptions!$C$74*W364+Assumptions!$F$121*W365</f>
        <v>647500</v>
      </c>
      <c r="X366" s="58" t="n">
        <f aca="false">Project_Register!$AO$15+X363+Assumptions!$C$74*X364+Assumptions!$F$121*X365</f>
        <v>647500</v>
      </c>
      <c r="Y366" s="58" t="n">
        <f aca="false">Project_Register!$AO$15+Y363+Assumptions!$C$74*Y364+Assumptions!$F$121*Y365</f>
        <v>647500</v>
      </c>
      <c r="Z366" s="58" t="n">
        <f aca="false">Project_Register!$AO$15+Z363+Assumptions!$C$74*Z364+Assumptions!$F$121*Z365</f>
        <v>647500</v>
      </c>
      <c r="AA366" s="58" t="n">
        <f aca="false">Project_Register!$AO$15+AA363+Assumptions!$C$74*AA364+Assumptions!$F$121*AA365</f>
        <v>647500</v>
      </c>
      <c r="AB366" s="58" t="n">
        <f aca="false">Project_Register!$AO$15+AB363+Assumptions!$C$74*AB364+Assumptions!$F$121*AB365</f>
        <v>647500</v>
      </c>
    </row>
    <row r="367" customFormat="false" ht="15" hidden="false" customHeight="false" outlineLevel="0" collapsed="false">
      <c r="A367" s="27" t="s">
        <v>741</v>
      </c>
      <c r="B367" s="56" t="s">
        <v>742</v>
      </c>
      <c r="C367" s="57" t="n">
        <f aca="false">P367</f>
        <v>0</v>
      </c>
      <c r="D367" s="57" t="n">
        <f aca="false">AB367</f>
        <v>647500</v>
      </c>
      <c r="E367" s="58" t="n">
        <f aca="false">IF(E$5="A",Project_Register!$AD$15+0,E362*E366)</f>
        <v>0</v>
      </c>
      <c r="F367" s="70" t="n">
        <f aca="false">IF(F$5="A",E367+0,F362*F366)</f>
        <v>0</v>
      </c>
      <c r="G367" s="70" t="n">
        <f aca="false">IF(G$5="A",F367+0,G362*G366)</f>
        <v>0</v>
      </c>
      <c r="H367" s="70" t="n">
        <f aca="false">IF(H$5="A",G367+0,H362*H366)</f>
        <v>0</v>
      </c>
      <c r="I367" s="70" t="n">
        <f aca="false">IF(I$5="A",H367+0,I362*I366)</f>
        <v>0</v>
      </c>
      <c r="J367" s="70" t="n">
        <f aca="false">IF(J$5="A",I367+0,J362*J366)</f>
        <v>0</v>
      </c>
      <c r="K367" s="70" t="n">
        <f aca="false">IF(K$5="A",J367+0,K362*K366)</f>
        <v>0</v>
      </c>
      <c r="L367" s="70" t="n">
        <f aca="false">IF(L$5="A",K367+0,L362*L366)</f>
        <v>0</v>
      </c>
      <c r="M367" s="70" t="n">
        <f aca="false">IF(M$5="A",L367+0,M362*M366)</f>
        <v>0</v>
      </c>
      <c r="N367" s="70" t="n">
        <f aca="false">IF(N$5="A",M367+0,N362*N366)</f>
        <v>0</v>
      </c>
      <c r="O367" s="70" t="n">
        <f aca="false">IF(O$5="A",N367+0,O362*O366)</f>
        <v>0</v>
      </c>
      <c r="P367" s="70" t="n">
        <f aca="false">IF(P$5="A",O367+0,P362*P366)</f>
        <v>0</v>
      </c>
      <c r="Q367" s="70" t="n">
        <f aca="false">IF(Q$5="A",P367+0,Q362*Q366)</f>
        <v>0</v>
      </c>
      <c r="R367" s="70" t="n">
        <f aca="false">IF(R$5="A",Q367+0,R362*R366)</f>
        <v>27822.265625</v>
      </c>
      <c r="S367" s="70" t="n">
        <f aca="false">IF(S$5="A",R367+0,S362*S366)</f>
        <v>101171.875</v>
      </c>
      <c r="T367" s="70" t="n">
        <f aca="false">IF(T$5="A",S367+0,T362*T366)</f>
        <v>204873.046875</v>
      </c>
      <c r="U367" s="70" t="n">
        <f aca="false">IF(U$5="A",T367+0,U362*U366)</f>
        <v>323750</v>
      </c>
      <c r="V367" s="70" t="n">
        <f aca="false">IF(V$5="A",U367+0,V362*V366)</f>
        <v>442626.953125</v>
      </c>
      <c r="W367" s="70" t="n">
        <f aca="false">IF(W$5="A",V367+0,W362*W366)</f>
        <v>546328.125</v>
      </c>
      <c r="X367" s="70" t="n">
        <f aca="false">IF(X$5="A",W367+0,X362*X366)</f>
        <v>619677.734375</v>
      </c>
      <c r="Y367" s="70" t="n">
        <f aca="false">IF(Y$5="A",X367+0,Y362*Y366)</f>
        <v>647500</v>
      </c>
      <c r="Z367" s="70" t="n">
        <f aca="false">IF(Z$5="A",Y367+0,Z362*Z366)</f>
        <v>647500</v>
      </c>
      <c r="AA367" s="70" t="n">
        <f aca="false">IF(AA$5="A",Z367+0,AA362*AA366)</f>
        <v>647500</v>
      </c>
      <c r="AB367" s="70" t="n">
        <f aca="false">IF(AB$5="A",AA367+0,AB362*AB366)</f>
        <v>647500</v>
      </c>
    </row>
    <row r="368" customFormat="false" ht="15" hidden="false" customHeight="false" outlineLevel="0" collapsed="false">
      <c r="A368" s="67" t="s">
        <v>743</v>
      </c>
      <c r="B368" s="68" t="s">
        <v>744</v>
      </c>
      <c r="C368" s="69" t="n">
        <f aca="false">SUM(E368:P368)</f>
        <v>0</v>
      </c>
      <c r="D368" s="69" t="n">
        <f aca="false">SUM(Q368:AB368)</f>
        <v>647500</v>
      </c>
      <c r="E368" s="74" t="n">
        <f aca="false">E367-Project_Register!$AD$15</f>
        <v>0</v>
      </c>
      <c r="F368" s="69" t="n">
        <f aca="false">F367-E367</f>
        <v>0</v>
      </c>
      <c r="G368" s="69" t="n">
        <f aca="false">G367-F367</f>
        <v>0</v>
      </c>
      <c r="H368" s="69" t="n">
        <f aca="false">H367-G367</f>
        <v>0</v>
      </c>
      <c r="I368" s="69" t="n">
        <f aca="false">I367-H367</f>
        <v>0</v>
      </c>
      <c r="J368" s="69" t="n">
        <f aca="false">J367-I367</f>
        <v>0</v>
      </c>
      <c r="K368" s="69" t="n">
        <f aca="false">K367-J367</f>
        <v>0</v>
      </c>
      <c r="L368" s="69" t="n">
        <f aca="false">L367-K367</f>
        <v>0</v>
      </c>
      <c r="M368" s="69" t="n">
        <f aca="false">M367-L367</f>
        <v>0</v>
      </c>
      <c r="N368" s="69" t="n">
        <f aca="false">N367-M367</f>
        <v>0</v>
      </c>
      <c r="O368" s="69" t="n">
        <f aca="false">O367-N367</f>
        <v>0</v>
      </c>
      <c r="P368" s="69" t="n">
        <f aca="false">P367-O367</f>
        <v>0</v>
      </c>
      <c r="Q368" s="69" t="n">
        <f aca="false">Q367-P367</f>
        <v>0</v>
      </c>
      <c r="R368" s="69" t="n">
        <f aca="false">R367-Q367</f>
        <v>27822.265625</v>
      </c>
      <c r="S368" s="69" t="n">
        <f aca="false">S367-R367</f>
        <v>73349.609375</v>
      </c>
      <c r="T368" s="69" t="n">
        <f aca="false">T367-S367</f>
        <v>103701.171875</v>
      </c>
      <c r="U368" s="69" t="n">
        <f aca="false">U367-T367</f>
        <v>118876.953125</v>
      </c>
      <c r="V368" s="69" t="n">
        <f aca="false">V367-U367</f>
        <v>118876.953125</v>
      </c>
      <c r="W368" s="69" t="n">
        <f aca="false">W367-V367</f>
        <v>103701.171875</v>
      </c>
      <c r="X368" s="69" t="n">
        <f aca="false">X367-W367</f>
        <v>73349.609375</v>
      </c>
      <c r="Y368" s="69" t="n">
        <f aca="false">Y367-X367</f>
        <v>27822.265625</v>
      </c>
      <c r="Z368" s="69" t="n">
        <f aca="false">Z367-Y367</f>
        <v>0</v>
      </c>
      <c r="AA368" s="69" t="n">
        <f aca="false">AA367-Z367</f>
        <v>0</v>
      </c>
      <c r="AB368" s="69" t="n">
        <f aca="false">AB367-AA367</f>
        <v>0</v>
      </c>
    </row>
    <row r="369" customFormat="false" ht="15" hidden="false" customHeight="false" outlineLevel="0" collapsed="false">
      <c r="A369" s="27" t="s">
        <v>745</v>
      </c>
      <c r="B369" s="56" t="s">
        <v>746</v>
      </c>
      <c r="C369" s="57" t="n">
        <f aca="false">P369</f>
        <v>0</v>
      </c>
      <c r="D369" s="57" t="n">
        <f aca="false">AB369</f>
        <v>0</v>
      </c>
      <c r="E369" s="70" t="n">
        <f aca="false">MAX(0,E361-E366)*(1-E362)</f>
        <v>0</v>
      </c>
      <c r="F369" s="70" t="n">
        <f aca="false">MAX(0,F361-F366)*(1-F362)</f>
        <v>0</v>
      </c>
      <c r="G369" s="70" t="n">
        <f aca="false">MAX(0,G361-G366)*(1-G362)</f>
        <v>0</v>
      </c>
      <c r="H369" s="70" t="n">
        <f aca="false">MAX(0,H361-H366)*(1-H362)</f>
        <v>0</v>
      </c>
      <c r="I369" s="70" t="n">
        <f aca="false">MAX(0,I361-I366)*(1-I362)</f>
        <v>0</v>
      </c>
      <c r="J369" s="70" t="n">
        <f aca="false">MAX(0,J361-J366)*(1-J362)</f>
        <v>0</v>
      </c>
      <c r="K369" s="70" t="n">
        <f aca="false">MAX(0,K361-K366)*(1-K362)</f>
        <v>0</v>
      </c>
      <c r="L369" s="70" t="n">
        <f aca="false">MAX(0,L361-L366)*(1-L362)</f>
        <v>0</v>
      </c>
      <c r="M369" s="70" t="n">
        <f aca="false">MAX(0,M361-M366)*(1-M362)</f>
        <v>0</v>
      </c>
      <c r="N369" s="70" t="n">
        <f aca="false">MAX(0,N361-N366)*(1-N362)</f>
        <v>0</v>
      </c>
      <c r="O369" s="70" t="n">
        <f aca="false">MAX(0,O361-O366)*(1-O362)</f>
        <v>0</v>
      </c>
      <c r="P369" s="70" t="n">
        <f aca="false">MAX(0,P361-P366)*(1-P362)</f>
        <v>0</v>
      </c>
      <c r="Q369" s="70" t="n">
        <f aca="false">MAX(0,Q361-Q366)*(1-Q362)</f>
        <v>0</v>
      </c>
      <c r="R369" s="70" t="n">
        <f aca="false">MAX(0,R361-R366)*(1-R362)</f>
        <v>0</v>
      </c>
      <c r="S369" s="70" t="n">
        <f aca="false">MAX(0,S361-S366)*(1-S362)</f>
        <v>0</v>
      </c>
      <c r="T369" s="70" t="n">
        <f aca="false">MAX(0,T361-T366)*(1-T362)</f>
        <v>0</v>
      </c>
      <c r="U369" s="70" t="n">
        <f aca="false">MAX(0,U361-U366)*(1-U362)</f>
        <v>0</v>
      </c>
      <c r="V369" s="70" t="n">
        <f aca="false">MAX(0,V361-V366)*(1-V362)</f>
        <v>0</v>
      </c>
      <c r="W369" s="70" t="n">
        <f aca="false">MAX(0,W361-W366)*(1-W362)</f>
        <v>0</v>
      </c>
      <c r="X369" s="70" t="n">
        <f aca="false">MAX(0,X361-X366)*(1-X362)</f>
        <v>0</v>
      </c>
      <c r="Y369" s="70" t="n">
        <f aca="false">MAX(0,Y361-Y366)*(1-Y362)</f>
        <v>0</v>
      </c>
      <c r="Z369" s="70" t="n">
        <f aca="false">MAX(0,Z361-Z366)*(1-Z362)</f>
        <v>0</v>
      </c>
      <c r="AA369" s="70" t="n">
        <f aca="false">MAX(0,AA361-AA366)*(1-AA362)</f>
        <v>0</v>
      </c>
      <c r="AB369" s="70" t="n">
        <f aca="false">MAX(0,AB361-AB366)*(1-AB362)</f>
        <v>0</v>
      </c>
    </row>
    <row r="370" customFormat="false" ht="15" hidden="false" customHeight="false" outlineLevel="0" collapsed="false">
      <c r="A370" s="27" t="s">
        <v>747</v>
      </c>
      <c r="B370" s="56"/>
      <c r="C370" s="57" t="n">
        <f aca="false">SUM(E370:P370)</f>
        <v>0</v>
      </c>
      <c r="D370" s="57" t="n">
        <f aca="false">SUM(Q370:AB370)</f>
        <v>0</v>
      </c>
      <c r="E370" s="70" t="n">
        <f aca="false">-(E369-0)</f>
        <v>-0</v>
      </c>
      <c r="F370" s="70" t="n">
        <f aca="false">-(F369-E369)</f>
        <v>-0</v>
      </c>
      <c r="G370" s="70" t="n">
        <f aca="false">-(G369-F369)</f>
        <v>-0</v>
      </c>
      <c r="H370" s="70" t="n">
        <f aca="false">-(H369-G369)</f>
        <v>-0</v>
      </c>
      <c r="I370" s="70" t="n">
        <f aca="false">-(I369-H369)</f>
        <v>-0</v>
      </c>
      <c r="J370" s="70" t="n">
        <f aca="false">-(J369-I369)</f>
        <v>-0</v>
      </c>
      <c r="K370" s="70" t="n">
        <f aca="false">-(K369-J369)</f>
        <v>-0</v>
      </c>
      <c r="L370" s="70" t="n">
        <f aca="false">-(L369-K369)</f>
        <v>-0</v>
      </c>
      <c r="M370" s="70" t="n">
        <f aca="false">-(M369-L369)</f>
        <v>-0</v>
      </c>
      <c r="N370" s="70" t="n">
        <f aca="false">-(N369-M369)</f>
        <v>-0</v>
      </c>
      <c r="O370" s="70" t="n">
        <f aca="false">-(O369-N369)</f>
        <v>-0</v>
      </c>
      <c r="P370" s="70" t="n">
        <f aca="false">-(P369-O369)</f>
        <v>-0</v>
      </c>
      <c r="Q370" s="70" t="n">
        <f aca="false">-(Q369-P369)</f>
        <v>-0</v>
      </c>
      <c r="R370" s="70" t="n">
        <f aca="false">-(R369-Q369)</f>
        <v>-0</v>
      </c>
      <c r="S370" s="70" t="n">
        <f aca="false">-(S369-R369)</f>
        <v>-0</v>
      </c>
      <c r="T370" s="70" t="n">
        <f aca="false">-(T369-S369)</f>
        <v>-0</v>
      </c>
      <c r="U370" s="70" t="n">
        <f aca="false">-(U369-T369)</f>
        <v>-0</v>
      </c>
      <c r="V370" s="70" t="n">
        <f aca="false">-(V369-U369)</f>
        <v>-0</v>
      </c>
      <c r="W370" s="70" t="n">
        <f aca="false">-(W369-V369)</f>
        <v>-0</v>
      </c>
      <c r="X370" s="70" t="n">
        <f aca="false">-(X369-W369)</f>
        <v>-0</v>
      </c>
      <c r="Y370" s="70" t="n">
        <f aca="false">-(Y369-X369)</f>
        <v>-0</v>
      </c>
      <c r="Z370" s="70" t="n">
        <f aca="false">-(Z369-Y369)</f>
        <v>-0</v>
      </c>
      <c r="AA370" s="70" t="n">
        <f aca="false">-(AA369-Z369)</f>
        <v>-0</v>
      </c>
      <c r="AB370" s="70" t="n">
        <f aca="false">-(AB369-AA369)</f>
        <v>-0</v>
      </c>
    </row>
    <row r="371" customFormat="false" ht="15" hidden="false" customHeight="false" outlineLevel="0" collapsed="false">
      <c r="A371" s="67" t="s">
        <v>748</v>
      </c>
      <c r="B371" s="68" t="s">
        <v>749</v>
      </c>
      <c r="C371" s="69" t="n">
        <f aca="false">SUM(E371:P371)</f>
        <v>0</v>
      </c>
      <c r="D371" s="69" t="n">
        <f aca="false">SUM(Q371:AB371)</f>
        <v>87500</v>
      </c>
      <c r="E371" s="69" t="n">
        <f aca="false">E368-E359+E370</f>
        <v>0</v>
      </c>
      <c r="F371" s="69" t="n">
        <f aca="false">F368-F359+F370</f>
        <v>0</v>
      </c>
      <c r="G371" s="69" t="n">
        <f aca="false">G368-G359+G370</f>
        <v>0</v>
      </c>
      <c r="H371" s="69" t="n">
        <f aca="false">H368-H359+H370</f>
        <v>0</v>
      </c>
      <c r="I371" s="69" t="n">
        <f aca="false">I368-I359+I370</f>
        <v>0</v>
      </c>
      <c r="J371" s="69" t="n">
        <f aca="false">J368-J359+J370</f>
        <v>0</v>
      </c>
      <c r="K371" s="69" t="n">
        <f aca="false">K368-K359+K370</f>
        <v>0</v>
      </c>
      <c r="L371" s="69" t="n">
        <f aca="false">L368-L359+L370</f>
        <v>0</v>
      </c>
      <c r="M371" s="69" t="n">
        <f aca="false">M368-M359+M370</f>
        <v>0</v>
      </c>
      <c r="N371" s="69" t="n">
        <f aca="false">N368-N359+N370</f>
        <v>0</v>
      </c>
      <c r="O371" s="69" t="n">
        <f aca="false">O368-O359+O370</f>
        <v>0</v>
      </c>
      <c r="P371" s="69" t="n">
        <f aca="false">P368-P359+P370</f>
        <v>0</v>
      </c>
      <c r="Q371" s="69" t="n">
        <f aca="false">Q368-Q359+Q370</f>
        <v>0</v>
      </c>
      <c r="R371" s="69" t="n">
        <f aca="false">R368-R359+R370</f>
        <v>3759.765625</v>
      </c>
      <c r="S371" s="69" t="n">
        <f aca="false">S368-S359+S370</f>
        <v>9912.109375</v>
      </c>
      <c r="T371" s="69" t="n">
        <f aca="false">T368-T359+T370</f>
        <v>14013.671875</v>
      </c>
      <c r="U371" s="69" t="n">
        <f aca="false">U368-U359+U370</f>
        <v>16064.453125</v>
      </c>
      <c r="V371" s="69" t="n">
        <f aca="false">V368-V359+V370</f>
        <v>16064.453125</v>
      </c>
      <c r="W371" s="69" t="n">
        <f aca="false">W368-W359+W370</f>
        <v>14013.671875</v>
      </c>
      <c r="X371" s="69" t="n">
        <f aca="false">X368-X359+X370</f>
        <v>9912.109375</v>
      </c>
      <c r="Y371" s="69" t="n">
        <f aca="false">Y368-Y359+Y370</f>
        <v>3759.765625</v>
      </c>
      <c r="Z371" s="69" t="n">
        <f aca="false">Z368-Z359+Z370</f>
        <v>0</v>
      </c>
      <c r="AA371" s="69" t="n">
        <f aca="false">AA368-AA359+AA370</f>
        <v>0</v>
      </c>
      <c r="AB371" s="69" t="n">
        <f aca="false">AB368-AB359+AB370</f>
        <v>0</v>
      </c>
    </row>
    <row r="372" customFormat="false" ht="15" hidden="false" customHeight="false" outlineLevel="0" collapsed="false">
      <c r="A372" s="27" t="s">
        <v>750</v>
      </c>
      <c r="B372" s="56"/>
      <c r="C372" s="57" t="n">
        <f aca="false">P372</f>
        <v>647500</v>
      </c>
      <c r="D372" s="57" t="n">
        <f aca="false">AB372</f>
        <v>647500</v>
      </c>
      <c r="E372" s="58" t="n">
        <f aca="false">Project_Register!$AO$15+E363+Assumptions!$F$121*E365</f>
        <v>647500</v>
      </c>
      <c r="F372" s="58" t="n">
        <f aca="false">Project_Register!$AO$15+F363+Assumptions!$F$121*F365</f>
        <v>647500</v>
      </c>
      <c r="G372" s="58" t="n">
        <f aca="false">Project_Register!$AO$15+G363+Assumptions!$F$121*G365</f>
        <v>647500</v>
      </c>
      <c r="H372" s="58" t="n">
        <f aca="false">Project_Register!$AO$15+H363+Assumptions!$F$121*H365</f>
        <v>647500</v>
      </c>
      <c r="I372" s="58" t="n">
        <f aca="false">Project_Register!$AO$15+I363+Assumptions!$F$121*I365</f>
        <v>647500</v>
      </c>
      <c r="J372" s="58" t="n">
        <f aca="false">Project_Register!$AO$15+J363+Assumptions!$F$121*J365</f>
        <v>647500</v>
      </c>
      <c r="K372" s="58" t="n">
        <f aca="false">Project_Register!$AO$15+K363+Assumptions!$F$121*K365</f>
        <v>647500</v>
      </c>
      <c r="L372" s="58" t="n">
        <f aca="false">Project_Register!$AO$15+L363+Assumptions!$F$121*L365</f>
        <v>647500</v>
      </c>
      <c r="M372" s="58" t="n">
        <f aca="false">Project_Register!$AO$15+M363+Assumptions!$F$121*M365</f>
        <v>647500</v>
      </c>
      <c r="N372" s="58" t="n">
        <f aca="false">Project_Register!$AO$15+N363+Assumptions!$F$121*N365</f>
        <v>647500</v>
      </c>
      <c r="O372" s="58" t="n">
        <f aca="false">Project_Register!$AO$15+O363+Assumptions!$F$121*O365</f>
        <v>647500</v>
      </c>
      <c r="P372" s="58" t="n">
        <f aca="false">Project_Register!$AO$15+P363+Assumptions!$F$121*P365</f>
        <v>647500</v>
      </c>
      <c r="Q372" s="58" t="n">
        <f aca="false">Project_Register!$AO$15+Q363+Assumptions!$F$121*Q365</f>
        <v>647500</v>
      </c>
      <c r="R372" s="58" t="n">
        <f aca="false">Project_Register!$AO$15+R363+Assumptions!$F$121*R365</f>
        <v>647500</v>
      </c>
      <c r="S372" s="58" t="n">
        <f aca="false">Project_Register!$AO$15+S363+Assumptions!$F$121*S365</f>
        <v>647500</v>
      </c>
      <c r="T372" s="58" t="n">
        <f aca="false">Project_Register!$AO$15+T363+Assumptions!$F$121*T365</f>
        <v>647500</v>
      </c>
      <c r="U372" s="58" t="n">
        <f aca="false">Project_Register!$AO$15+U363+Assumptions!$F$121*U365</f>
        <v>647500</v>
      </c>
      <c r="V372" s="58" t="n">
        <f aca="false">Project_Register!$AO$15+V363+Assumptions!$F$121*V365</f>
        <v>647500</v>
      </c>
      <c r="W372" s="58" t="n">
        <f aca="false">Project_Register!$AO$15+W363+Assumptions!$F$121*W365</f>
        <v>647500</v>
      </c>
      <c r="X372" s="58" t="n">
        <f aca="false">Project_Register!$AO$15+X363+Assumptions!$F$121*X365</f>
        <v>647500</v>
      </c>
      <c r="Y372" s="58" t="n">
        <f aca="false">Project_Register!$AO$15+Y363+Assumptions!$F$121*Y365</f>
        <v>647500</v>
      </c>
      <c r="Z372" s="58" t="n">
        <f aca="false">Project_Register!$AO$15+Z363+Assumptions!$F$121*Z365</f>
        <v>647500</v>
      </c>
      <c r="AA372" s="58" t="n">
        <f aca="false">Project_Register!$AO$15+AA363+Assumptions!$F$121*AA365</f>
        <v>647500</v>
      </c>
      <c r="AB372" s="58" t="n">
        <f aca="false">Project_Register!$AO$15+AB363+Assumptions!$F$121*AB365</f>
        <v>647500</v>
      </c>
    </row>
    <row r="373" customFormat="false" ht="15" hidden="false" customHeight="false" outlineLevel="0" collapsed="false">
      <c r="A373" s="27" t="s">
        <v>751</v>
      </c>
      <c r="B373" s="56" t="s">
        <v>752</v>
      </c>
      <c r="C373" s="57" t="n">
        <f aca="false">P373</f>
        <v>0</v>
      </c>
      <c r="D373" s="57" t="n">
        <f aca="false">AB373</f>
        <v>647500</v>
      </c>
      <c r="E373" s="58" t="n">
        <f aca="false">IF(E$5="A",Project_Register!$AE$15+0,IF(Assumptions!E$96&gt;=Project_Register!$AM$15,E372,MIN(E372,MAX(Project_Register!$AE$15,0*E372))))</f>
        <v>0</v>
      </c>
      <c r="F373" s="58" t="n">
        <f aca="false">IF(F$5="A",E373+0,IF(Assumptions!F$96&gt;=Project_Register!$AM$15,F372,MIN(F372,MAX(E373,E362*F372))))</f>
        <v>0</v>
      </c>
      <c r="G373" s="58" t="n">
        <f aca="false">IF(G$5="A",F373+0,IF(Assumptions!G$96&gt;=Project_Register!$AM$15,G372,MIN(G372,MAX(F373,F362*G372))))</f>
        <v>0</v>
      </c>
      <c r="H373" s="58" t="n">
        <f aca="false">IF(H$5="A",G373+0,IF(Assumptions!H$96&gt;=Project_Register!$AM$15,H372,MIN(H372,MAX(G373,G362*H372))))</f>
        <v>0</v>
      </c>
      <c r="I373" s="58" t="n">
        <f aca="false">IF(I$5="A",H373+0,IF(Assumptions!I$96&gt;=Project_Register!$AM$15,I372,MIN(I372,MAX(H373,H362*I372))))</f>
        <v>0</v>
      </c>
      <c r="J373" s="58" t="n">
        <f aca="false">IF(J$5="A",I373+0,IF(Assumptions!J$96&gt;=Project_Register!$AM$15,J372,MIN(J372,MAX(I373,I362*J372))))</f>
        <v>0</v>
      </c>
      <c r="K373" s="58" t="n">
        <f aca="false">IF(K$5="A",J373+0,IF(Assumptions!K$96&gt;=Project_Register!$AM$15,K372,MIN(K372,MAX(J373,J362*K372))))</f>
        <v>0</v>
      </c>
      <c r="L373" s="58" t="n">
        <f aca="false">IF(L$5="A",K373+0,IF(Assumptions!L$96&gt;=Project_Register!$AM$15,L372,MIN(L372,MAX(K373,K362*L372))))</f>
        <v>0</v>
      </c>
      <c r="M373" s="58" t="n">
        <f aca="false">IF(M$5="A",L373+0,IF(Assumptions!M$96&gt;=Project_Register!$AM$15,M372,MIN(M372,MAX(L373,L362*M372))))</f>
        <v>0</v>
      </c>
      <c r="N373" s="58" t="n">
        <f aca="false">IF(N$5="A",M373+0,IF(Assumptions!N$96&gt;=Project_Register!$AM$15,N372,MIN(N372,MAX(M373,M362*N372))))</f>
        <v>0</v>
      </c>
      <c r="O373" s="58" t="n">
        <f aca="false">IF(O$5="A",N373+0,IF(Assumptions!O$96&gt;=Project_Register!$AM$15,O372,MIN(O372,MAX(N373,N362*O372))))</f>
        <v>0</v>
      </c>
      <c r="P373" s="58" t="n">
        <f aca="false">IF(P$5="A",O373+0,IF(Assumptions!P$96&gt;=Project_Register!$AM$15,P372,MIN(P372,MAX(O373,O362*P372))))</f>
        <v>0</v>
      </c>
      <c r="Q373" s="58" t="n">
        <f aca="false">IF(Q$5="A",P373+0,IF(Assumptions!Q$96&gt;=Project_Register!$AM$15,Q372,MIN(Q372,MAX(P373,P362*Q372))))</f>
        <v>0</v>
      </c>
      <c r="R373" s="58" t="n">
        <f aca="false">IF(R$5="A",Q373+0,IF(Assumptions!R$96&gt;=Project_Register!$AM$15,R372,MIN(R372,MAX(Q373,Q362*R372))))</f>
        <v>0</v>
      </c>
      <c r="S373" s="58" t="n">
        <f aca="false">IF(S$5="A",R373+0,IF(Assumptions!S$96&gt;=Project_Register!$AM$15,S372,MIN(S372,MAX(R373,R362*S372))))</f>
        <v>27822.265625</v>
      </c>
      <c r="T373" s="58" t="n">
        <f aca="false">IF(T$5="A",S373+0,IF(Assumptions!T$96&gt;=Project_Register!$AM$15,T372,MIN(T372,MAX(S373,S362*T372))))</f>
        <v>101171.875</v>
      </c>
      <c r="U373" s="58" t="n">
        <f aca="false">IF(U$5="A",T373+0,IF(Assumptions!U$96&gt;=Project_Register!$AM$15,U372,MIN(U372,MAX(T373,T362*U372))))</f>
        <v>204873.046875</v>
      </c>
      <c r="V373" s="58" t="n">
        <f aca="false">IF(V$5="A",U373+0,IF(Assumptions!V$96&gt;=Project_Register!$AM$15,V372,MIN(V372,MAX(U373,U362*V372))))</f>
        <v>323750</v>
      </c>
      <c r="W373" s="58" t="n">
        <f aca="false">IF(W$5="A",V373+0,IF(Assumptions!W$96&gt;=Project_Register!$AM$15,W372,MIN(W372,MAX(V373,V362*W372))))</f>
        <v>442626.953125</v>
      </c>
      <c r="X373" s="58" t="n">
        <f aca="false">IF(X$5="A",W373+0,IF(Assumptions!X$96&gt;=Project_Register!$AM$15,X372,MIN(X372,MAX(W373,W362*X372))))</f>
        <v>546328.125</v>
      </c>
      <c r="Y373" s="58" t="n">
        <f aca="false">IF(Y$5="A",X373+0,IF(Assumptions!Y$96&gt;=Project_Register!$AM$15,Y372,MIN(Y372,MAX(X373,X362*Y372))))</f>
        <v>619677.734375</v>
      </c>
      <c r="Z373" s="58" t="n">
        <f aca="false">IF(Z$5="A",Y373+0,IF(Assumptions!Z$96&gt;=Project_Register!$AM$15,Z372,MIN(Z372,MAX(Y373,Y362*Z372))))</f>
        <v>647500</v>
      </c>
      <c r="AA373" s="58" t="n">
        <f aca="false">IF(AA$5="A",Z373+0,IF(Assumptions!AA$96&gt;=Project_Register!$AM$15,AA372,MIN(AA372,MAX(Z373,Z362*AA372))))</f>
        <v>647500</v>
      </c>
      <c r="AB373" s="58" t="n">
        <f aca="false">IF(AB$5="A",AA373+0,IF(Assumptions!AB$96&gt;=Project_Register!$AM$15,AB372,MIN(AB372,MAX(AA373,AA362*AB372))))</f>
        <v>647500</v>
      </c>
    </row>
    <row r="374" customFormat="false" ht="15" hidden="false" customHeight="false" outlineLevel="0" collapsed="false">
      <c r="A374" s="27" t="s">
        <v>753</v>
      </c>
      <c r="B374" s="56"/>
      <c r="C374" s="57" t="n">
        <f aca="false">SUM(E374:P374)</f>
        <v>0</v>
      </c>
      <c r="D374" s="57" t="n">
        <f aca="false">SUM(Q374:AB374)</f>
        <v>647500</v>
      </c>
      <c r="E374" s="58" t="n">
        <f aca="false">E373-Project_Register!$AE$15</f>
        <v>0</v>
      </c>
      <c r="F374" s="70" t="n">
        <f aca="false">F373-E373</f>
        <v>0</v>
      </c>
      <c r="G374" s="70" t="n">
        <f aca="false">G373-F373</f>
        <v>0</v>
      </c>
      <c r="H374" s="70" t="n">
        <f aca="false">H373-G373</f>
        <v>0</v>
      </c>
      <c r="I374" s="70" t="n">
        <f aca="false">I373-H373</f>
        <v>0</v>
      </c>
      <c r="J374" s="70" t="n">
        <f aca="false">J373-I373</f>
        <v>0</v>
      </c>
      <c r="K374" s="70" t="n">
        <f aca="false">K373-J373</f>
        <v>0</v>
      </c>
      <c r="L374" s="70" t="n">
        <f aca="false">L373-K373</f>
        <v>0</v>
      </c>
      <c r="M374" s="70" t="n">
        <f aca="false">M373-L373</f>
        <v>0</v>
      </c>
      <c r="N374" s="70" t="n">
        <f aca="false">N373-M373</f>
        <v>0</v>
      </c>
      <c r="O374" s="70" t="n">
        <f aca="false">O373-N373</f>
        <v>0</v>
      </c>
      <c r="P374" s="70" t="n">
        <f aca="false">P373-O373</f>
        <v>0</v>
      </c>
      <c r="Q374" s="70" t="n">
        <f aca="false">Q373-P373</f>
        <v>0</v>
      </c>
      <c r="R374" s="70" t="n">
        <f aca="false">R373-Q373</f>
        <v>0</v>
      </c>
      <c r="S374" s="70" t="n">
        <f aca="false">S373-R373</f>
        <v>27822.265625</v>
      </c>
      <c r="T374" s="70" t="n">
        <f aca="false">T373-S373</f>
        <v>73349.609375</v>
      </c>
      <c r="U374" s="70" t="n">
        <f aca="false">U373-T373</f>
        <v>103701.171875</v>
      </c>
      <c r="V374" s="70" t="n">
        <f aca="false">V373-U373</f>
        <v>118876.953125</v>
      </c>
      <c r="W374" s="70" t="n">
        <f aca="false">W373-V373</f>
        <v>118876.953125</v>
      </c>
      <c r="X374" s="70" t="n">
        <f aca="false">X373-W373</f>
        <v>103701.171875</v>
      </c>
      <c r="Y374" s="70" t="n">
        <f aca="false">Y373-X373</f>
        <v>73349.609375</v>
      </c>
      <c r="Z374" s="70" t="n">
        <f aca="false">Z373-Y373</f>
        <v>27822.265625</v>
      </c>
      <c r="AA374" s="70" t="n">
        <f aca="false">AA373-Z373</f>
        <v>0</v>
      </c>
      <c r="AB374" s="70" t="n">
        <f aca="false">AB373-AA373</f>
        <v>0</v>
      </c>
    </row>
    <row r="375" customFormat="false" ht="15" hidden="false" customHeight="false" outlineLevel="0" collapsed="false">
      <c r="A375" s="27" t="s">
        <v>754</v>
      </c>
      <c r="B375" s="56" t="s">
        <v>755</v>
      </c>
      <c r="C375" s="57" t="n">
        <f aca="false">P375</f>
        <v>0</v>
      </c>
      <c r="D375" s="57" t="n">
        <f aca="false">AB375</f>
        <v>16187.5</v>
      </c>
      <c r="E375" s="58" t="n">
        <f aca="false">Project_Register!$Q$15*E373*(1-Project_Register!$R$15*(Assumptions!E$96&gt;=Project_Register!$AK$15+1)-(1-Project_Register!$R$15)*(Assumptions!E$96&gt;=Project_Register!$AN$15))</f>
        <v>0</v>
      </c>
      <c r="F375" s="58" t="n">
        <f aca="false">Project_Register!$Q$15*F373*(1-Project_Register!$R$15*(Assumptions!F$96&gt;=Project_Register!$AK$15+1)-(1-Project_Register!$R$15)*(Assumptions!F$96&gt;=Project_Register!$AN$15))</f>
        <v>0</v>
      </c>
      <c r="G375" s="58" t="n">
        <f aca="false">Project_Register!$Q$15*G373*(1-Project_Register!$R$15*(Assumptions!G$96&gt;=Project_Register!$AK$15+1)-(1-Project_Register!$R$15)*(Assumptions!G$96&gt;=Project_Register!$AN$15))</f>
        <v>0</v>
      </c>
      <c r="H375" s="58" t="n">
        <f aca="false">Project_Register!$Q$15*H373*(1-Project_Register!$R$15*(Assumptions!H$96&gt;=Project_Register!$AK$15+1)-(1-Project_Register!$R$15)*(Assumptions!H$96&gt;=Project_Register!$AN$15))</f>
        <v>0</v>
      </c>
      <c r="I375" s="58" t="n">
        <f aca="false">Project_Register!$Q$15*I373*(1-Project_Register!$R$15*(Assumptions!I$96&gt;=Project_Register!$AK$15+1)-(1-Project_Register!$R$15)*(Assumptions!I$96&gt;=Project_Register!$AN$15))</f>
        <v>0</v>
      </c>
      <c r="J375" s="58" t="n">
        <f aca="false">Project_Register!$Q$15*J373*(1-Project_Register!$R$15*(Assumptions!J$96&gt;=Project_Register!$AK$15+1)-(1-Project_Register!$R$15)*(Assumptions!J$96&gt;=Project_Register!$AN$15))</f>
        <v>0</v>
      </c>
      <c r="K375" s="58" t="n">
        <f aca="false">Project_Register!$Q$15*K373*(1-Project_Register!$R$15*(Assumptions!K$96&gt;=Project_Register!$AK$15+1)-(1-Project_Register!$R$15)*(Assumptions!K$96&gt;=Project_Register!$AN$15))</f>
        <v>0</v>
      </c>
      <c r="L375" s="58" t="n">
        <f aca="false">Project_Register!$Q$15*L373*(1-Project_Register!$R$15*(Assumptions!L$96&gt;=Project_Register!$AK$15+1)-(1-Project_Register!$R$15)*(Assumptions!L$96&gt;=Project_Register!$AN$15))</f>
        <v>0</v>
      </c>
      <c r="M375" s="58" t="n">
        <f aca="false">Project_Register!$Q$15*M373*(1-Project_Register!$R$15*(Assumptions!M$96&gt;=Project_Register!$AK$15+1)-(1-Project_Register!$R$15)*(Assumptions!M$96&gt;=Project_Register!$AN$15))</f>
        <v>0</v>
      </c>
      <c r="N375" s="58" t="n">
        <f aca="false">Project_Register!$Q$15*N373*(1-Project_Register!$R$15*(Assumptions!N$96&gt;=Project_Register!$AK$15+1)-(1-Project_Register!$R$15)*(Assumptions!N$96&gt;=Project_Register!$AN$15))</f>
        <v>0</v>
      </c>
      <c r="O375" s="58" t="n">
        <f aca="false">Project_Register!$Q$15*O373*(1-Project_Register!$R$15*(Assumptions!O$96&gt;=Project_Register!$AK$15+1)-(1-Project_Register!$R$15)*(Assumptions!O$96&gt;=Project_Register!$AN$15))</f>
        <v>0</v>
      </c>
      <c r="P375" s="58" t="n">
        <f aca="false">Project_Register!$Q$15*P373*(1-Project_Register!$R$15*(Assumptions!P$96&gt;=Project_Register!$AK$15+1)-(1-Project_Register!$R$15)*(Assumptions!P$96&gt;=Project_Register!$AN$15))</f>
        <v>0</v>
      </c>
      <c r="Q375" s="58" t="n">
        <f aca="false">Project_Register!$Q$15*Q373*(1-Project_Register!$R$15*(Assumptions!Q$96&gt;=Project_Register!$AK$15+1)-(1-Project_Register!$R$15)*(Assumptions!Q$96&gt;=Project_Register!$AN$15))</f>
        <v>0</v>
      </c>
      <c r="R375" s="58" t="n">
        <f aca="false">Project_Register!$Q$15*R373*(1-Project_Register!$R$15*(Assumptions!R$96&gt;=Project_Register!$AK$15+1)-(1-Project_Register!$R$15)*(Assumptions!R$96&gt;=Project_Register!$AN$15))</f>
        <v>0</v>
      </c>
      <c r="S375" s="58" t="n">
        <f aca="false">Project_Register!$Q$15*S373*(1-Project_Register!$R$15*(Assumptions!S$96&gt;=Project_Register!$AK$15+1)-(1-Project_Register!$R$15)*(Assumptions!S$96&gt;=Project_Register!$AN$15))</f>
        <v>1391.11328125</v>
      </c>
      <c r="T375" s="58" t="n">
        <f aca="false">Project_Register!$Q$15*T373*(1-Project_Register!$R$15*(Assumptions!T$96&gt;=Project_Register!$AK$15+1)-(1-Project_Register!$R$15)*(Assumptions!T$96&gt;=Project_Register!$AN$15))</f>
        <v>5058.59375</v>
      </c>
      <c r="U375" s="58" t="n">
        <f aca="false">Project_Register!$Q$15*U373*(1-Project_Register!$R$15*(Assumptions!U$96&gt;=Project_Register!$AK$15+1)-(1-Project_Register!$R$15)*(Assumptions!U$96&gt;=Project_Register!$AN$15))</f>
        <v>10243.65234375</v>
      </c>
      <c r="V375" s="58" t="n">
        <f aca="false">Project_Register!$Q$15*V373*(1-Project_Register!$R$15*(Assumptions!V$96&gt;=Project_Register!$AK$15+1)-(1-Project_Register!$R$15)*(Assumptions!V$96&gt;=Project_Register!$AN$15))</f>
        <v>16187.5</v>
      </c>
      <c r="W375" s="58" t="n">
        <f aca="false">Project_Register!$Q$15*W373*(1-Project_Register!$R$15*(Assumptions!W$96&gt;=Project_Register!$AK$15+1)-(1-Project_Register!$R$15)*(Assumptions!W$96&gt;=Project_Register!$AN$15))</f>
        <v>22131.34765625</v>
      </c>
      <c r="X375" s="58" t="n">
        <f aca="false">Project_Register!$Q$15*X373*(1-Project_Register!$R$15*(Assumptions!X$96&gt;=Project_Register!$AK$15+1)-(1-Project_Register!$R$15)*(Assumptions!X$96&gt;=Project_Register!$AN$15))</f>
        <v>27316.40625</v>
      </c>
      <c r="Y375" s="58" t="n">
        <f aca="false">Project_Register!$Q$15*Y373*(1-Project_Register!$R$15*(Assumptions!Y$96&gt;=Project_Register!$AK$15+1)-(1-Project_Register!$R$15)*(Assumptions!Y$96&gt;=Project_Register!$AN$15))</f>
        <v>30983.88671875</v>
      </c>
      <c r="Z375" s="58" t="n">
        <f aca="false">Project_Register!$Q$15*Z373*(1-Project_Register!$R$15*(Assumptions!Z$96&gt;=Project_Register!$AK$15+1)-(1-Project_Register!$R$15)*(Assumptions!Z$96&gt;=Project_Register!$AN$15))</f>
        <v>16187.5</v>
      </c>
      <c r="AA375" s="58" t="n">
        <f aca="false">Project_Register!$Q$15*AA373*(1-Project_Register!$R$15*(Assumptions!AA$96&gt;=Project_Register!$AK$15+1)-(1-Project_Register!$R$15)*(Assumptions!AA$96&gt;=Project_Register!$AN$15))</f>
        <v>16187.5</v>
      </c>
      <c r="AB375" s="58" t="n">
        <f aca="false">Project_Register!$Q$15*AB373*(1-Project_Register!$R$15*(Assumptions!AB$96&gt;=Project_Register!$AK$15+1)-(1-Project_Register!$R$15)*(Assumptions!AB$96&gt;=Project_Register!$AN$15))</f>
        <v>16187.5</v>
      </c>
    </row>
    <row r="376" customFormat="false" ht="15" hidden="false" customHeight="false" outlineLevel="0" collapsed="false">
      <c r="A376" s="27" t="s">
        <v>756</v>
      </c>
      <c r="B376" s="56"/>
      <c r="C376" s="57" t="n">
        <f aca="false">SUM(E376:P376)</f>
        <v>0</v>
      </c>
      <c r="D376" s="57" t="n">
        <f aca="false">SUM(Q376:AB376)</f>
        <v>16187.5</v>
      </c>
      <c r="E376" s="58" t="n">
        <f aca="false">E375-Project_Register!$AW$15</f>
        <v>0</v>
      </c>
      <c r="F376" s="70" t="n">
        <f aca="false">F375-E375</f>
        <v>0</v>
      </c>
      <c r="G376" s="70" t="n">
        <f aca="false">G375-F375</f>
        <v>0</v>
      </c>
      <c r="H376" s="70" t="n">
        <f aca="false">H375-G375</f>
        <v>0</v>
      </c>
      <c r="I376" s="70" t="n">
        <f aca="false">I375-H375</f>
        <v>0</v>
      </c>
      <c r="J376" s="70" t="n">
        <f aca="false">J375-I375</f>
        <v>0</v>
      </c>
      <c r="K376" s="70" t="n">
        <f aca="false">K375-J375</f>
        <v>0</v>
      </c>
      <c r="L376" s="70" t="n">
        <f aca="false">L375-K375</f>
        <v>0</v>
      </c>
      <c r="M376" s="70" t="n">
        <f aca="false">M375-L375</f>
        <v>0</v>
      </c>
      <c r="N376" s="70" t="n">
        <f aca="false">N375-M375</f>
        <v>0</v>
      </c>
      <c r="O376" s="70" t="n">
        <f aca="false">O375-N375</f>
        <v>0</v>
      </c>
      <c r="P376" s="70" t="n">
        <f aca="false">P375-O375</f>
        <v>0</v>
      </c>
      <c r="Q376" s="70" t="n">
        <f aca="false">Q375-P375</f>
        <v>0</v>
      </c>
      <c r="R376" s="70" t="n">
        <f aca="false">R375-Q375</f>
        <v>0</v>
      </c>
      <c r="S376" s="70" t="n">
        <f aca="false">S375-R375</f>
        <v>1391.11328125</v>
      </c>
      <c r="T376" s="70" t="n">
        <f aca="false">T375-S375</f>
        <v>3667.48046875</v>
      </c>
      <c r="U376" s="70" t="n">
        <f aca="false">U375-T375</f>
        <v>5185.05859375</v>
      </c>
      <c r="V376" s="70" t="n">
        <f aca="false">V375-U375</f>
        <v>5943.84765625</v>
      </c>
      <c r="W376" s="70" t="n">
        <f aca="false">W375-V375</f>
        <v>5943.84765625</v>
      </c>
      <c r="X376" s="70" t="n">
        <f aca="false">X375-W375</f>
        <v>5185.05859375</v>
      </c>
      <c r="Y376" s="70" t="n">
        <f aca="false">Y375-X375</f>
        <v>3667.48046875</v>
      </c>
      <c r="Z376" s="70" t="n">
        <f aca="false">Z375-Y375</f>
        <v>-14796.38671875</v>
      </c>
      <c r="AA376" s="70" t="n">
        <f aca="false">AA375-Z375</f>
        <v>0</v>
      </c>
      <c r="AB376" s="70" t="n">
        <f aca="false">AB375-AA375</f>
        <v>0</v>
      </c>
    </row>
    <row r="377" customFormat="false" ht="15" hidden="false" customHeight="false" outlineLevel="0" collapsed="false">
      <c r="A377" s="27" t="s">
        <v>757</v>
      </c>
      <c r="B377" s="56"/>
      <c r="C377" s="57" t="n">
        <f aca="false">SUM(E377:P377)</f>
        <v>0</v>
      </c>
      <c r="D377" s="57" t="n">
        <f aca="false">SUM(Q377:AB377)</f>
        <v>631312.5</v>
      </c>
      <c r="E377" s="70" t="n">
        <f aca="false">E374-E376</f>
        <v>0</v>
      </c>
      <c r="F377" s="70" t="n">
        <f aca="false">F374-F376</f>
        <v>0</v>
      </c>
      <c r="G377" s="70" t="n">
        <f aca="false">G374-G376</f>
        <v>0</v>
      </c>
      <c r="H377" s="70" t="n">
        <f aca="false">H374-H376</f>
        <v>0</v>
      </c>
      <c r="I377" s="70" t="n">
        <f aca="false">I374-I376</f>
        <v>0</v>
      </c>
      <c r="J377" s="70" t="n">
        <f aca="false">J374-J376</f>
        <v>0</v>
      </c>
      <c r="K377" s="70" t="n">
        <f aca="false">K374-K376</f>
        <v>0</v>
      </c>
      <c r="L377" s="70" t="n">
        <f aca="false">L374-L376</f>
        <v>0</v>
      </c>
      <c r="M377" s="70" t="n">
        <f aca="false">M374-M376</f>
        <v>0</v>
      </c>
      <c r="N377" s="70" t="n">
        <f aca="false">N374-N376</f>
        <v>0</v>
      </c>
      <c r="O377" s="70" t="n">
        <f aca="false">O374-O376</f>
        <v>0</v>
      </c>
      <c r="P377" s="70" t="n">
        <f aca="false">P374-P376</f>
        <v>0</v>
      </c>
      <c r="Q377" s="70" t="n">
        <f aca="false">Q374-Q376</f>
        <v>0</v>
      </c>
      <c r="R377" s="70" t="n">
        <f aca="false">R374-R376</f>
        <v>0</v>
      </c>
      <c r="S377" s="70" t="n">
        <f aca="false">S374-S376</f>
        <v>26431.15234375</v>
      </c>
      <c r="T377" s="70" t="n">
        <f aca="false">T374-T376</f>
        <v>69682.12890625</v>
      </c>
      <c r="U377" s="70" t="n">
        <f aca="false">U374-U376</f>
        <v>98516.11328125</v>
      </c>
      <c r="V377" s="70" t="n">
        <f aca="false">V374-V376</f>
        <v>112933.10546875</v>
      </c>
      <c r="W377" s="70" t="n">
        <f aca="false">W374-W376</f>
        <v>112933.10546875</v>
      </c>
      <c r="X377" s="70" t="n">
        <f aca="false">X374-X376</f>
        <v>98516.11328125</v>
      </c>
      <c r="Y377" s="70" t="n">
        <f aca="false">Y374-Y376</f>
        <v>69682.12890625</v>
      </c>
      <c r="Z377" s="70" t="n">
        <f aca="false">Z374-Z376</f>
        <v>42618.65234375</v>
      </c>
      <c r="AA377" s="70" t="n">
        <f aca="false">AA374-AA376</f>
        <v>0</v>
      </c>
      <c r="AB377" s="70" t="n">
        <f aca="false">AB374-AB376</f>
        <v>0</v>
      </c>
    </row>
    <row r="378" customFormat="false" ht="15" hidden="false" customHeight="false" outlineLevel="0" collapsed="false">
      <c r="A378" s="27" t="s">
        <v>758</v>
      </c>
      <c r="B378" s="56" t="s">
        <v>759</v>
      </c>
      <c r="C378" s="57" t="n">
        <f aca="false">SUM(E378:P378)</f>
        <v>0</v>
      </c>
      <c r="D378" s="57" t="n">
        <f aca="false">SUM(Q378:AB378)</f>
        <v>85227.1875</v>
      </c>
      <c r="E378" s="58" t="n">
        <f aca="false">E377*Project_Register!$W$15</f>
        <v>0</v>
      </c>
      <c r="F378" s="58" t="n">
        <f aca="false">F377*Project_Register!$W$15</f>
        <v>0</v>
      </c>
      <c r="G378" s="58" t="n">
        <f aca="false">G377*Project_Register!$W$15</f>
        <v>0</v>
      </c>
      <c r="H378" s="58" t="n">
        <f aca="false">H377*Project_Register!$W$15</f>
        <v>0</v>
      </c>
      <c r="I378" s="58" t="n">
        <f aca="false">I377*Project_Register!$W$15</f>
        <v>0</v>
      </c>
      <c r="J378" s="58" t="n">
        <f aca="false">J377*Project_Register!$W$15</f>
        <v>0</v>
      </c>
      <c r="K378" s="58" t="n">
        <f aca="false">K377*Project_Register!$W$15</f>
        <v>0</v>
      </c>
      <c r="L378" s="58" t="n">
        <f aca="false">L377*Project_Register!$W$15</f>
        <v>0</v>
      </c>
      <c r="M378" s="58" t="n">
        <f aca="false">M377*Project_Register!$W$15</f>
        <v>0</v>
      </c>
      <c r="N378" s="58" t="n">
        <f aca="false">N377*Project_Register!$W$15</f>
        <v>0</v>
      </c>
      <c r="O378" s="58" t="n">
        <f aca="false">O377*Project_Register!$W$15</f>
        <v>0</v>
      </c>
      <c r="P378" s="58" t="n">
        <f aca="false">P377*Project_Register!$W$15</f>
        <v>0</v>
      </c>
      <c r="Q378" s="58" t="n">
        <f aca="false">Q377*Project_Register!$W$15</f>
        <v>0</v>
      </c>
      <c r="R378" s="58" t="n">
        <f aca="false">R377*Project_Register!$W$15</f>
        <v>0</v>
      </c>
      <c r="S378" s="58" t="n">
        <f aca="false">S377*Project_Register!$W$15</f>
        <v>3568.20556640625</v>
      </c>
      <c r="T378" s="58" t="n">
        <f aca="false">T377*Project_Register!$W$15</f>
        <v>9407.08740234375</v>
      </c>
      <c r="U378" s="58" t="n">
        <f aca="false">U377*Project_Register!$W$15</f>
        <v>13299.6752929688</v>
      </c>
      <c r="V378" s="58" t="n">
        <f aca="false">V377*Project_Register!$W$15</f>
        <v>15245.9692382813</v>
      </c>
      <c r="W378" s="58" t="n">
        <f aca="false">W377*Project_Register!$W$15</f>
        <v>15245.9692382813</v>
      </c>
      <c r="X378" s="58" t="n">
        <f aca="false">X377*Project_Register!$W$15</f>
        <v>13299.6752929688</v>
      </c>
      <c r="Y378" s="58" t="n">
        <f aca="false">Y377*Project_Register!$W$15</f>
        <v>9407.08740234375</v>
      </c>
      <c r="Z378" s="58" t="n">
        <f aca="false">Z377*Project_Register!$W$15</f>
        <v>5753.51806640625</v>
      </c>
      <c r="AA378" s="58" t="n">
        <f aca="false">AA377*Project_Register!$W$15</f>
        <v>0</v>
      </c>
      <c r="AB378" s="58" t="n">
        <f aca="false">AB377*Project_Register!$W$15</f>
        <v>0</v>
      </c>
    </row>
    <row r="379" customFormat="false" ht="15" hidden="false" customHeight="false" outlineLevel="0" collapsed="false">
      <c r="A379" s="27" t="s">
        <v>760</v>
      </c>
      <c r="B379" s="56"/>
      <c r="C379" s="57" t="n">
        <f aca="false">SUM(E379:P379)</f>
        <v>0</v>
      </c>
      <c r="D379" s="57" t="n">
        <f aca="false">SUM(Q379:AB379)</f>
        <v>716539.6875</v>
      </c>
      <c r="E379" s="70" t="n">
        <f aca="false">E377+E378</f>
        <v>0</v>
      </c>
      <c r="F379" s="70" t="n">
        <f aca="false">F377+F378</f>
        <v>0</v>
      </c>
      <c r="G379" s="70" t="n">
        <f aca="false">G377+G378</f>
        <v>0</v>
      </c>
      <c r="H379" s="70" t="n">
        <f aca="false">H377+H378</f>
        <v>0</v>
      </c>
      <c r="I379" s="70" t="n">
        <f aca="false">I377+I378</f>
        <v>0</v>
      </c>
      <c r="J379" s="70" t="n">
        <f aca="false">J377+J378</f>
        <v>0</v>
      </c>
      <c r="K379" s="70" t="n">
        <f aca="false">K377+K378</f>
        <v>0</v>
      </c>
      <c r="L379" s="70" t="n">
        <f aca="false">L377+L378</f>
        <v>0</v>
      </c>
      <c r="M379" s="70" t="n">
        <f aca="false">M377+M378</f>
        <v>0</v>
      </c>
      <c r="N379" s="70" t="n">
        <f aca="false">N377+N378</f>
        <v>0</v>
      </c>
      <c r="O379" s="70" t="n">
        <f aca="false">O377+O378</f>
        <v>0</v>
      </c>
      <c r="P379" s="70" t="n">
        <f aca="false">P377+P378</f>
        <v>0</v>
      </c>
      <c r="Q379" s="70" t="n">
        <f aca="false">Q377+Q378</f>
        <v>0</v>
      </c>
      <c r="R379" s="70" t="n">
        <f aca="false">R377+R378</f>
        <v>0</v>
      </c>
      <c r="S379" s="70" t="n">
        <f aca="false">S377+S378</f>
        <v>29999.3579101563</v>
      </c>
      <c r="T379" s="70" t="n">
        <f aca="false">T377+T378</f>
        <v>79089.2163085938</v>
      </c>
      <c r="U379" s="70" t="n">
        <f aca="false">U377+U378</f>
        <v>111815.788574219</v>
      </c>
      <c r="V379" s="70" t="n">
        <f aca="false">V377+V378</f>
        <v>128179.074707031</v>
      </c>
      <c r="W379" s="70" t="n">
        <f aca="false">W377+W378</f>
        <v>128179.074707031</v>
      </c>
      <c r="X379" s="70" t="n">
        <f aca="false">X377+X378</f>
        <v>111815.788574219</v>
      </c>
      <c r="Y379" s="70" t="n">
        <f aca="false">Y377+Y378</f>
        <v>79089.2163085938</v>
      </c>
      <c r="Z379" s="70" t="n">
        <f aca="false">Z377+Z378</f>
        <v>48372.1704101563</v>
      </c>
      <c r="AA379" s="70" t="n">
        <f aca="false">AA377+AA378</f>
        <v>0</v>
      </c>
      <c r="AB379" s="70" t="n">
        <f aca="false">AB377+AB378</f>
        <v>0</v>
      </c>
    </row>
    <row r="380" customFormat="false" ht="15" hidden="false" customHeight="false" outlineLevel="0" collapsed="false">
      <c r="A380" s="27" t="s">
        <v>761</v>
      </c>
      <c r="B380" s="56" t="s">
        <v>762</v>
      </c>
      <c r="C380" s="57" t="n">
        <f aca="false">SUM(E380:P380)</f>
        <v>0</v>
      </c>
      <c r="D380" s="57" t="n">
        <f aca="false">SUM(Q380:AB380)</f>
        <v>716539.6875</v>
      </c>
      <c r="E380" s="58" t="n">
        <f aca="false">IF(E$5="A",0,Project_Register!$AF$15+E379-(E379*MIN(1,Project_Register!$AY$15/30)+0*MIN(1,MAX(0,(Project_Register!$AY$15-30)/30))))</f>
        <v>0</v>
      </c>
      <c r="F380" s="58" t="n">
        <f aca="false">IF(F$5="A",0,E381+F379-(F379*MIN(1,Project_Register!$AY$15/30)+E379*MIN(1,MAX(0,(Project_Register!$AY$15-30)/30))))</f>
        <v>0</v>
      </c>
      <c r="G380" s="58" t="n">
        <f aca="false">IF(G$5="A",0,F381+G379-(G379*MIN(1,Project_Register!$AY$15/30)+F379*MIN(1,MAX(0,(Project_Register!$AY$15-30)/30))))</f>
        <v>0</v>
      </c>
      <c r="H380" s="58" t="n">
        <f aca="false">IF(H$5="A",0,G381+H379-(H379*MIN(1,Project_Register!$AY$15/30)+G379*MIN(1,MAX(0,(Project_Register!$AY$15-30)/30))))</f>
        <v>0</v>
      </c>
      <c r="I380" s="58" t="n">
        <f aca="false">IF(I$5="A",0,H381+I379-(I379*MIN(1,Project_Register!$AY$15/30)+H379*MIN(1,MAX(0,(Project_Register!$AY$15-30)/30))))</f>
        <v>0</v>
      </c>
      <c r="J380" s="58" t="n">
        <f aca="false">IF(J$5="A",0,I381+J379-(J379*MIN(1,Project_Register!$AY$15/30)+I379*MIN(1,MAX(0,(Project_Register!$AY$15-30)/30))))</f>
        <v>0</v>
      </c>
      <c r="K380" s="58" t="n">
        <f aca="false">IF(K$5="A",0,J381+K379-(K379*MIN(1,Project_Register!$AY$15/30)+J379*MIN(1,MAX(0,(Project_Register!$AY$15-30)/30))))</f>
        <v>0</v>
      </c>
      <c r="L380" s="58" t="n">
        <f aca="false">IF(L$5="A",0,K381+L379-(L379*MIN(1,Project_Register!$AY$15/30)+K379*MIN(1,MAX(0,(Project_Register!$AY$15-30)/30))))</f>
        <v>0</v>
      </c>
      <c r="M380" s="58" t="n">
        <f aca="false">IF(M$5="A",0,L381+M379-(M379*MIN(1,Project_Register!$AY$15/30)+L379*MIN(1,MAX(0,(Project_Register!$AY$15-30)/30))))</f>
        <v>0</v>
      </c>
      <c r="N380" s="58" t="n">
        <f aca="false">IF(N$5="A",0,M381+N379-(N379*MIN(1,Project_Register!$AY$15/30)+M379*MIN(1,MAX(0,(Project_Register!$AY$15-30)/30))))</f>
        <v>0</v>
      </c>
      <c r="O380" s="58" t="n">
        <f aca="false">IF(O$5="A",0,N381+O379-(O379*MIN(1,Project_Register!$AY$15/30)+N379*MIN(1,MAX(0,(Project_Register!$AY$15-30)/30))))</f>
        <v>0</v>
      </c>
      <c r="P380" s="58" t="n">
        <f aca="false">IF(P$5="A",0,O381+P379-(P379*MIN(1,Project_Register!$AY$15/30)+O379*MIN(1,MAX(0,(Project_Register!$AY$15-30)/30))))</f>
        <v>0</v>
      </c>
      <c r="Q380" s="58" t="n">
        <f aca="false">IF(Q$5="A",0,P381+Q379-(Q379*MIN(1,Project_Register!$AY$15/30)+P379*MIN(1,MAX(0,(Project_Register!$AY$15-30)/30))))</f>
        <v>0</v>
      </c>
      <c r="R380" s="58" t="n">
        <f aca="false">IF(R$5="A",0,Q381+R379-(R379*MIN(1,Project_Register!$AY$15/30)+Q379*MIN(1,MAX(0,(Project_Register!$AY$15-30)/30))))</f>
        <v>0</v>
      </c>
      <c r="S380" s="58" t="n">
        <f aca="false">IF(S$5="A",0,R381+S379-(S379*MIN(1,Project_Register!$AY$15/30)+R379*MIN(1,MAX(0,(Project_Register!$AY$15-30)/30))))</f>
        <v>0</v>
      </c>
      <c r="T380" s="58" t="n">
        <f aca="false">IF(T$5="A",0,S381+T379-(T379*MIN(1,Project_Register!$AY$15/30)+S379*MIN(1,MAX(0,(Project_Register!$AY$15-30)/30))))</f>
        <v>29999.3579101563</v>
      </c>
      <c r="U380" s="58" t="n">
        <f aca="false">IF(U$5="A",0,T381+U379-(U379*MIN(1,Project_Register!$AY$15/30)+T379*MIN(1,MAX(0,(Project_Register!$AY$15-30)/30))))</f>
        <v>79089.2163085938</v>
      </c>
      <c r="V380" s="58" t="n">
        <f aca="false">IF(V$5="A",0,U381+V379-(V379*MIN(1,Project_Register!$AY$15/30)+U379*MIN(1,MAX(0,(Project_Register!$AY$15-30)/30))))</f>
        <v>111815.788574219</v>
      </c>
      <c r="W380" s="58" t="n">
        <f aca="false">IF(W$5="A",0,V381+W379-(W379*MIN(1,Project_Register!$AY$15/30)+V379*MIN(1,MAX(0,(Project_Register!$AY$15-30)/30))))</f>
        <v>128179.074707031</v>
      </c>
      <c r="X380" s="58" t="n">
        <f aca="false">IF(X$5="A",0,W381+X379-(X379*MIN(1,Project_Register!$AY$15/30)+W379*MIN(1,MAX(0,(Project_Register!$AY$15-30)/30))))</f>
        <v>128179.074707031</v>
      </c>
      <c r="Y380" s="58" t="n">
        <f aca="false">IF(Y$5="A",0,X381+Y379-(Y379*MIN(1,Project_Register!$AY$15/30)+X379*MIN(1,MAX(0,(Project_Register!$AY$15-30)/30))))</f>
        <v>111815.788574219</v>
      </c>
      <c r="Z380" s="58" t="n">
        <f aca="false">IF(Z$5="A",0,Y381+Z379-(Z379*MIN(1,Project_Register!$AY$15/30)+Y379*MIN(1,MAX(0,(Project_Register!$AY$15-30)/30))))</f>
        <v>79089.2163085938</v>
      </c>
      <c r="AA380" s="58" t="n">
        <f aca="false">IF(AA$5="A",0,Z381+AA379-(AA379*MIN(1,Project_Register!$AY$15/30)+Z379*MIN(1,MAX(0,(Project_Register!$AY$15-30)/30))))</f>
        <v>48372.1704101563</v>
      </c>
      <c r="AB380" s="58" t="n">
        <f aca="false">IF(AB$5="A",0,AA381+AB379-(AB379*MIN(1,Project_Register!$AY$15/30)+AA379*MIN(1,MAX(0,(Project_Register!$AY$15-30)/30))))</f>
        <v>0</v>
      </c>
    </row>
    <row r="381" customFormat="false" ht="15" hidden="false" customHeight="false" outlineLevel="0" collapsed="false">
      <c r="A381" s="27" t="s">
        <v>763</v>
      </c>
      <c r="B381" s="56" t="s">
        <v>764</v>
      </c>
      <c r="C381" s="57" t="n">
        <f aca="false">P381</f>
        <v>0</v>
      </c>
      <c r="D381" s="57" t="n">
        <f aca="false">AB381</f>
        <v>0</v>
      </c>
      <c r="E381" s="58" t="n">
        <f aca="false">Project_Register!$AF$15+E379-E380</f>
        <v>0</v>
      </c>
      <c r="F381" s="70" t="n">
        <f aca="false">E381+F379-F380</f>
        <v>0</v>
      </c>
      <c r="G381" s="70" t="n">
        <f aca="false">F381+G379-G380</f>
        <v>0</v>
      </c>
      <c r="H381" s="70" t="n">
        <f aca="false">G381+H379-H380</f>
        <v>0</v>
      </c>
      <c r="I381" s="70" t="n">
        <f aca="false">H381+I379-I380</f>
        <v>0</v>
      </c>
      <c r="J381" s="70" t="n">
        <f aca="false">I381+J379-J380</f>
        <v>0</v>
      </c>
      <c r="K381" s="70" t="n">
        <f aca="false">J381+K379-K380</f>
        <v>0</v>
      </c>
      <c r="L381" s="70" t="n">
        <f aca="false">K381+L379-L380</f>
        <v>0</v>
      </c>
      <c r="M381" s="70" t="n">
        <f aca="false">L381+M379-M380</f>
        <v>0</v>
      </c>
      <c r="N381" s="70" t="n">
        <f aca="false">M381+N379-N380</f>
        <v>0</v>
      </c>
      <c r="O381" s="70" t="n">
        <f aca="false">N381+O379-O380</f>
        <v>0</v>
      </c>
      <c r="P381" s="70" t="n">
        <f aca="false">O381+P379-P380</f>
        <v>0</v>
      </c>
      <c r="Q381" s="70" t="n">
        <f aca="false">P381+Q379-Q380</f>
        <v>0</v>
      </c>
      <c r="R381" s="70" t="n">
        <f aca="false">Q381+R379-R380</f>
        <v>0</v>
      </c>
      <c r="S381" s="70" t="n">
        <f aca="false">R381+S379-S380</f>
        <v>29999.3579101563</v>
      </c>
      <c r="T381" s="70" t="n">
        <f aca="false">S381+T379-T380</f>
        <v>79089.2163085938</v>
      </c>
      <c r="U381" s="70" t="n">
        <f aca="false">T381+U379-U380</f>
        <v>111815.788574219</v>
      </c>
      <c r="V381" s="70" t="n">
        <f aca="false">U381+V379-V380</f>
        <v>128179.074707031</v>
      </c>
      <c r="W381" s="70" t="n">
        <f aca="false">V381+W379-W380</f>
        <v>128179.074707031</v>
      </c>
      <c r="X381" s="70" t="n">
        <f aca="false">W381+X379-X380</f>
        <v>111815.788574219</v>
      </c>
      <c r="Y381" s="70" t="n">
        <f aca="false">X381+Y379-Y380</f>
        <v>79089.2163085938</v>
      </c>
      <c r="Z381" s="70" t="n">
        <f aca="false">Y381+Z379-Z380</f>
        <v>48372.1704101563</v>
      </c>
      <c r="AA381" s="70" t="n">
        <f aca="false">Z381+AA379-AA380</f>
        <v>0</v>
      </c>
      <c r="AB381" s="70" t="n">
        <f aca="false">AA381+AB379-AB380</f>
        <v>0</v>
      </c>
    </row>
    <row r="382" customFormat="false" ht="15" hidden="false" customHeight="false" outlineLevel="0" collapsed="false">
      <c r="A382" s="27" t="s">
        <v>765</v>
      </c>
      <c r="B382" s="56" t="s">
        <v>766</v>
      </c>
      <c r="C382" s="57" t="n">
        <f aca="false">P382</f>
        <v>0</v>
      </c>
      <c r="D382" s="57" t="n">
        <f aca="false">AB382</f>
        <v>0</v>
      </c>
      <c r="E382" s="70" t="n">
        <f aca="false">E367-E373</f>
        <v>0</v>
      </c>
      <c r="F382" s="70" t="n">
        <f aca="false">F367-F373</f>
        <v>0</v>
      </c>
      <c r="G382" s="70" t="n">
        <f aca="false">G367-G373</f>
        <v>0</v>
      </c>
      <c r="H382" s="70" t="n">
        <f aca="false">H367-H373</f>
        <v>0</v>
      </c>
      <c r="I382" s="70" t="n">
        <f aca="false">I367-I373</f>
        <v>0</v>
      </c>
      <c r="J382" s="70" t="n">
        <f aca="false">J367-J373</f>
        <v>0</v>
      </c>
      <c r="K382" s="70" t="n">
        <f aca="false">K367-K373</f>
        <v>0</v>
      </c>
      <c r="L382" s="70" t="n">
        <f aca="false">L367-L373</f>
        <v>0</v>
      </c>
      <c r="M382" s="70" t="n">
        <f aca="false">M367-M373</f>
        <v>0</v>
      </c>
      <c r="N382" s="70" t="n">
        <f aca="false">N367-N373</f>
        <v>0</v>
      </c>
      <c r="O382" s="70" t="n">
        <f aca="false">O367-O373</f>
        <v>0</v>
      </c>
      <c r="P382" s="70" t="n">
        <f aca="false">P367-P373</f>
        <v>0</v>
      </c>
      <c r="Q382" s="70" t="n">
        <f aca="false">Q367-Q373</f>
        <v>0</v>
      </c>
      <c r="R382" s="70" t="n">
        <f aca="false">R367-R373</f>
        <v>27822.265625</v>
      </c>
      <c r="S382" s="70" t="n">
        <f aca="false">S367-S373</f>
        <v>73349.609375</v>
      </c>
      <c r="T382" s="70" t="n">
        <f aca="false">T367-T373</f>
        <v>103701.171875</v>
      </c>
      <c r="U382" s="70" t="n">
        <f aca="false">U367-U373</f>
        <v>118876.953125</v>
      </c>
      <c r="V382" s="70" t="n">
        <f aca="false">V367-V373</f>
        <v>118876.953125</v>
      </c>
      <c r="W382" s="70" t="n">
        <f aca="false">W367-W373</f>
        <v>103701.171875</v>
      </c>
      <c r="X382" s="70" t="n">
        <f aca="false">X367-X373</f>
        <v>73349.609375</v>
      </c>
      <c r="Y382" s="70" t="n">
        <f aca="false">Y367-Y373</f>
        <v>27822.265625</v>
      </c>
      <c r="Z382" s="70" t="n">
        <f aca="false">Z367-Z373</f>
        <v>0</v>
      </c>
      <c r="AA382" s="70" t="n">
        <f aca="false">AA367-AA373</f>
        <v>0</v>
      </c>
      <c r="AB382" s="70" t="n">
        <f aca="false">AB367-AB373</f>
        <v>0</v>
      </c>
    </row>
    <row r="383" customFormat="false" ht="15" hidden="false" customHeight="false" outlineLevel="0" collapsed="false">
      <c r="A383" s="27" t="s">
        <v>767</v>
      </c>
      <c r="B383" s="56"/>
      <c r="C383" s="57" t="n">
        <f aca="false">P383</f>
        <v>0</v>
      </c>
      <c r="D383" s="57" t="n">
        <f aca="false">AB383</f>
        <v>0</v>
      </c>
      <c r="E383" s="70" t="n">
        <f aca="false">MAX(0,E382)</f>
        <v>0</v>
      </c>
      <c r="F383" s="70" t="n">
        <f aca="false">MAX(0,F382)</f>
        <v>0</v>
      </c>
      <c r="G383" s="70" t="n">
        <f aca="false">MAX(0,G382)</f>
        <v>0</v>
      </c>
      <c r="H383" s="70" t="n">
        <f aca="false">MAX(0,H382)</f>
        <v>0</v>
      </c>
      <c r="I383" s="70" t="n">
        <f aca="false">MAX(0,I382)</f>
        <v>0</v>
      </c>
      <c r="J383" s="70" t="n">
        <f aca="false">MAX(0,J382)</f>
        <v>0</v>
      </c>
      <c r="K383" s="70" t="n">
        <f aca="false">MAX(0,K382)</f>
        <v>0</v>
      </c>
      <c r="L383" s="70" t="n">
        <f aca="false">MAX(0,L382)</f>
        <v>0</v>
      </c>
      <c r="M383" s="70" t="n">
        <f aca="false">MAX(0,M382)</f>
        <v>0</v>
      </c>
      <c r="N383" s="70" t="n">
        <f aca="false">MAX(0,N382)</f>
        <v>0</v>
      </c>
      <c r="O383" s="70" t="n">
        <f aca="false">MAX(0,O382)</f>
        <v>0</v>
      </c>
      <c r="P383" s="70" t="n">
        <f aca="false">MAX(0,P382)</f>
        <v>0</v>
      </c>
      <c r="Q383" s="70" t="n">
        <f aca="false">MAX(0,Q382)</f>
        <v>0</v>
      </c>
      <c r="R383" s="70" t="n">
        <f aca="false">MAX(0,R382)</f>
        <v>27822.265625</v>
      </c>
      <c r="S383" s="70" t="n">
        <f aca="false">MAX(0,S382)</f>
        <v>73349.609375</v>
      </c>
      <c r="T383" s="70" t="n">
        <f aca="false">MAX(0,T382)</f>
        <v>103701.171875</v>
      </c>
      <c r="U383" s="70" t="n">
        <f aca="false">MAX(0,U382)</f>
        <v>118876.953125</v>
      </c>
      <c r="V383" s="70" t="n">
        <f aca="false">MAX(0,V382)</f>
        <v>118876.953125</v>
      </c>
      <c r="W383" s="70" t="n">
        <f aca="false">MAX(0,W382)</f>
        <v>103701.171875</v>
      </c>
      <c r="X383" s="70" t="n">
        <f aca="false">MAX(0,X382)</f>
        <v>73349.609375</v>
      </c>
      <c r="Y383" s="70" t="n">
        <f aca="false">MAX(0,Y382)</f>
        <v>27822.265625</v>
      </c>
      <c r="Z383" s="70" t="n">
        <f aca="false">MAX(0,Z382)</f>
        <v>0</v>
      </c>
      <c r="AA383" s="70" t="n">
        <f aca="false">MAX(0,AA382)</f>
        <v>0</v>
      </c>
      <c r="AB383" s="70" t="n">
        <f aca="false">MAX(0,AB382)</f>
        <v>0</v>
      </c>
    </row>
    <row r="384" customFormat="false" ht="15" hidden="false" customHeight="false" outlineLevel="0" collapsed="false">
      <c r="A384" s="27" t="s">
        <v>768</v>
      </c>
      <c r="B384" s="56"/>
      <c r="C384" s="57" t="n">
        <f aca="false">P384</f>
        <v>-0</v>
      </c>
      <c r="D384" s="57" t="n">
        <f aca="false">AB384</f>
        <v>-0</v>
      </c>
      <c r="E384" s="70" t="n">
        <f aca="false">MAX(0,-E382)</f>
        <v>-0</v>
      </c>
      <c r="F384" s="70" t="n">
        <f aca="false">MAX(0,-F382)</f>
        <v>-0</v>
      </c>
      <c r="G384" s="70" t="n">
        <f aca="false">MAX(0,-G382)</f>
        <v>-0</v>
      </c>
      <c r="H384" s="70" t="n">
        <f aca="false">MAX(0,-H382)</f>
        <v>-0</v>
      </c>
      <c r="I384" s="70" t="n">
        <f aca="false">MAX(0,-I382)</f>
        <v>-0</v>
      </c>
      <c r="J384" s="70" t="n">
        <f aca="false">MAX(0,-J382)</f>
        <v>-0</v>
      </c>
      <c r="K384" s="70" t="n">
        <f aca="false">MAX(0,-K382)</f>
        <v>-0</v>
      </c>
      <c r="L384" s="70" t="n">
        <f aca="false">MAX(0,-L382)</f>
        <v>-0</v>
      </c>
      <c r="M384" s="70" t="n">
        <f aca="false">MAX(0,-M382)</f>
        <v>-0</v>
      </c>
      <c r="N384" s="70" t="n">
        <f aca="false">MAX(0,-N382)</f>
        <v>-0</v>
      </c>
      <c r="O384" s="70" t="n">
        <f aca="false">MAX(0,-O382)</f>
        <v>-0</v>
      </c>
      <c r="P384" s="70" t="n">
        <f aca="false">MAX(0,-P382)</f>
        <v>-0</v>
      </c>
      <c r="Q384" s="70" t="n">
        <f aca="false">MAX(0,-Q382)</f>
        <v>-0</v>
      </c>
      <c r="R384" s="70" t="n">
        <f aca="false">MAX(0,-R382)</f>
        <v>0</v>
      </c>
      <c r="S384" s="70" t="n">
        <f aca="false">MAX(0,-S382)</f>
        <v>0</v>
      </c>
      <c r="T384" s="70" t="n">
        <f aca="false">MAX(0,-T382)</f>
        <v>0</v>
      </c>
      <c r="U384" s="70" t="n">
        <f aca="false">MAX(0,-U382)</f>
        <v>0</v>
      </c>
      <c r="V384" s="70" t="n">
        <f aca="false">MAX(0,-V382)</f>
        <v>0</v>
      </c>
      <c r="W384" s="70" t="n">
        <f aca="false">MAX(0,-W382)</f>
        <v>0</v>
      </c>
      <c r="X384" s="70" t="n">
        <f aca="false">MAX(0,-X382)</f>
        <v>0</v>
      </c>
      <c r="Y384" s="70" t="n">
        <f aca="false">MAX(0,-Y382)</f>
        <v>0</v>
      </c>
      <c r="Z384" s="70" t="n">
        <f aca="false">MAX(0,-Z382)</f>
        <v>-0</v>
      </c>
      <c r="AA384" s="70" t="n">
        <f aca="false">MAX(0,-AA382)</f>
        <v>-0</v>
      </c>
      <c r="AB384" s="70" t="n">
        <f aca="false">MAX(0,-AB382)</f>
        <v>-0</v>
      </c>
    </row>
    <row r="385" customFormat="false" ht="15" hidden="false" customHeight="false" outlineLevel="0" collapsed="false">
      <c r="A385" s="27" t="s">
        <v>769</v>
      </c>
      <c r="B385" s="56"/>
      <c r="C385" s="57" t="n">
        <f aca="false">P385</f>
        <v>0</v>
      </c>
      <c r="D385" s="57" t="n">
        <f aca="false">AB385</f>
        <v>280000</v>
      </c>
      <c r="E385" s="58" t="n">
        <f aca="false">Project_Register!$AG$15+E355</f>
        <v>0</v>
      </c>
      <c r="F385" s="70" t="n">
        <f aca="false">E385+F355</f>
        <v>0</v>
      </c>
      <c r="G385" s="70" t="n">
        <f aca="false">F385+G355</f>
        <v>0</v>
      </c>
      <c r="H385" s="70" t="n">
        <f aca="false">G385+H355</f>
        <v>0</v>
      </c>
      <c r="I385" s="70" t="n">
        <f aca="false">H385+I355</f>
        <v>0</v>
      </c>
      <c r="J385" s="70" t="n">
        <f aca="false">I385+J355</f>
        <v>0</v>
      </c>
      <c r="K385" s="70" t="n">
        <f aca="false">J385+K355</f>
        <v>0</v>
      </c>
      <c r="L385" s="70" t="n">
        <f aca="false">K385+L355</f>
        <v>0</v>
      </c>
      <c r="M385" s="70" t="n">
        <f aca="false">L385+M355</f>
        <v>0</v>
      </c>
      <c r="N385" s="70" t="n">
        <f aca="false">M385+N355</f>
        <v>0</v>
      </c>
      <c r="O385" s="70" t="n">
        <f aca="false">N385+O355</f>
        <v>0</v>
      </c>
      <c r="P385" s="70" t="n">
        <f aca="false">O385+P355</f>
        <v>0</v>
      </c>
      <c r="Q385" s="70" t="n">
        <f aca="false">P385+Q355</f>
        <v>0</v>
      </c>
      <c r="R385" s="70" t="n">
        <f aca="false">Q385+R355</f>
        <v>12031.25</v>
      </c>
      <c r="S385" s="70" t="n">
        <f aca="false">R385+S355</f>
        <v>43750</v>
      </c>
      <c r="T385" s="70" t="n">
        <f aca="false">S385+T355</f>
        <v>88593.75</v>
      </c>
      <c r="U385" s="70" t="n">
        <f aca="false">T385+U355</f>
        <v>140000</v>
      </c>
      <c r="V385" s="70" t="n">
        <f aca="false">U385+V355</f>
        <v>191406.25</v>
      </c>
      <c r="W385" s="70" t="n">
        <f aca="false">V385+W355</f>
        <v>236250</v>
      </c>
      <c r="X385" s="70" t="n">
        <f aca="false">W385+X355</f>
        <v>267968.75</v>
      </c>
      <c r="Y385" s="70" t="n">
        <f aca="false">X385+Y355</f>
        <v>280000</v>
      </c>
      <c r="Z385" s="70" t="n">
        <f aca="false">Y385+Z355</f>
        <v>280000</v>
      </c>
      <c r="AA385" s="70" t="n">
        <f aca="false">Z385+AA355</f>
        <v>280000</v>
      </c>
      <c r="AB385" s="70" t="n">
        <f aca="false">AA385+AB355</f>
        <v>280000</v>
      </c>
    </row>
    <row r="386" customFormat="false" ht="15" hidden="false" customHeight="false" outlineLevel="0" collapsed="false">
      <c r="A386" s="27" t="s">
        <v>770</v>
      </c>
      <c r="B386" s="56"/>
      <c r="C386" s="57" t="n">
        <f aca="false">P386</f>
        <v>0</v>
      </c>
      <c r="D386" s="57" t="n">
        <f aca="false">AB386</f>
        <v>7000</v>
      </c>
      <c r="E386" s="58" t="n">
        <f aca="false">Project_Register!$U$15*E385*(1-Project_Register!$R$15*(Assumptions!E$96&gt;=Project_Register!$AK$15+1)-(1-Project_Register!$R$15)*(Assumptions!E$96&gt;=Project_Register!$AN$15))</f>
        <v>0</v>
      </c>
      <c r="F386" s="58" t="n">
        <f aca="false">Project_Register!$U$15*F385*(1-Project_Register!$R$15*(Assumptions!F$96&gt;=Project_Register!$AK$15+1)-(1-Project_Register!$R$15)*(Assumptions!F$96&gt;=Project_Register!$AN$15))</f>
        <v>0</v>
      </c>
      <c r="G386" s="58" t="n">
        <f aca="false">Project_Register!$U$15*G385*(1-Project_Register!$R$15*(Assumptions!G$96&gt;=Project_Register!$AK$15+1)-(1-Project_Register!$R$15)*(Assumptions!G$96&gt;=Project_Register!$AN$15))</f>
        <v>0</v>
      </c>
      <c r="H386" s="58" t="n">
        <f aca="false">Project_Register!$U$15*H385*(1-Project_Register!$R$15*(Assumptions!H$96&gt;=Project_Register!$AK$15+1)-(1-Project_Register!$R$15)*(Assumptions!H$96&gt;=Project_Register!$AN$15))</f>
        <v>0</v>
      </c>
      <c r="I386" s="58" t="n">
        <f aca="false">Project_Register!$U$15*I385*(1-Project_Register!$R$15*(Assumptions!I$96&gt;=Project_Register!$AK$15+1)-(1-Project_Register!$R$15)*(Assumptions!I$96&gt;=Project_Register!$AN$15))</f>
        <v>0</v>
      </c>
      <c r="J386" s="58" t="n">
        <f aca="false">Project_Register!$U$15*J385*(1-Project_Register!$R$15*(Assumptions!J$96&gt;=Project_Register!$AK$15+1)-(1-Project_Register!$R$15)*(Assumptions!J$96&gt;=Project_Register!$AN$15))</f>
        <v>0</v>
      </c>
      <c r="K386" s="58" t="n">
        <f aca="false">Project_Register!$U$15*K385*(1-Project_Register!$R$15*(Assumptions!K$96&gt;=Project_Register!$AK$15+1)-(1-Project_Register!$R$15)*(Assumptions!K$96&gt;=Project_Register!$AN$15))</f>
        <v>0</v>
      </c>
      <c r="L386" s="58" t="n">
        <f aca="false">Project_Register!$U$15*L385*(1-Project_Register!$R$15*(Assumptions!L$96&gt;=Project_Register!$AK$15+1)-(1-Project_Register!$R$15)*(Assumptions!L$96&gt;=Project_Register!$AN$15))</f>
        <v>0</v>
      </c>
      <c r="M386" s="58" t="n">
        <f aca="false">Project_Register!$U$15*M385*(1-Project_Register!$R$15*(Assumptions!M$96&gt;=Project_Register!$AK$15+1)-(1-Project_Register!$R$15)*(Assumptions!M$96&gt;=Project_Register!$AN$15))</f>
        <v>0</v>
      </c>
      <c r="N386" s="58" t="n">
        <f aca="false">Project_Register!$U$15*N385*(1-Project_Register!$R$15*(Assumptions!N$96&gt;=Project_Register!$AK$15+1)-(1-Project_Register!$R$15)*(Assumptions!N$96&gt;=Project_Register!$AN$15))</f>
        <v>0</v>
      </c>
      <c r="O386" s="58" t="n">
        <f aca="false">Project_Register!$U$15*O385*(1-Project_Register!$R$15*(Assumptions!O$96&gt;=Project_Register!$AK$15+1)-(1-Project_Register!$R$15)*(Assumptions!O$96&gt;=Project_Register!$AN$15))</f>
        <v>0</v>
      </c>
      <c r="P386" s="58" t="n">
        <f aca="false">Project_Register!$U$15*P385*(1-Project_Register!$R$15*(Assumptions!P$96&gt;=Project_Register!$AK$15+1)-(1-Project_Register!$R$15)*(Assumptions!P$96&gt;=Project_Register!$AN$15))</f>
        <v>0</v>
      </c>
      <c r="Q386" s="58" t="n">
        <f aca="false">Project_Register!$U$15*Q385*(1-Project_Register!$R$15*(Assumptions!Q$96&gt;=Project_Register!$AK$15+1)-(1-Project_Register!$R$15)*(Assumptions!Q$96&gt;=Project_Register!$AN$15))</f>
        <v>0</v>
      </c>
      <c r="R386" s="58" t="n">
        <f aca="false">Project_Register!$U$15*R385*(1-Project_Register!$R$15*(Assumptions!R$96&gt;=Project_Register!$AK$15+1)-(1-Project_Register!$R$15)*(Assumptions!R$96&gt;=Project_Register!$AN$15))</f>
        <v>601.5625</v>
      </c>
      <c r="S386" s="58" t="n">
        <f aca="false">Project_Register!$U$15*S385*(1-Project_Register!$R$15*(Assumptions!S$96&gt;=Project_Register!$AK$15+1)-(1-Project_Register!$R$15)*(Assumptions!S$96&gt;=Project_Register!$AN$15))</f>
        <v>2187.5</v>
      </c>
      <c r="T386" s="58" t="n">
        <f aca="false">Project_Register!$U$15*T385*(1-Project_Register!$R$15*(Assumptions!T$96&gt;=Project_Register!$AK$15+1)-(1-Project_Register!$R$15)*(Assumptions!T$96&gt;=Project_Register!$AN$15))</f>
        <v>4429.6875</v>
      </c>
      <c r="U386" s="58" t="n">
        <f aca="false">Project_Register!$U$15*U385*(1-Project_Register!$R$15*(Assumptions!U$96&gt;=Project_Register!$AK$15+1)-(1-Project_Register!$R$15)*(Assumptions!U$96&gt;=Project_Register!$AN$15))</f>
        <v>7000</v>
      </c>
      <c r="V386" s="58" t="n">
        <f aca="false">Project_Register!$U$15*V385*(1-Project_Register!$R$15*(Assumptions!V$96&gt;=Project_Register!$AK$15+1)-(1-Project_Register!$R$15)*(Assumptions!V$96&gt;=Project_Register!$AN$15))</f>
        <v>9570.3125</v>
      </c>
      <c r="W386" s="58" t="n">
        <f aca="false">Project_Register!$U$15*W385*(1-Project_Register!$R$15*(Assumptions!W$96&gt;=Project_Register!$AK$15+1)-(1-Project_Register!$R$15)*(Assumptions!W$96&gt;=Project_Register!$AN$15))</f>
        <v>11812.5</v>
      </c>
      <c r="X386" s="58" t="n">
        <f aca="false">Project_Register!$U$15*X385*(1-Project_Register!$R$15*(Assumptions!X$96&gt;=Project_Register!$AK$15+1)-(1-Project_Register!$R$15)*(Assumptions!X$96&gt;=Project_Register!$AN$15))</f>
        <v>13398.4375</v>
      </c>
      <c r="Y386" s="58" t="n">
        <f aca="false">Project_Register!$U$15*Y385*(1-Project_Register!$R$15*(Assumptions!Y$96&gt;=Project_Register!$AK$15+1)-(1-Project_Register!$R$15)*(Assumptions!Y$96&gt;=Project_Register!$AN$15))</f>
        <v>14000</v>
      </c>
      <c r="Z386" s="58" t="n">
        <f aca="false">Project_Register!$U$15*Z385*(1-Project_Register!$R$15*(Assumptions!Z$96&gt;=Project_Register!$AK$15+1)-(1-Project_Register!$R$15)*(Assumptions!Z$96&gt;=Project_Register!$AN$15))</f>
        <v>7000</v>
      </c>
      <c r="AA386" s="58" t="n">
        <f aca="false">Project_Register!$U$15*AA385*(1-Project_Register!$R$15*(Assumptions!AA$96&gt;=Project_Register!$AK$15+1)-(1-Project_Register!$R$15)*(Assumptions!AA$96&gt;=Project_Register!$AN$15))</f>
        <v>7000</v>
      </c>
      <c r="AB386" s="58" t="n">
        <f aca="false">Project_Register!$U$15*AB385*(1-Project_Register!$R$15*(Assumptions!AB$96&gt;=Project_Register!$AK$15+1)-(1-Project_Register!$R$15)*(Assumptions!AB$96&gt;=Project_Register!$AN$15))</f>
        <v>7000</v>
      </c>
    </row>
    <row r="387" customFormat="false" ht="15" hidden="false" customHeight="false" outlineLevel="0" collapsed="false">
      <c r="A387" s="27" t="s">
        <v>771</v>
      </c>
      <c r="B387" s="56"/>
      <c r="C387" s="57" t="n">
        <f aca="false">SUM(E387:P387)</f>
        <v>0</v>
      </c>
      <c r="D387" s="57" t="n">
        <f aca="false">SUM(Q387:AB387)</f>
        <v>7000</v>
      </c>
      <c r="E387" s="58" t="n">
        <f aca="false">E386-Project_Register!$AX$15</f>
        <v>0</v>
      </c>
      <c r="F387" s="70" t="n">
        <f aca="false">F386-E386</f>
        <v>0</v>
      </c>
      <c r="G387" s="70" t="n">
        <f aca="false">G386-F386</f>
        <v>0</v>
      </c>
      <c r="H387" s="70" t="n">
        <f aca="false">H386-G386</f>
        <v>0</v>
      </c>
      <c r="I387" s="70" t="n">
        <f aca="false">I386-H386</f>
        <v>0</v>
      </c>
      <c r="J387" s="70" t="n">
        <f aca="false">J386-I386</f>
        <v>0</v>
      </c>
      <c r="K387" s="70" t="n">
        <f aca="false">K386-J386</f>
        <v>0</v>
      </c>
      <c r="L387" s="70" t="n">
        <f aca="false">L386-K386</f>
        <v>0</v>
      </c>
      <c r="M387" s="70" t="n">
        <f aca="false">M386-L386</f>
        <v>0</v>
      </c>
      <c r="N387" s="70" t="n">
        <f aca="false">N386-M386</f>
        <v>0</v>
      </c>
      <c r="O387" s="70" t="n">
        <f aca="false">O386-N386</f>
        <v>0</v>
      </c>
      <c r="P387" s="70" t="n">
        <f aca="false">P386-O386</f>
        <v>0</v>
      </c>
      <c r="Q387" s="70" t="n">
        <f aca="false">Q386-P386</f>
        <v>0</v>
      </c>
      <c r="R387" s="70" t="n">
        <f aca="false">R386-Q386</f>
        <v>601.5625</v>
      </c>
      <c r="S387" s="70" t="n">
        <f aca="false">S386-R386</f>
        <v>1585.9375</v>
      </c>
      <c r="T387" s="70" t="n">
        <f aca="false">T386-S386</f>
        <v>2242.1875</v>
      </c>
      <c r="U387" s="70" t="n">
        <f aca="false">U386-T386</f>
        <v>2570.3125</v>
      </c>
      <c r="V387" s="70" t="n">
        <f aca="false">V386-U386</f>
        <v>2570.3125</v>
      </c>
      <c r="W387" s="70" t="n">
        <f aca="false">W386-V386</f>
        <v>2242.1875</v>
      </c>
      <c r="X387" s="70" t="n">
        <f aca="false">X386-W386</f>
        <v>1585.9375</v>
      </c>
      <c r="Y387" s="70" t="n">
        <f aca="false">Y386-X386</f>
        <v>601.5625</v>
      </c>
      <c r="Z387" s="70" t="n">
        <f aca="false">Z386-Y386</f>
        <v>-7000</v>
      </c>
      <c r="AA387" s="70" t="n">
        <f aca="false">AA386-Z386</f>
        <v>0</v>
      </c>
      <c r="AB387" s="70" t="n">
        <f aca="false">AB386-AA386</f>
        <v>0</v>
      </c>
    </row>
    <row r="388" customFormat="false" ht="15" hidden="false" customHeight="false" outlineLevel="0" collapsed="false">
      <c r="A388" s="27" t="s">
        <v>772</v>
      </c>
      <c r="B388" s="56" t="s">
        <v>773</v>
      </c>
      <c r="C388" s="57" t="n">
        <f aca="false">P388</f>
        <v>0</v>
      </c>
      <c r="D388" s="57" t="n">
        <f aca="false">AB388</f>
        <v>0</v>
      </c>
      <c r="E388" s="58" t="n">
        <f aca="false">Project_Register!$V$15*Project_Register!$AO$15*(Assumptions!E$96&gt;=Project_Register!$AL$15)*(Assumptions!E$96&lt;=Project_Register!$AK$15)</f>
        <v>0</v>
      </c>
      <c r="F388" s="58" t="n">
        <f aca="false">Project_Register!$V$15*Project_Register!$AO$15*(Assumptions!F$96&gt;=Project_Register!$AL$15)*(Assumptions!F$96&lt;=Project_Register!$AK$15)</f>
        <v>0</v>
      </c>
      <c r="G388" s="58" t="n">
        <f aca="false">Project_Register!$V$15*Project_Register!$AO$15*(Assumptions!G$96&gt;=Project_Register!$AL$15)*(Assumptions!G$96&lt;=Project_Register!$AK$15)</f>
        <v>0</v>
      </c>
      <c r="H388" s="58" t="n">
        <f aca="false">Project_Register!$V$15*Project_Register!$AO$15*(Assumptions!H$96&gt;=Project_Register!$AL$15)*(Assumptions!H$96&lt;=Project_Register!$AK$15)</f>
        <v>0</v>
      </c>
      <c r="I388" s="58" t="n">
        <f aca="false">Project_Register!$V$15*Project_Register!$AO$15*(Assumptions!I$96&gt;=Project_Register!$AL$15)*(Assumptions!I$96&lt;=Project_Register!$AK$15)</f>
        <v>0</v>
      </c>
      <c r="J388" s="58" t="n">
        <f aca="false">Project_Register!$V$15*Project_Register!$AO$15*(Assumptions!J$96&gt;=Project_Register!$AL$15)*(Assumptions!J$96&lt;=Project_Register!$AK$15)</f>
        <v>0</v>
      </c>
      <c r="K388" s="58" t="n">
        <f aca="false">Project_Register!$V$15*Project_Register!$AO$15*(Assumptions!K$96&gt;=Project_Register!$AL$15)*(Assumptions!K$96&lt;=Project_Register!$AK$15)</f>
        <v>0</v>
      </c>
      <c r="L388" s="58" t="n">
        <f aca="false">Project_Register!$V$15*Project_Register!$AO$15*(Assumptions!L$96&gt;=Project_Register!$AL$15)*(Assumptions!L$96&lt;=Project_Register!$AK$15)</f>
        <v>0</v>
      </c>
      <c r="M388" s="58" t="n">
        <f aca="false">Project_Register!$V$15*Project_Register!$AO$15*(Assumptions!M$96&gt;=Project_Register!$AL$15)*(Assumptions!M$96&lt;=Project_Register!$AK$15)</f>
        <v>0</v>
      </c>
      <c r="N388" s="58" t="n">
        <f aca="false">Project_Register!$V$15*Project_Register!$AO$15*(Assumptions!N$96&gt;=Project_Register!$AL$15)*(Assumptions!N$96&lt;=Project_Register!$AK$15)</f>
        <v>0</v>
      </c>
      <c r="O388" s="58" t="n">
        <f aca="false">Project_Register!$V$15*Project_Register!$AO$15*(Assumptions!O$96&gt;=Project_Register!$AL$15)*(Assumptions!O$96&lt;=Project_Register!$AK$15)</f>
        <v>0</v>
      </c>
      <c r="P388" s="58" t="n">
        <f aca="false">Project_Register!$V$15*Project_Register!$AO$15*(Assumptions!P$96&gt;=Project_Register!$AL$15)*(Assumptions!P$96&lt;=Project_Register!$AK$15)</f>
        <v>0</v>
      </c>
      <c r="Q388" s="58" t="n">
        <f aca="false">Project_Register!$V$15*Project_Register!$AO$15*(Assumptions!Q$96&gt;=Project_Register!$AL$15)*(Assumptions!Q$96&lt;=Project_Register!$AK$15)</f>
        <v>64750</v>
      </c>
      <c r="R388" s="58" t="n">
        <f aca="false">Project_Register!$V$15*Project_Register!$AO$15*(Assumptions!R$96&gt;=Project_Register!$AL$15)*(Assumptions!R$96&lt;=Project_Register!$AK$15)</f>
        <v>64750</v>
      </c>
      <c r="S388" s="58" t="n">
        <f aca="false">Project_Register!$V$15*Project_Register!$AO$15*(Assumptions!S$96&gt;=Project_Register!$AL$15)*(Assumptions!S$96&lt;=Project_Register!$AK$15)</f>
        <v>64750</v>
      </c>
      <c r="T388" s="58" t="n">
        <f aca="false">Project_Register!$V$15*Project_Register!$AO$15*(Assumptions!T$96&gt;=Project_Register!$AL$15)*(Assumptions!T$96&lt;=Project_Register!$AK$15)</f>
        <v>64750</v>
      </c>
      <c r="U388" s="58" t="n">
        <f aca="false">Project_Register!$V$15*Project_Register!$AO$15*(Assumptions!U$96&gt;=Project_Register!$AL$15)*(Assumptions!U$96&lt;=Project_Register!$AK$15)</f>
        <v>64750</v>
      </c>
      <c r="V388" s="58" t="n">
        <f aca="false">Project_Register!$V$15*Project_Register!$AO$15*(Assumptions!V$96&gt;=Project_Register!$AL$15)*(Assumptions!V$96&lt;=Project_Register!$AK$15)</f>
        <v>64750</v>
      </c>
      <c r="W388" s="58" t="n">
        <f aca="false">Project_Register!$V$15*Project_Register!$AO$15*(Assumptions!W$96&gt;=Project_Register!$AL$15)*(Assumptions!W$96&lt;=Project_Register!$AK$15)</f>
        <v>64750</v>
      </c>
      <c r="X388" s="58" t="n">
        <f aca="false">Project_Register!$V$15*Project_Register!$AO$15*(Assumptions!X$96&gt;=Project_Register!$AL$15)*(Assumptions!X$96&lt;=Project_Register!$AK$15)</f>
        <v>64750</v>
      </c>
      <c r="Y388" s="58" t="n">
        <f aca="false">Project_Register!$V$15*Project_Register!$AO$15*(Assumptions!Y$96&gt;=Project_Register!$AL$15)*(Assumptions!Y$96&lt;=Project_Register!$AK$15)</f>
        <v>64750</v>
      </c>
      <c r="Z388" s="58" t="n">
        <f aca="false">Project_Register!$V$15*Project_Register!$AO$15*(Assumptions!Z$96&gt;=Project_Register!$AL$15)*(Assumptions!Z$96&lt;=Project_Register!$AK$15)</f>
        <v>0</v>
      </c>
      <c r="AA388" s="58" t="n">
        <f aca="false">Project_Register!$V$15*Project_Register!$AO$15*(Assumptions!AA$96&gt;=Project_Register!$AL$15)*(Assumptions!AA$96&lt;=Project_Register!$AK$15)</f>
        <v>0</v>
      </c>
      <c r="AB388" s="58" t="n">
        <f aca="false">Project_Register!$V$15*Project_Register!$AO$15*(Assumptions!AB$96&gt;=Project_Register!$AL$15)*(Assumptions!AB$96&lt;=Project_Register!$AK$15)</f>
        <v>0</v>
      </c>
    </row>
    <row r="389" customFormat="false" ht="15" hidden="false" customHeight="false" outlineLevel="0" collapsed="false">
      <c r="A389" s="27" t="s">
        <v>774</v>
      </c>
      <c r="B389" s="56"/>
      <c r="C389" s="57" t="n">
        <f aca="false">P389</f>
        <v>647500</v>
      </c>
      <c r="D389" s="57" t="n">
        <f aca="false">AB389</f>
        <v>0</v>
      </c>
      <c r="E389" s="58" t="n">
        <f aca="false">IF(OR(Project_Register!$E$15="Pipeline",Assumptions!E$96&gt;=Project_Register!$AL$15),MAX(0,E366-E367),0)</f>
        <v>647500</v>
      </c>
      <c r="F389" s="58" t="n">
        <f aca="false">IF(OR(Project_Register!$E$15="Pipeline",Assumptions!F$96&gt;=Project_Register!$AL$15),MAX(0,F366-F367),0)</f>
        <v>647500</v>
      </c>
      <c r="G389" s="58" t="n">
        <f aca="false">IF(OR(Project_Register!$E$15="Pipeline",Assumptions!G$96&gt;=Project_Register!$AL$15),MAX(0,G366-G367),0)</f>
        <v>647500</v>
      </c>
      <c r="H389" s="58" t="n">
        <f aca="false">IF(OR(Project_Register!$E$15="Pipeline",Assumptions!H$96&gt;=Project_Register!$AL$15),MAX(0,H366-H367),0)</f>
        <v>647500</v>
      </c>
      <c r="I389" s="58" t="n">
        <f aca="false">IF(OR(Project_Register!$E$15="Pipeline",Assumptions!I$96&gt;=Project_Register!$AL$15),MAX(0,I366-I367),0)</f>
        <v>647500</v>
      </c>
      <c r="J389" s="58" t="n">
        <f aca="false">IF(OR(Project_Register!$E$15="Pipeline",Assumptions!J$96&gt;=Project_Register!$AL$15),MAX(0,J366-J367),0)</f>
        <v>647500</v>
      </c>
      <c r="K389" s="58" t="n">
        <f aca="false">IF(OR(Project_Register!$E$15="Pipeline",Assumptions!K$96&gt;=Project_Register!$AL$15),MAX(0,K366-K367),0)</f>
        <v>647500</v>
      </c>
      <c r="L389" s="58" t="n">
        <f aca="false">IF(OR(Project_Register!$E$15="Pipeline",Assumptions!L$96&gt;=Project_Register!$AL$15),MAX(0,L366-L367),0)</f>
        <v>647500</v>
      </c>
      <c r="M389" s="58" t="n">
        <f aca="false">IF(OR(Project_Register!$E$15="Pipeline",Assumptions!M$96&gt;=Project_Register!$AL$15),MAX(0,M366-M367),0)</f>
        <v>647500</v>
      </c>
      <c r="N389" s="58" t="n">
        <f aca="false">IF(OR(Project_Register!$E$15="Pipeline",Assumptions!N$96&gt;=Project_Register!$AL$15),MAX(0,N366-N367),0)</f>
        <v>647500</v>
      </c>
      <c r="O389" s="58" t="n">
        <f aca="false">IF(OR(Project_Register!$E$15="Pipeline",Assumptions!O$96&gt;=Project_Register!$AL$15),MAX(0,O366-O367),0)</f>
        <v>647500</v>
      </c>
      <c r="P389" s="58" t="n">
        <f aca="false">IF(OR(Project_Register!$E$15="Pipeline",Assumptions!P$96&gt;=Project_Register!$AL$15),MAX(0,P366-P367),0)</f>
        <v>647500</v>
      </c>
      <c r="Q389" s="58" t="n">
        <f aca="false">IF(OR(Project_Register!$E$15="Pipeline",Assumptions!Q$96&gt;=Project_Register!$AL$15),MAX(0,Q366-Q367),0)</f>
        <v>647500</v>
      </c>
      <c r="R389" s="58" t="n">
        <f aca="false">IF(OR(Project_Register!$E$15="Pipeline",Assumptions!R$96&gt;=Project_Register!$AL$15),MAX(0,R366-R367),0)</f>
        <v>619677.734375</v>
      </c>
      <c r="S389" s="58" t="n">
        <f aca="false">IF(OR(Project_Register!$E$15="Pipeline",Assumptions!S$96&gt;=Project_Register!$AL$15),MAX(0,S366-S367),0)</f>
        <v>546328.125</v>
      </c>
      <c r="T389" s="58" t="n">
        <f aca="false">IF(OR(Project_Register!$E$15="Pipeline",Assumptions!T$96&gt;=Project_Register!$AL$15),MAX(0,T366-T367),0)</f>
        <v>442626.953125</v>
      </c>
      <c r="U389" s="58" t="n">
        <f aca="false">IF(OR(Project_Register!$E$15="Pipeline",Assumptions!U$96&gt;=Project_Register!$AL$15),MAX(0,U366-U367),0)</f>
        <v>323750</v>
      </c>
      <c r="V389" s="58" t="n">
        <f aca="false">IF(OR(Project_Register!$E$15="Pipeline",Assumptions!V$96&gt;=Project_Register!$AL$15),MAX(0,V366-V367),0)</f>
        <v>204873.046875</v>
      </c>
      <c r="W389" s="58" t="n">
        <f aca="false">IF(OR(Project_Register!$E$15="Pipeline",Assumptions!W$96&gt;=Project_Register!$AL$15),MAX(0,W366-W367),0)</f>
        <v>101171.875</v>
      </c>
      <c r="X389" s="58" t="n">
        <f aca="false">IF(OR(Project_Register!$E$15="Pipeline",Assumptions!X$96&gt;=Project_Register!$AL$15),MAX(0,X366-X367),0)</f>
        <v>27822.265625</v>
      </c>
      <c r="Y389" s="58" t="n">
        <f aca="false">IF(OR(Project_Register!$E$15="Pipeline",Assumptions!Y$96&gt;=Project_Register!$AL$15),MAX(0,Y366-Y367),0)</f>
        <v>0</v>
      </c>
      <c r="Z389" s="58" t="n">
        <f aca="false">IF(OR(Project_Register!$E$15="Pipeline",Assumptions!Z$96&gt;=Project_Register!$AL$15),MAX(0,Z366-Z367),0)</f>
        <v>0</v>
      </c>
      <c r="AA389" s="58" t="n">
        <f aca="false">IF(OR(Project_Register!$E$15="Pipeline",Assumptions!AA$96&gt;=Project_Register!$AL$15),MAX(0,AA366-AA367),0)</f>
        <v>0</v>
      </c>
      <c r="AB389" s="58" t="n">
        <f aca="false">IF(OR(Project_Register!$E$15="Pipeline",Assumptions!AB$96&gt;=Project_Register!$AL$15),MAX(0,AB366-AB367),0)</f>
        <v>0</v>
      </c>
    </row>
    <row r="390" customFormat="false" ht="15" hidden="false" customHeight="false" outlineLevel="0" collapsed="false">
      <c r="A390" s="27" t="s">
        <v>775</v>
      </c>
      <c r="B390" s="56"/>
      <c r="C390" s="57" t="n">
        <f aca="false">SUM(E390:P390)</f>
        <v>0</v>
      </c>
      <c r="D390" s="57" t="n">
        <f aca="false">SUM(Q390:AB390)</f>
        <v>647500</v>
      </c>
      <c r="E390" s="58" t="n">
        <f aca="false">IF(Assumptions!E$96=Project_Register!$AL$15,Project_Register!$AO$15,0)</f>
        <v>0</v>
      </c>
      <c r="F390" s="58" t="n">
        <f aca="false">IF(Assumptions!F$96=Project_Register!$AL$15,Project_Register!$AO$15,0)</f>
        <v>0</v>
      </c>
      <c r="G390" s="58" t="n">
        <f aca="false">IF(Assumptions!G$96=Project_Register!$AL$15,Project_Register!$AO$15,0)</f>
        <v>0</v>
      </c>
      <c r="H390" s="58" t="n">
        <f aca="false">IF(Assumptions!H$96=Project_Register!$AL$15,Project_Register!$AO$15,0)</f>
        <v>0</v>
      </c>
      <c r="I390" s="58" t="n">
        <f aca="false">IF(Assumptions!I$96=Project_Register!$AL$15,Project_Register!$AO$15,0)</f>
        <v>0</v>
      </c>
      <c r="J390" s="58" t="n">
        <f aca="false">IF(Assumptions!J$96=Project_Register!$AL$15,Project_Register!$AO$15,0)</f>
        <v>0</v>
      </c>
      <c r="K390" s="58" t="n">
        <f aca="false">IF(Assumptions!K$96=Project_Register!$AL$15,Project_Register!$AO$15,0)</f>
        <v>0</v>
      </c>
      <c r="L390" s="58" t="n">
        <f aca="false">IF(Assumptions!L$96=Project_Register!$AL$15,Project_Register!$AO$15,0)</f>
        <v>0</v>
      </c>
      <c r="M390" s="58" t="n">
        <f aca="false">IF(Assumptions!M$96=Project_Register!$AL$15,Project_Register!$AO$15,0)</f>
        <v>0</v>
      </c>
      <c r="N390" s="58" t="n">
        <f aca="false">IF(Assumptions!N$96=Project_Register!$AL$15,Project_Register!$AO$15,0)</f>
        <v>0</v>
      </c>
      <c r="O390" s="58" t="n">
        <f aca="false">IF(Assumptions!O$96=Project_Register!$AL$15,Project_Register!$AO$15,0)</f>
        <v>0</v>
      </c>
      <c r="P390" s="58" t="n">
        <f aca="false">IF(Assumptions!P$96=Project_Register!$AL$15,Project_Register!$AO$15,0)</f>
        <v>0</v>
      </c>
      <c r="Q390" s="58" t="n">
        <f aca="false">IF(Assumptions!Q$96=Project_Register!$AL$15,Project_Register!$AO$15,0)</f>
        <v>647500</v>
      </c>
      <c r="R390" s="58" t="n">
        <f aca="false">IF(Assumptions!R$96=Project_Register!$AL$15,Project_Register!$AO$15,0)</f>
        <v>0</v>
      </c>
      <c r="S390" s="58" t="n">
        <f aca="false">IF(Assumptions!S$96=Project_Register!$AL$15,Project_Register!$AO$15,0)</f>
        <v>0</v>
      </c>
      <c r="T390" s="58" t="n">
        <f aca="false">IF(Assumptions!T$96=Project_Register!$AL$15,Project_Register!$AO$15,0)</f>
        <v>0</v>
      </c>
      <c r="U390" s="58" t="n">
        <f aca="false">IF(Assumptions!U$96=Project_Register!$AL$15,Project_Register!$AO$15,0)</f>
        <v>0</v>
      </c>
      <c r="V390" s="58" t="n">
        <f aca="false">IF(Assumptions!V$96=Project_Register!$AL$15,Project_Register!$AO$15,0)</f>
        <v>0</v>
      </c>
      <c r="W390" s="58" t="n">
        <f aca="false">IF(Assumptions!W$96=Project_Register!$AL$15,Project_Register!$AO$15,0)</f>
        <v>0</v>
      </c>
      <c r="X390" s="58" t="n">
        <f aca="false">IF(Assumptions!X$96=Project_Register!$AL$15,Project_Register!$AO$15,0)</f>
        <v>0</v>
      </c>
      <c r="Y390" s="58" t="n">
        <f aca="false">IF(Assumptions!Y$96=Project_Register!$AL$15,Project_Register!$AO$15,0)</f>
        <v>0</v>
      </c>
      <c r="Z390" s="58" t="n">
        <f aca="false">IF(Assumptions!Z$96=Project_Register!$AL$15,Project_Register!$AO$15,0)</f>
        <v>0</v>
      </c>
      <c r="AA390" s="58" t="n">
        <f aca="false">IF(Assumptions!AA$96=Project_Register!$AL$15,Project_Register!$AO$15,0)</f>
        <v>0</v>
      </c>
      <c r="AB390" s="58" t="n">
        <f aca="false">IF(Assumptions!AB$96=Project_Register!$AL$15,Project_Register!$AO$15,0)</f>
        <v>0</v>
      </c>
    </row>
    <row r="392" customFormat="false" ht="15" hidden="false" customHeight="false" outlineLevel="0" collapsed="false">
      <c r="A392" s="21" t="s">
        <v>786</v>
      </c>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row>
    <row r="393" customFormat="false" ht="15" hidden="false" customHeight="false" outlineLevel="0" collapsed="false">
      <c r="A393" s="27" t="s">
        <v>716</v>
      </c>
      <c r="B393" s="56" t="s">
        <v>717</v>
      </c>
      <c r="E393" s="104" t="n">
        <f aca="false">MIN(1,MAX(0,(Assumptions!E$96-Project_Register!$AJ$16+1)/(Project_Register!$AK$16-Project_Register!$AJ$16+1)))</f>
        <v>0</v>
      </c>
      <c r="F393" s="104" t="n">
        <f aca="false">MIN(1,MAX(0,(Assumptions!F$96-Project_Register!$AJ$16+1)/(Project_Register!$AK$16-Project_Register!$AJ$16+1)))</f>
        <v>0</v>
      </c>
      <c r="G393" s="104" t="n">
        <f aca="false">MIN(1,MAX(0,(Assumptions!G$96-Project_Register!$AJ$16+1)/(Project_Register!$AK$16-Project_Register!$AJ$16+1)))</f>
        <v>0</v>
      </c>
      <c r="H393" s="104" t="n">
        <f aca="false">MIN(1,MAX(0,(Assumptions!H$96-Project_Register!$AJ$16+1)/(Project_Register!$AK$16-Project_Register!$AJ$16+1)))</f>
        <v>0</v>
      </c>
      <c r="I393" s="104" t="n">
        <f aca="false">MIN(1,MAX(0,(Assumptions!I$96-Project_Register!$AJ$16+1)/(Project_Register!$AK$16-Project_Register!$AJ$16+1)))</f>
        <v>0</v>
      </c>
      <c r="J393" s="104" t="n">
        <f aca="false">MIN(1,MAX(0,(Assumptions!J$96-Project_Register!$AJ$16+1)/(Project_Register!$AK$16-Project_Register!$AJ$16+1)))</f>
        <v>0</v>
      </c>
      <c r="K393" s="104" t="n">
        <f aca="false">MIN(1,MAX(0,(Assumptions!K$96-Project_Register!$AJ$16+1)/(Project_Register!$AK$16-Project_Register!$AJ$16+1)))</f>
        <v>0</v>
      </c>
      <c r="L393" s="104" t="n">
        <f aca="false">MIN(1,MAX(0,(Assumptions!L$96-Project_Register!$AJ$16+1)/(Project_Register!$AK$16-Project_Register!$AJ$16+1)))</f>
        <v>0</v>
      </c>
      <c r="M393" s="104" t="n">
        <f aca="false">MIN(1,MAX(0,(Assumptions!M$96-Project_Register!$AJ$16+1)/(Project_Register!$AK$16-Project_Register!$AJ$16+1)))</f>
        <v>0</v>
      </c>
      <c r="N393" s="104" t="n">
        <f aca="false">MIN(1,MAX(0,(Assumptions!N$96-Project_Register!$AJ$16+1)/(Project_Register!$AK$16-Project_Register!$AJ$16+1)))</f>
        <v>0</v>
      </c>
      <c r="O393" s="104" t="n">
        <f aca="false">MIN(1,MAX(0,(Assumptions!O$96-Project_Register!$AJ$16+1)/(Project_Register!$AK$16-Project_Register!$AJ$16+1)))</f>
        <v>0</v>
      </c>
      <c r="P393" s="104" t="n">
        <f aca="false">MIN(1,MAX(0,(Assumptions!P$96-Project_Register!$AJ$16+1)/(Project_Register!$AK$16-Project_Register!$AJ$16+1)))</f>
        <v>0.25</v>
      </c>
      <c r="Q393" s="104" t="n">
        <f aca="false">MIN(1,MAX(0,(Assumptions!Q$96-Project_Register!$AJ$16+1)/(Project_Register!$AK$16-Project_Register!$AJ$16+1)))</f>
        <v>0.5</v>
      </c>
      <c r="R393" s="104" t="n">
        <f aca="false">MIN(1,MAX(0,(Assumptions!R$96-Project_Register!$AJ$16+1)/(Project_Register!$AK$16-Project_Register!$AJ$16+1)))</f>
        <v>0.75</v>
      </c>
      <c r="S393" s="104" t="n">
        <f aca="false">MIN(1,MAX(0,(Assumptions!S$96-Project_Register!$AJ$16+1)/(Project_Register!$AK$16-Project_Register!$AJ$16+1)))</f>
        <v>1</v>
      </c>
      <c r="T393" s="104" t="n">
        <f aca="false">MIN(1,MAX(0,(Assumptions!T$96-Project_Register!$AJ$16+1)/(Project_Register!$AK$16-Project_Register!$AJ$16+1)))</f>
        <v>1</v>
      </c>
      <c r="U393" s="104" t="n">
        <f aca="false">MIN(1,MAX(0,(Assumptions!U$96-Project_Register!$AJ$16+1)/(Project_Register!$AK$16-Project_Register!$AJ$16+1)))</f>
        <v>1</v>
      </c>
      <c r="V393" s="104" t="n">
        <f aca="false">MIN(1,MAX(0,(Assumptions!V$96-Project_Register!$AJ$16+1)/(Project_Register!$AK$16-Project_Register!$AJ$16+1)))</f>
        <v>1</v>
      </c>
      <c r="W393" s="104" t="n">
        <f aca="false">MIN(1,MAX(0,(Assumptions!W$96-Project_Register!$AJ$16+1)/(Project_Register!$AK$16-Project_Register!$AJ$16+1)))</f>
        <v>1</v>
      </c>
      <c r="X393" s="104" t="n">
        <f aca="false">MIN(1,MAX(0,(Assumptions!X$96-Project_Register!$AJ$16+1)/(Project_Register!$AK$16-Project_Register!$AJ$16+1)))</f>
        <v>1</v>
      </c>
      <c r="Y393" s="104" t="n">
        <f aca="false">MIN(1,MAX(0,(Assumptions!Y$96-Project_Register!$AJ$16+1)/(Project_Register!$AK$16-Project_Register!$AJ$16+1)))</f>
        <v>1</v>
      </c>
      <c r="Z393" s="104" t="n">
        <f aca="false">MIN(1,MAX(0,(Assumptions!Z$96-Project_Register!$AJ$16+1)/(Project_Register!$AK$16-Project_Register!$AJ$16+1)))</f>
        <v>1</v>
      </c>
      <c r="AA393" s="104" t="n">
        <f aca="false">MIN(1,MAX(0,(Assumptions!AA$96-Project_Register!$AJ$16+1)/(Project_Register!$AK$16-Project_Register!$AJ$16+1)))</f>
        <v>1</v>
      </c>
      <c r="AB393" s="104" t="n">
        <f aca="false">MIN(1,MAX(0,(Assumptions!AB$96-Project_Register!$AJ$16+1)/(Project_Register!$AK$16-Project_Register!$AJ$16+1)))</f>
        <v>1</v>
      </c>
    </row>
    <row r="394" customFormat="false" ht="15" hidden="false" customHeight="false" outlineLevel="0" collapsed="false">
      <c r="A394" s="27" t="s">
        <v>718</v>
      </c>
      <c r="B394" s="56" t="s">
        <v>719</v>
      </c>
      <c r="E394" s="105" t="n">
        <f aca="false">3*E393^2-2*E393^3</f>
        <v>0</v>
      </c>
      <c r="F394" s="105" t="n">
        <f aca="false">3*F393^2-2*F393^3</f>
        <v>0</v>
      </c>
      <c r="G394" s="105" t="n">
        <f aca="false">3*G393^2-2*G393^3</f>
        <v>0</v>
      </c>
      <c r="H394" s="105" t="n">
        <f aca="false">3*H393^2-2*H393^3</f>
        <v>0</v>
      </c>
      <c r="I394" s="105" t="n">
        <f aca="false">3*I393^2-2*I393^3</f>
        <v>0</v>
      </c>
      <c r="J394" s="105" t="n">
        <f aca="false">3*J393^2-2*J393^3</f>
        <v>0</v>
      </c>
      <c r="K394" s="105" t="n">
        <f aca="false">3*K393^2-2*K393^3</f>
        <v>0</v>
      </c>
      <c r="L394" s="105" t="n">
        <f aca="false">3*L393^2-2*L393^3</f>
        <v>0</v>
      </c>
      <c r="M394" s="105" t="n">
        <f aca="false">3*M393^2-2*M393^3</f>
        <v>0</v>
      </c>
      <c r="N394" s="105" t="n">
        <f aca="false">3*N393^2-2*N393^3</f>
        <v>0</v>
      </c>
      <c r="O394" s="105" t="n">
        <f aca="false">3*O393^2-2*O393^3</f>
        <v>0</v>
      </c>
      <c r="P394" s="105" t="n">
        <f aca="false">3*P393^2-2*P393^3</f>
        <v>0.15625</v>
      </c>
      <c r="Q394" s="105" t="n">
        <f aca="false">3*Q393^2-2*Q393^3</f>
        <v>0.5</v>
      </c>
      <c r="R394" s="105" t="n">
        <f aca="false">3*R393^2-2*R393^3</f>
        <v>0.84375</v>
      </c>
      <c r="S394" s="105" t="n">
        <f aca="false">3*S393^2-2*S393^3</f>
        <v>1</v>
      </c>
      <c r="T394" s="105" t="n">
        <f aca="false">3*T393^2-2*T393^3</f>
        <v>1</v>
      </c>
      <c r="U394" s="105" t="n">
        <f aca="false">3*U393^2-2*U393^3</f>
        <v>1</v>
      </c>
      <c r="V394" s="105" t="n">
        <f aca="false">3*V393^2-2*V393^3</f>
        <v>1</v>
      </c>
      <c r="W394" s="105" t="n">
        <f aca="false">3*W393^2-2*W393^3</f>
        <v>1</v>
      </c>
      <c r="X394" s="105" t="n">
        <f aca="false">3*X393^2-2*X393^3</f>
        <v>1</v>
      </c>
      <c r="Y394" s="105" t="n">
        <f aca="false">3*Y393^2-2*Y393^3</f>
        <v>1</v>
      </c>
      <c r="Z394" s="105" t="n">
        <f aca="false">3*Z393^2-2*Z393^3</f>
        <v>1</v>
      </c>
      <c r="AA394" s="105" t="n">
        <f aca="false">3*AA393^2-2*AA393^3</f>
        <v>1</v>
      </c>
      <c r="AB394" s="105" t="n">
        <f aca="false">3*AB393^2-2*AB393^3</f>
        <v>1</v>
      </c>
    </row>
    <row r="395" customFormat="false" ht="15" hidden="false" customHeight="false" outlineLevel="0" collapsed="false">
      <c r="A395" s="27" t="s">
        <v>720</v>
      </c>
      <c r="B395" s="56"/>
      <c r="E395" s="104" t="n">
        <f aca="false">3*MIN(1,MAX(0,(Assumptions!E$96-Project_Register!$AJ$16)/(Project_Register!$AK$16-Project_Register!$AJ$16+1)))^2-2*MIN(1,MAX(0,(Assumptions!E$96-Project_Register!$AJ$16)/(Project_Register!$AK$16-Project_Register!$AJ$16+1)))^3</f>
        <v>0</v>
      </c>
      <c r="F395" s="104" t="n">
        <f aca="false">3*MIN(1,MAX(0,(Assumptions!F$96-Project_Register!$AJ$16)/(Project_Register!$AK$16-Project_Register!$AJ$16+1)))^2-2*MIN(1,MAX(0,(Assumptions!F$96-Project_Register!$AJ$16)/(Project_Register!$AK$16-Project_Register!$AJ$16+1)))^3</f>
        <v>0</v>
      </c>
      <c r="G395" s="104" t="n">
        <f aca="false">3*MIN(1,MAX(0,(Assumptions!G$96-Project_Register!$AJ$16)/(Project_Register!$AK$16-Project_Register!$AJ$16+1)))^2-2*MIN(1,MAX(0,(Assumptions!G$96-Project_Register!$AJ$16)/(Project_Register!$AK$16-Project_Register!$AJ$16+1)))^3</f>
        <v>0</v>
      </c>
      <c r="H395" s="104" t="n">
        <f aca="false">3*MIN(1,MAX(0,(Assumptions!H$96-Project_Register!$AJ$16)/(Project_Register!$AK$16-Project_Register!$AJ$16+1)))^2-2*MIN(1,MAX(0,(Assumptions!H$96-Project_Register!$AJ$16)/(Project_Register!$AK$16-Project_Register!$AJ$16+1)))^3</f>
        <v>0</v>
      </c>
      <c r="I395" s="104" t="n">
        <f aca="false">3*MIN(1,MAX(0,(Assumptions!I$96-Project_Register!$AJ$16)/(Project_Register!$AK$16-Project_Register!$AJ$16+1)))^2-2*MIN(1,MAX(0,(Assumptions!I$96-Project_Register!$AJ$16)/(Project_Register!$AK$16-Project_Register!$AJ$16+1)))^3</f>
        <v>0</v>
      </c>
      <c r="J395" s="104" t="n">
        <f aca="false">3*MIN(1,MAX(0,(Assumptions!J$96-Project_Register!$AJ$16)/(Project_Register!$AK$16-Project_Register!$AJ$16+1)))^2-2*MIN(1,MAX(0,(Assumptions!J$96-Project_Register!$AJ$16)/(Project_Register!$AK$16-Project_Register!$AJ$16+1)))^3</f>
        <v>0</v>
      </c>
      <c r="K395" s="104" t="n">
        <f aca="false">3*MIN(1,MAX(0,(Assumptions!K$96-Project_Register!$AJ$16)/(Project_Register!$AK$16-Project_Register!$AJ$16+1)))^2-2*MIN(1,MAX(0,(Assumptions!K$96-Project_Register!$AJ$16)/(Project_Register!$AK$16-Project_Register!$AJ$16+1)))^3</f>
        <v>0</v>
      </c>
      <c r="L395" s="104" t="n">
        <f aca="false">3*MIN(1,MAX(0,(Assumptions!L$96-Project_Register!$AJ$16)/(Project_Register!$AK$16-Project_Register!$AJ$16+1)))^2-2*MIN(1,MAX(0,(Assumptions!L$96-Project_Register!$AJ$16)/(Project_Register!$AK$16-Project_Register!$AJ$16+1)))^3</f>
        <v>0</v>
      </c>
      <c r="M395" s="104" t="n">
        <f aca="false">3*MIN(1,MAX(0,(Assumptions!M$96-Project_Register!$AJ$16)/(Project_Register!$AK$16-Project_Register!$AJ$16+1)))^2-2*MIN(1,MAX(0,(Assumptions!M$96-Project_Register!$AJ$16)/(Project_Register!$AK$16-Project_Register!$AJ$16+1)))^3</f>
        <v>0</v>
      </c>
      <c r="N395" s="104" t="n">
        <f aca="false">3*MIN(1,MAX(0,(Assumptions!N$96-Project_Register!$AJ$16)/(Project_Register!$AK$16-Project_Register!$AJ$16+1)))^2-2*MIN(1,MAX(0,(Assumptions!N$96-Project_Register!$AJ$16)/(Project_Register!$AK$16-Project_Register!$AJ$16+1)))^3</f>
        <v>0</v>
      </c>
      <c r="O395" s="104" t="n">
        <f aca="false">3*MIN(1,MAX(0,(Assumptions!O$96-Project_Register!$AJ$16)/(Project_Register!$AK$16-Project_Register!$AJ$16+1)))^2-2*MIN(1,MAX(0,(Assumptions!O$96-Project_Register!$AJ$16)/(Project_Register!$AK$16-Project_Register!$AJ$16+1)))^3</f>
        <v>0</v>
      </c>
      <c r="P395" s="104" t="n">
        <f aca="false">3*MIN(1,MAX(0,(Assumptions!P$96-Project_Register!$AJ$16)/(Project_Register!$AK$16-Project_Register!$AJ$16+1)))^2-2*MIN(1,MAX(0,(Assumptions!P$96-Project_Register!$AJ$16)/(Project_Register!$AK$16-Project_Register!$AJ$16+1)))^3</f>
        <v>0</v>
      </c>
      <c r="Q395" s="104" t="n">
        <f aca="false">3*MIN(1,MAX(0,(Assumptions!Q$96-Project_Register!$AJ$16)/(Project_Register!$AK$16-Project_Register!$AJ$16+1)))^2-2*MIN(1,MAX(0,(Assumptions!Q$96-Project_Register!$AJ$16)/(Project_Register!$AK$16-Project_Register!$AJ$16+1)))^3</f>
        <v>0.15625</v>
      </c>
      <c r="R395" s="104" t="n">
        <f aca="false">3*MIN(1,MAX(0,(Assumptions!R$96-Project_Register!$AJ$16)/(Project_Register!$AK$16-Project_Register!$AJ$16+1)))^2-2*MIN(1,MAX(0,(Assumptions!R$96-Project_Register!$AJ$16)/(Project_Register!$AK$16-Project_Register!$AJ$16+1)))^3</f>
        <v>0.5</v>
      </c>
      <c r="S395" s="104" t="n">
        <f aca="false">3*MIN(1,MAX(0,(Assumptions!S$96-Project_Register!$AJ$16)/(Project_Register!$AK$16-Project_Register!$AJ$16+1)))^2-2*MIN(1,MAX(0,(Assumptions!S$96-Project_Register!$AJ$16)/(Project_Register!$AK$16-Project_Register!$AJ$16+1)))^3</f>
        <v>0.84375</v>
      </c>
      <c r="T395" s="104" t="n">
        <f aca="false">3*MIN(1,MAX(0,(Assumptions!T$96-Project_Register!$AJ$16)/(Project_Register!$AK$16-Project_Register!$AJ$16+1)))^2-2*MIN(1,MAX(0,(Assumptions!T$96-Project_Register!$AJ$16)/(Project_Register!$AK$16-Project_Register!$AJ$16+1)))^3</f>
        <v>1</v>
      </c>
      <c r="U395" s="104" t="n">
        <f aca="false">3*MIN(1,MAX(0,(Assumptions!U$96-Project_Register!$AJ$16)/(Project_Register!$AK$16-Project_Register!$AJ$16+1)))^2-2*MIN(1,MAX(0,(Assumptions!U$96-Project_Register!$AJ$16)/(Project_Register!$AK$16-Project_Register!$AJ$16+1)))^3</f>
        <v>1</v>
      </c>
      <c r="V395" s="104" t="n">
        <f aca="false">3*MIN(1,MAX(0,(Assumptions!V$96-Project_Register!$AJ$16)/(Project_Register!$AK$16-Project_Register!$AJ$16+1)))^2-2*MIN(1,MAX(0,(Assumptions!V$96-Project_Register!$AJ$16)/(Project_Register!$AK$16-Project_Register!$AJ$16+1)))^3</f>
        <v>1</v>
      </c>
      <c r="W395" s="104" t="n">
        <f aca="false">3*MIN(1,MAX(0,(Assumptions!W$96-Project_Register!$AJ$16)/(Project_Register!$AK$16-Project_Register!$AJ$16+1)))^2-2*MIN(1,MAX(0,(Assumptions!W$96-Project_Register!$AJ$16)/(Project_Register!$AK$16-Project_Register!$AJ$16+1)))^3</f>
        <v>1</v>
      </c>
      <c r="X395" s="104" t="n">
        <f aca="false">3*MIN(1,MAX(0,(Assumptions!X$96-Project_Register!$AJ$16)/(Project_Register!$AK$16-Project_Register!$AJ$16+1)))^2-2*MIN(1,MAX(0,(Assumptions!X$96-Project_Register!$AJ$16)/(Project_Register!$AK$16-Project_Register!$AJ$16+1)))^3</f>
        <v>1</v>
      </c>
      <c r="Y395" s="104" t="n">
        <f aca="false">3*MIN(1,MAX(0,(Assumptions!Y$96-Project_Register!$AJ$16)/(Project_Register!$AK$16-Project_Register!$AJ$16+1)))^2-2*MIN(1,MAX(0,(Assumptions!Y$96-Project_Register!$AJ$16)/(Project_Register!$AK$16-Project_Register!$AJ$16+1)))^3</f>
        <v>1</v>
      </c>
      <c r="Z395" s="104" t="n">
        <f aca="false">3*MIN(1,MAX(0,(Assumptions!Z$96-Project_Register!$AJ$16)/(Project_Register!$AK$16-Project_Register!$AJ$16+1)))^2-2*MIN(1,MAX(0,(Assumptions!Z$96-Project_Register!$AJ$16)/(Project_Register!$AK$16-Project_Register!$AJ$16+1)))^3</f>
        <v>1</v>
      </c>
      <c r="AA395" s="104" t="n">
        <f aca="false">3*MIN(1,MAX(0,(Assumptions!AA$96-Project_Register!$AJ$16)/(Project_Register!$AK$16-Project_Register!$AJ$16+1)))^2-2*MIN(1,MAX(0,(Assumptions!AA$96-Project_Register!$AJ$16)/(Project_Register!$AK$16-Project_Register!$AJ$16+1)))^3</f>
        <v>1</v>
      </c>
      <c r="AB395" s="104" t="n">
        <f aca="false">3*MIN(1,MAX(0,(Assumptions!AB$96-Project_Register!$AJ$16)/(Project_Register!$AK$16-Project_Register!$AJ$16+1)))^2-2*MIN(1,MAX(0,(Assumptions!AB$96-Project_Register!$AJ$16)/(Project_Register!$AK$16-Project_Register!$AJ$16+1)))^3</f>
        <v>1</v>
      </c>
    </row>
    <row r="396" customFormat="false" ht="15" hidden="false" customHeight="false" outlineLevel="0" collapsed="false">
      <c r="A396" s="27" t="s">
        <v>721</v>
      </c>
      <c r="B396" s="56" t="s">
        <v>722</v>
      </c>
      <c r="C396" s="57" t="n">
        <f aca="false">SUM(E396:P396)</f>
        <v>8381.25</v>
      </c>
      <c r="D396" s="57" t="n">
        <f aca="false">SUM(Q396:AB396)</f>
        <v>45258.75</v>
      </c>
      <c r="E396" s="58" t="n">
        <f aca="false">IF(E$5="A",0,IF((Project_Register!$AT$16-Project_Register!$AQ$16)&lt;=0,0,IF(1-Project_Register!$AV$16&lt;=0.000001,IF(Assumptions!E$96=Assumptions!$C$10+1,(Project_Register!$AT$16-Project_Register!$AQ$16),0),(Project_Register!$AT$16-Project_Register!$AQ$16)*(E394-E395)/(1-Project_Register!$AV$16)))*Project_Register!$X$16)</f>
        <v>0</v>
      </c>
      <c r="F396" s="58" t="n">
        <f aca="false">IF(F$5="A",0,IF((Project_Register!$AT$16-Project_Register!$AQ$16)&lt;=0,0,IF(1-Project_Register!$AV$16&lt;=0.000001,IF(Assumptions!F$96=Assumptions!$C$10+1,(Project_Register!$AT$16-Project_Register!$AQ$16),0),(Project_Register!$AT$16-Project_Register!$AQ$16)*(F394-F395)/(1-Project_Register!$AV$16)))*Project_Register!$X$16)</f>
        <v>0</v>
      </c>
      <c r="G396" s="58" t="n">
        <f aca="false">IF(G$5="A",0,IF((Project_Register!$AT$16-Project_Register!$AQ$16)&lt;=0,0,IF(1-Project_Register!$AV$16&lt;=0.000001,IF(Assumptions!G$96=Assumptions!$C$10+1,(Project_Register!$AT$16-Project_Register!$AQ$16),0),(Project_Register!$AT$16-Project_Register!$AQ$16)*(G394-G395)/(1-Project_Register!$AV$16)))*Project_Register!$X$16)</f>
        <v>0</v>
      </c>
      <c r="H396" s="58" t="n">
        <f aca="false">IF(H$5="A",0,IF((Project_Register!$AT$16-Project_Register!$AQ$16)&lt;=0,0,IF(1-Project_Register!$AV$16&lt;=0.000001,IF(Assumptions!H$96=Assumptions!$C$10+1,(Project_Register!$AT$16-Project_Register!$AQ$16),0),(Project_Register!$AT$16-Project_Register!$AQ$16)*(H394-H395)/(1-Project_Register!$AV$16)))*Project_Register!$X$16)</f>
        <v>0</v>
      </c>
      <c r="I396" s="58" t="n">
        <f aca="false">IF(I$5="A",0,IF((Project_Register!$AT$16-Project_Register!$AQ$16)&lt;=0,0,IF(1-Project_Register!$AV$16&lt;=0.000001,IF(Assumptions!I$96=Assumptions!$C$10+1,(Project_Register!$AT$16-Project_Register!$AQ$16),0),(Project_Register!$AT$16-Project_Register!$AQ$16)*(I394-I395)/(1-Project_Register!$AV$16)))*Project_Register!$X$16)</f>
        <v>0</v>
      </c>
      <c r="J396" s="58" t="n">
        <f aca="false">IF(J$5="A",0,IF((Project_Register!$AT$16-Project_Register!$AQ$16)&lt;=0,0,IF(1-Project_Register!$AV$16&lt;=0.000001,IF(Assumptions!J$96=Assumptions!$C$10+1,(Project_Register!$AT$16-Project_Register!$AQ$16),0),(Project_Register!$AT$16-Project_Register!$AQ$16)*(J394-J395)/(1-Project_Register!$AV$16)))*Project_Register!$X$16)</f>
        <v>0</v>
      </c>
      <c r="K396" s="58" t="n">
        <f aca="false">IF(K$5="A",0,IF((Project_Register!$AT$16-Project_Register!$AQ$16)&lt;=0,0,IF(1-Project_Register!$AV$16&lt;=0.000001,IF(Assumptions!K$96=Assumptions!$C$10+1,(Project_Register!$AT$16-Project_Register!$AQ$16),0),(Project_Register!$AT$16-Project_Register!$AQ$16)*(K394-K395)/(1-Project_Register!$AV$16)))*Project_Register!$X$16)</f>
        <v>0</v>
      </c>
      <c r="L396" s="58" t="n">
        <f aca="false">IF(L$5="A",0,IF((Project_Register!$AT$16-Project_Register!$AQ$16)&lt;=0,0,IF(1-Project_Register!$AV$16&lt;=0.000001,IF(Assumptions!L$96=Assumptions!$C$10+1,(Project_Register!$AT$16-Project_Register!$AQ$16),0),(Project_Register!$AT$16-Project_Register!$AQ$16)*(L394-L395)/(1-Project_Register!$AV$16)))*Project_Register!$X$16)</f>
        <v>0</v>
      </c>
      <c r="M396" s="58" t="n">
        <f aca="false">IF(M$5="A",0,IF((Project_Register!$AT$16-Project_Register!$AQ$16)&lt;=0,0,IF(1-Project_Register!$AV$16&lt;=0.000001,IF(Assumptions!M$96=Assumptions!$C$10+1,(Project_Register!$AT$16-Project_Register!$AQ$16),0),(Project_Register!$AT$16-Project_Register!$AQ$16)*(M394-M395)/(1-Project_Register!$AV$16)))*Project_Register!$X$16)</f>
        <v>0</v>
      </c>
      <c r="N396" s="58" t="n">
        <f aca="false">IF(N$5="A",0,IF((Project_Register!$AT$16-Project_Register!$AQ$16)&lt;=0,0,IF(1-Project_Register!$AV$16&lt;=0.000001,IF(Assumptions!N$96=Assumptions!$C$10+1,(Project_Register!$AT$16-Project_Register!$AQ$16),0),(Project_Register!$AT$16-Project_Register!$AQ$16)*(N394-N395)/(1-Project_Register!$AV$16)))*Project_Register!$X$16)</f>
        <v>0</v>
      </c>
      <c r="O396" s="58" t="n">
        <f aca="false">IF(O$5="A",0,IF((Project_Register!$AT$16-Project_Register!$AQ$16)&lt;=0,0,IF(1-Project_Register!$AV$16&lt;=0.000001,IF(Assumptions!O$96=Assumptions!$C$10+1,(Project_Register!$AT$16-Project_Register!$AQ$16),0),(Project_Register!$AT$16-Project_Register!$AQ$16)*(O394-O395)/(1-Project_Register!$AV$16)))*Project_Register!$X$16)</f>
        <v>0</v>
      </c>
      <c r="P396" s="58" t="n">
        <f aca="false">IF(P$5="A",0,IF((Project_Register!$AT$16-Project_Register!$AQ$16)&lt;=0,0,IF(1-Project_Register!$AV$16&lt;=0.000001,IF(Assumptions!P$96=Assumptions!$C$10+1,(Project_Register!$AT$16-Project_Register!$AQ$16),0),(Project_Register!$AT$16-Project_Register!$AQ$16)*(P394-P395)/(1-Project_Register!$AV$16)))*Project_Register!$X$16)</f>
        <v>8381.25</v>
      </c>
      <c r="Q396" s="58" t="n">
        <f aca="false">IF(Q$5="A",0,IF((Project_Register!$AT$16-Project_Register!$AQ$16)&lt;=0,0,IF(1-Project_Register!$AV$16&lt;=0.000001,IF(Assumptions!Q$96=Assumptions!$C$10+1,(Project_Register!$AT$16-Project_Register!$AQ$16),0),(Project_Register!$AT$16-Project_Register!$AQ$16)*(Q394-Q395)/(1-Project_Register!$AV$16)))*Project_Register!$X$16)</f>
        <v>18438.75</v>
      </c>
      <c r="R396" s="58" t="n">
        <f aca="false">IF(R$5="A",0,IF((Project_Register!$AT$16-Project_Register!$AQ$16)&lt;=0,0,IF(1-Project_Register!$AV$16&lt;=0.000001,IF(Assumptions!R$96=Assumptions!$C$10+1,(Project_Register!$AT$16-Project_Register!$AQ$16),0),(Project_Register!$AT$16-Project_Register!$AQ$16)*(R394-R395)/(1-Project_Register!$AV$16)))*Project_Register!$X$16)</f>
        <v>18438.75</v>
      </c>
      <c r="S396" s="58" t="n">
        <f aca="false">IF(S$5="A",0,IF((Project_Register!$AT$16-Project_Register!$AQ$16)&lt;=0,0,IF(1-Project_Register!$AV$16&lt;=0.000001,IF(Assumptions!S$96=Assumptions!$C$10+1,(Project_Register!$AT$16-Project_Register!$AQ$16),0),(Project_Register!$AT$16-Project_Register!$AQ$16)*(S394-S395)/(1-Project_Register!$AV$16)))*Project_Register!$X$16)</f>
        <v>8381.25</v>
      </c>
      <c r="T396" s="58" t="n">
        <f aca="false">IF(T$5="A",0,IF((Project_Register!$AT$16-Project_Register!$AQ$16)&lt;=0,0,IF(1-Project_Register!$AV$16&lt;=0.000001,IF(Assumptions!T$96=Assumptions!$C$10+1,(Project_Register!$AT$16-Project_Register!$AQ$16),0),(Project_Register!$AT$16-Project_Register!$AQ$16)*(T394-T395)/(1-Project_Register!$AV$16)))*Project_Register!$X$16)</f>
        <v>0</v>
      </c>
      <c r="U396" s="58" t="n">
        <f aca="false">IF(U$5="A",0,IF((Project_Register!$AT$16-Project_Register!$AQ$16)&lt;=0,0,IF(1-Project_Register!$AV$16&lt;=0.000001,IF(Assumptions!U$96=Assumptions!$C$10+1,(Project_Register!$AT$16-Project_Register!$AQ$16),0),(Project_Register!$AT$16-Project_Register!$AQ$16)*(U394-U395)/(1-Project_Register!$AV$16)))*Project_Register!$X$16)</f>
        <v>0</v>
      </c>
      <c r="V396" s="58" t="n">
        <f aca="false">IF(V$5="A",0,IF((Project_Register!$AT$16-Project_Register!$AQ$16)&lt;=0,0,IF(1-Project_Register!$AV$16&lt;=0.000001,IF(Assumptions!V$96=Assumptions!$C$10+1,(Project_Register!$AT$16-Project_Register!$AQ$16),0),(Project_Register!$AT$16-Project_Register!$AQ$16)*(V394-V395)/(1-Project_Register!$AV$16)))*Project_Register!$X$16)</f>
        <v>0</v>
      </c>
      <c r="W396" s="58" t="n">
        <f aca="false">IF(W$5="A",0,IF((Project_Register!$AT$16-Project_Register!$AQ$16)&lt;=0,0,IF(1-Project_Register!$AV$16&lt;=0.000001,IF(Assumptions!W$96=Assumptions!$C$10+1,(Project_Register!$AT$16-Project_Register!$AQ$16),0),(Project_Register!$AT$16-Project_Register!$AQ$16)*(W394-W395)/(1-Project_Register!$AV$16)))*Project_Register!$X$16)</f>
        <v>0</v>
      </c>
      <c r="X396" s="58" t="n">
        <f aca="false">IF(X$5="A",0,IF((Project_Register!$AT$16-Project_Register!$AQ$16)&lt;=0,0,IF(1-Project_Register!$AV$16&lt;=0.000001,IF(Assumptions!X$96=Assumptions!$C$10+1,(Project_Register!$AT$16-Project_Register!$AQ$16),0),(Project_Register!$AT$16-Project_Register!$AQ$16)*(X394-X395)/(1-Project_Register!$AV$16)))*Project_Register!$X$16)</f>
        <v>0</v>
      </c>
      <c r="Y396" s="58" t="n">
        <f aca="false">IF(Y$5="A",0,IF((Project_Register!$AT$16-Project_Register!$AQ$16)&lt;=0,0,IF(1-Project_Register!$AV$16&lt;=0.000001,IF(Assumptions!Y$96=Assumptions!$C$10+1,(Project_Register!$AT$16-Project_Register!$AQ$16),0),(Project_Register!$AT$16-Project_Register!$AQ$16)*(Y394-Y395)/(1-Project_Register!$AV$16)))*Project_Register!$X$16)</f>
        <v>0</v>
      </c>
      <c r="Z396" s="58" t="n">
        <f aca="false">IF(Z$5="A",0,IF((Project_Register!$AT$16-Project_Register!$AQ$16)&lt;=0,0,IF(1-Project_Register!$AV$16&lt;=0.000001,IF(Assumptions!Z$96=Assumptions!$C$10+1,(Project_Register!$AT$16-Project_Register!$AQ$16),0),(Project_Register!$AT$16-Project_Register!$AQ$16)*(Z394-Z395)/(1-Project_Register!$AV$16)))*Project_Register!$X$16)</f>
        <v>0</v>
      </c>
      <c r="AA396" s="58" t="n">
        <f aca="false">IF(AA$5="A",0,IF((Project_Register!$AT$16-Project_Register!$AQ$16)&lt;=0,0,IF(1-Project_Register!$AV$16&lt;=0.000001,IF(Assumptions!AA$96=Assumptions!$C$10+1,(Project_Register!$AT$16-Project_Register!$AQ$16),0),(Project_Register!$AT$16-Project_Register!$AQ$16)*(AA394-AA395)/(1-Project_Register!$AV$16)))*Project_Register!$X$16)</f>
        <v>0</v>
      </c>
      <c r="AB396" s="58" t="n">
        <f aca="false">IF(AB$5="A",0,IF((Project_Register!$AT$16-Project_Register!$AQ$16)&lt;=0,0,IF(1-Project_Register!$AV$16&lt;=0.000001,IF(Assumptions!AB$96=Assumptions!$C$10+1,(Project_Register!$AT$16-Project_Register!$AQ$16),0),(Project_Register!$AT$16-Project_Register!$AQ$16)*(AB394-AB395)/(1-Project_Register!$AV$16)))*Project_Register!$X$16)</f>
        <v>0</v>
      </c>
    </row>
    <row r="397" customFormat="false" ht="15" hidden="false" customHeight="false" outlineLevel="0" collapsed="false">
      <c r="A397" s="27" t="s">
        <v>723</v>
      </c>
      <c r="B397" s="56" t="s">
        <v>722</v>
      </c>
      <c r="C397" s="57" t="n">
        <f aca="false">SUM(E397:P397)</f>
        <v>26191.40625</v>
      </c>
      <c r="D397" s="57" t="n">
        <f aca="false">SUM(Q397:AB397)</f>
        <v>141433.59375</v>
      </c>
      <c r="E397" s="58" t="n">
        <f aca="false">IF(E$5="A",0,IF((Project_Register!$AT$16-Project_Register!$AQ$16)&lt;=0,0,IF(1-Project_Register!$AV$16&lt;=0.000001,IF(Assumptions!E$96=Assumptions!$C$10+1,(Project_Register!$AT$16-Project_Register!$AQ$16),0),(Project_Register!$AT$16-Project_Register!$AQ$16)*(E394-E395)/(1-Project_Register!$AV$16)))*Project_Register!$Y$16)</f>
        <v>0</v>
      </c>
      <c r="F397" s="58" t="n">
        <f aca="false">IF(F$5="A",0,IF((Project_Register!$AT$16-Project_Register!$AQ$16)&lt;=0,0,IF(1-Project_Register!$AV$16&lt;=0.000001,IF(Assumptions!F$96=Assumptions!$C$10+1,(Project_Register!$AT$16-Project_Register!$AQ$16),0),(Project_Register!$AT$16-Project_Register!$AQ$16)*(F394-F395)/(1-Project_Register!$AV$16)))*Project_Register!$Y$16)</f>
        <v>0</v>
      </c>
      <c r="G397" s="58" t="n">
        <f aca="false">IF(G$5="A",0,IF((Project_Register!$AT$16-Project_Register!$AQ$16)&lt;=0,0,IF(1-Project_Register!$AV$16&lt;=0.000001,IF(Assumptions!G$96=Assumptions!$C$10+1,(Project_Register!$AT$16-Project_Register!$AQ$16),0),(Project_Register!$AT$16-Project_Register!$AQ$16)*(G394-G395)/(1-Project_Register!$AV$16)))*Project_Register!$Y$16)</f>
        <v>0</v>
      </c>
      <c r="H397" s="58" t="n">
        <f aca="false">IF(H$5="A",0,IF((Project_Register!$AT$16-Project_Register!$AQ$16)&lt;=0,0,IF(1-Project_Register!$AV$16&lt;=0.000001,IF(Assumptions!H$96=Assumptions!$C$10+1,(Project_Register!$AT$16-Project_Register!$AQ$16),0),(Project_Register!$AT$16-Project_Register!$AQ$16)*(H394-H395)/(1-Project_Register!$AV$16)))*Project_Register!$Y$16)</f>
        <v>0</v>
      </c>
      <c r="I397" s="58" t="n">
        <f aca="false">IF(I$5="A",0,IF((Project_Register!$AT$16-Project_Register!$AQ$16)&lt;=0,0,IF(1-Project_Register!$AV$16&lt;=0.000001,IF(Assumptions!I$96=Assumptions!$C$10+1,(Project_Register!$AT$16-Project_Register!$AQ$16),0),(Project_Register!$AT$16-Project_Register!$AQ$16)*(I394-I395)/(1-Project_Register!$AV$16)))*Project_Register!$Y$16)</f>
        <v>0</v>
      </c>
      <c r="J397" s="58" t="n">
        <f aca="false">IF(J$5="A",0,IF((Project_Register!$AT$16-Project_Register!$AQ$16)&lt;=0,0,IF(1-Project_Register!$AV$16&lt;=0.000001,IF(Assumptions!J$96=Assumptions!$C$10+1,(Project_Register!$AT$16-Project_Register!$AQ$16),0),(Project_Register!$AT$16-Project_Register!$AQ$16)*(J394-J395)/(1-Project_Register!$AV$16)))*Project_Register!$Y$16)</f>
        <v>0</v>
      </c>
      <c r="K397" s="58" t="n">
        <f aca="false">IF(K$5="A",0,IF((Project_Register!$AT$16-Project_Register!$AQ$16)&lt;=0,0,IF(1-Project_Register!$AV$16&lt;=0.000001,IF(Assumptions!K$96=Assumptions!$C$10+1,(Project_Register!$AT$16-Project_Register!$AQ$16),0),(Project_Register!$AT$16-Project_Register!$AQ$16)*(K394-K395)/(1-Project_Register!$AV$16)))*Project_Register!$Y$16)</f>
        <v>0</v>
      </c>
      <c r="L397" s="58" t="n">
        <f aca="false">IF(L$5="A",0,IF((Project_Register!$AT$16-Project_Register!$AQ$16)&lt;=0,0,IF(1-Project_Register!$AV$16&lt;=0.000001,IF(Assumptions!L$96=Assumptions!$C$10+1,(Project_Register!$AT$16-Project_Register!$AQ$16),0),(Project_Register!$AT$16-Project_Register!$AQ$16)*(L394-L395)/(1-Project_Register!$AV$16)))*Project_Register!$Y$16)</f>
        <v>0</v>
      </c>
      <c r="M397" s="58" t="n">
        <f aca="false">IF(M$5="A",0,IF((Project_Register!$AT$16-Project_Register!$AQ$16)&lt;=0,0,IF(1-Project_Register!$AV$16&lt;=0.000001,IF(Assumptions!M$96=Assumptions!$C$10+1,(Project_Register!$AT$16-Project_Register!$AQ$16),0),(Project_Register!$AT$16-Project_Register!$AQ$16)*(M394-M395)/(1-Project_Register!$AV$16)))*Project_Register!$Y$16)</f>
        <v>0</v>
      </c>
      <c r="N397" s="58" t="n">
        <f aca="false">IF(N$5="A",0,IF((Project_Register!$AT$16-Project_Register!$AQ$16)&lt;=0,0,IF(1-Project_Register!$AV$16&lt;=0.000001,IF(Assumptions!N$96=Assumptions!$C$10+1,(Project_Register!$AT$16-Project_Register!$AQ$16),0),(Project_Register!$AT$16-Project_Register!$AQ$16)*(N394-N395)/(1-Project_Register!$AV$16)))*Project_Register!$Y$16)</f>
        <v>0</v>
      </c>
      <c r="O397" s="58" t="n">
        <f aca="false">IF(O$5="A",0,IF((Project_Register!$AT$16-Project_Register!$AQ$16)&lt;=0,0,IF(1-Project_Register!$AV$16&lt;=0.000001,IF(Assumptions!O$96=Assumptions!$C$10+1,(Project_Register!$AT$16-Project_Register!$AQ$16),0),(Project_Register!$AT$16-Project_Register!$AQ$16)*(O394-O395)/(1-Project_Register!$AV$16)))*Project_Register!$Y$16)</f>
        <v>0</v>
      </c>
      <c r="P397" s="58" t="n">
        <f aca="false">IF(P$5="A",0,IF((Project_Register!$AT$16-Project_Register!$AQ$16)&lt;=0,0,IF(1-Project_Register!$AV$16&lt;=0.000001,IF(Assumptions!P$96=Assumptions!$C$10+1,(Project_Register!$AT$16-Project_Register!$AQ$16),0),(Project_Register!$AT$16-Project_Register!$AQ$16)*(P394-P395)/(1-Project_Register!$AV$16)))*Project_Register!$Y$16)</f>
        <v>26191.40625</v>
      </c>
      <c r="Q397" s="58" t="n">
        <f aca="false">IF(Q$5="A",0,IF((Project_Register!$AT$16-Project_Register!$AQ$16)&lt;=0,0,IF(1-Project_Register!$AV$16&lt;=0.000001,IF(Assumptions!Q$96=Assumptions!$C$10+1,(Project_Register!$AT$16-Project_Register!$AQ$16),0),(Project_Register!$AT$16-Project_Register!$AQ$16)*(Q394-Q395)/(1-Project_Register!$AV$16)))*Project_Register!$Y$16)</f>
        <v>57621.09375</v>
      </c>
      <c r="R397" s="58" t="n">
        <f aca="false">IF(R$5="A",0,IF((Project_Register!$AT$16-Project_Register!$AQ$16)&lt;=0,0,IF(1-Project_Register!$AV$16&lt;=0.000001,IF(Assumptions!R$96=Assumptions!$C$10+1,(Project_Register!$AT$16-Project_Register!$AQ$16),0),(Project_Register!$AT$16-Project_Register!$AQ$16)*(R394-R395)/(1-Project_Register!$AV$16)))*Project_Register!$Y$16)</f>
        <v>57621.09375</v>
      </c>
      <c r="S397" s="58" t="n">
        <f aca="false">IF(S$5="A",0,IF((Project_Register!$AT$16-Project_Register!$AQ$16)&lt;=0,0,IF(1-Project_Register!$AV$16&lt;=0.000001,IF(Assumptions!S$96=Assumptions!$C$10+1,(Project_Register!$AT$16-Project_Register!$AQ$16),0),(Project_Register!$AT$16-Project_Register!$AQ$16)*(S394-S395)/(1-Project_Register!$AV$16)))*Project_Register!$Y$16)</f>
        <v>26191.40625</v>
      </c>
      <c r="T397" s="58" t="n">
        <f aca="false">IF(T$5="A",0,IF((Project_Register!$AT$16-Project_Register!$AQ$16)&lt;=0,0,IF(1-Project_Register!$AV$16&lt;=0.000001,IF(Assumptions!T$96=Assumptions!$C$10+1,(Project_Register!$AT$16-Project_Register!$AQ$16),0),(Project_Register!$AT$16-Project_Register!$AQ$16)*(T394-T395)/(1-Project_Register!$AV$16)))*Project_Register!$Y$16)</f>
        <v>0</v>
      </c>
      <c r="U397" s="58" t="n">
        <f aca="false">IF(U$5="A",0,IF((Project_Register!$AT$16-Project_Register!$AQ$16)&lt;=0,0,IF(1-Project_Register!$AV$16&lt;=0.000001,IF(Assumptions!U$96=Assumptions!$C$10+1,(Project_Register!$AT$16-Project_Register!$AQ$16),0),(Project_Register!$AT$16-Project_Register!$AQ$16)*(U394-U395)/(1-Project_Register!$AV$16)))*Project_Register!$Y$16)</f>
        <v>0</v>
      </c>
      <c r="V397" s="58" t="n">
        <f aca="false">IF(V$5="A",0,IF((Project_Register!$AT$16-Project_Register!$AQ$16)&lt;=0,0,IF(1-Project_Register!$AV$16&lt;=0.000001,IF(Assumptions!V$96=Assumptions!$C$10+1,(Project_Register!$AT$16-Project_Register!$AQ$16),0),(Project_Register!$AT$16-Project_Register!$AQ$16)*(V394-V395)/(1-Project_Register!$AV$16)))*Project_Register!$Y$16)</f>
        <v>0</v>
      </c>
      <c r="W397" s="58" t="n">
        <f aca="false">IF(W$5="A",0,IF((Project_Register!$AT$16-Project_Register!$AQ$16)&lt;=0,0,IF(1-Project_Register!$AV$16&lt;=0.000001,IF(Assumptions!W$96=Assumptions!$C$10+1,(Project_Register!$AT$16-Project_Register!$AQ$16),0),(Project_Register!$AT$16-Project_Register!$AQ$16)*(W394-W395)/(1-Project_Register!$AV$16)))*Project_Register!$Y$16)</f>
        <v>0</v>
      </c>
      <c r="X397" s="58" t="n">
        <f aca="false">IF(X$5="A",0,IF((Project_Register!$AT$16-Project_Register!$AQ$16)&lt;=0,0,IF(1-Project_Register!$AV$16&lt;=0.000001,IF(Assumptions!X$96=Assumptions!$C$10+1,(Project_Register!$AT$16-Project_Register!$AQ$16),0),(Project_Register!$AT$16-Project_Register!$AQ$16)*(X394-X395)/(1-Project_Register!$AV$16)))*Project_Register!$Y$16)</f>
        <v>0</v>
      </c>
      <c r="Y397" s="58" t="n">
        <f aca="false">IF(Y$5="A",0,IF((Project_Register!$AT$16-Project_Register!$AQ$16)&lt;=0,0,IF(1-Project_Register!$AV$16&lt;=0.000001,IF(Assumptions!Y$96=Assumptions!$C$10+1,(Project_Register!$AT$16-Project_Register!$AQ$16),0),(Project_Register!$AT$16-Project_Register!$AQ$16)*(Y394-Y395)/(1-Project_Register!$AV$16)))*Project_Register!$Y$16)</f>
        <v>0</v>
      </c>
      <c r="Z397" s="58" t="n">
        <f aca="false">IF(Z$5="A",0,IF((Project_Register!$AT$16-Project_Register!$AQ$16)&lt;=0,0,IF(1-Project_Register!$AV$16&lt;=0.000001,IF(Assumptions!Z$96=Assumptions!$C$10+1,(Project_Register!$AT$16-Project_Register!$AQ$16),0),(Project_Register!$AT$16-Project_Register!$AQ$16)*(Z394-Z395)/(1-Project_Register!$AV$16)))*Project_Register!$Y$16)</f>
        <v>0</v>
      </c>
      <c r="AA397" s="58" t="n">
        <f aca="false">IF(AA$5="A",0,IF((Project_Register!$AT$16-Project_Register!$AQ$16)&lt;=0,0,IF(1-Project_Register!$AV$16&lt;=0.000001,IF(Assumptions!AA$96=Assumptions!$C$10+1,(Project_Register!$AT$16-Project_Register!$AQ$16),0),(Project_Register!$AT$16-Project_Register!$AQ$16)*(AA394-AA395)/(1-Project_Register!$AV$16)))*Project_Register!$Y$16)</f>
        <v>0</v>
      </c>
      <c r="AB397" s="58" t="n">
        <f aca="false">IF(AB$5="A",0,IF((Project_Register!$AT$16-Project_Register!$AQ$16)&lt;=0,0,IF(1-Project_Register!$AV$16&lt;=0.000001,IF(Assumptions!AB$96=Assumptions!$C$10+1,(Project_Register!$AT$16-Project_Register!$AQ$16),0),(Project_Register!$AT$16-Project_Register!$AQ$16)*(AB394-AB395)/(1-Project_Register!$AV$16)))*Project_Register!$Y$16)</f>
        <v>0</v>
      </c>
    </row>
    <row r="398" customFormat="false" ht="15" hidden="false" customHeight="false" outlineLevel="0" collapsed="false">
      <c r="A398" s="27" t="s">
        <v>724</v>
      </c>
      <c r="B398" s="56" t="s">
        <v>722</v>
      </c>
      <c r="C398" s="57" t="n">
        <f aca="false">SUM(E398:P398)</f>
        <v>12571.875</v>
      </c>
      <c r="D398" s="57" t="n">
        <f aca="false">SUM(Q398:AB398)</f>
        <v>67888.125</v>
      </c>
      <c r="E398" s="58" t="n">
        <f aca="false">IF(E$5="A",0,IF((Project_Register!$AT$16-Project_Register!$AQ$16)&lt;=0,0,IF(1-Project_Register!$AV$16&lt;=0.000001,IF(Assumptions!E$96=Assumptions!$C$10+1,(Project_Register!$AT$16-Project_Register!$AQ$16),0),(Project_Register!$AT$16-Project_Register!$AQ$16)*(E394-E395)/(1-Project_Register!$AV$16)))*Project_Register!$Z$16)</f>
        <v>0</v>
      </c>
      <c r="F398" s="58" t="n">
        <f aca="false">IF(F$5="A",0,IF((Project_Register!$AT$16-Project_Register!$AQ$16)&lt;=0,0,IF(1-Project_Register!$AV$16&lt;=0.000001,IF(Assumptions!F$96=Assumptions!$C$10+1,(Project_Register!$AT$16-Project_Register!$AQ$16),0),(Project_Register!$AT$16-Project_Register!$AQ$16)*(F394-F395)/(1-Project_Register!$AV$16)))*Project_Register!$Z$16)</f>
        <v>0</v>
      </c>
      <c r="G398" s="58" t="n">
        <f aca="false">IF(G$5="A",0,IF((Project_Register!$AT$16-Project_Register!$AQ$16)&lt;=0,0,IF(1-Project_Register!$AV$16&lt;=0.000001,IF(Assumptions!G$96=Assumptions!$C$10+1,(Project_Register!$AT$16-Project_Register!$AQ$16),0),(Project_Register!$AT$16-Project_Register!$AQ$16)*(G394-G395)/(1-Project_Register!$AV$16)))*Project_Register!$Z$16)</f>
        <v>0</v>
      </c>
      <c r="H398" s="58" t="n">
        <f aca="false">IF(H$5="A",0,IF((Project_Register!$AT$16-Project_Register!$AQ$16)&lt;=0,0,IF(1-Project_Register!$AV$16&lt;=0.000001,IF(Assumptions!H$96=Assumptions!$C$10+1,(Project_Register!$AT$16-Project_Register!$AQ$16),0),(Project_Register!$AT$16-Project_Register!$AQ$16)*(H394-H395)/(1-Project_Register!$AV$16)))*Project_Register!$Z$16)</f>
        <v>0</v>
      </c>
      <c r="I398" s="58" t="n">
        <f aca="false">IF(I$5="A",0,IF((Project_Register!$AT$16-Project_Register!$AQ$16)&lt;=0,0,IF(1-Project_Register!$AV$16&lt;=0.000001,IF(Assumptions!I$96=Assumptions!$C$10+1,(Project_Register!$AT$16-Project_Register!$AQ$16),0),(Project_Register!$AT$16-Project_Register!$AQ$16)*(I394-I395)/(1-Project_Register!$AV$16)))*Project_Register!$Z$16)</f>
        <v>0</v>
      </c>
      <c r="J398" s="58" t="n">
        <f aca="false">IF(J$5="A",0,IF((Project_Register!$AT$16-Project_Register!$AQ$16)&lt;=0,0,IF(1-Project_Register!$AV$16&lt;=0.000001,IF(Assumptions!J$96=Assumptions!$C$10+1,(Project_Register!$AT$16-Project_Register!$AQ$16),0),(Project_Register!$AT$16-Project_Register!$AQ$16)*(J394-J395)/(1-Project_Register!$AV$16)))*Project_Register!$Z$16)</f>
        <v>0</v>
      </c>
      <c r="K398" s="58" t="n">
        <f aca="false">IF(K$5="A",0,IF((Project_Register!$AT$16-Project_Register!$AQ$16)&lt;=0,0,IF(1-Project_Register!$AV$16&lt;=0.000001,IF(Assumptions!K$96=Assumptions!$C$10+1,(Project_Register!$AT$16-Project_Register!$AQ$16),0),(Project_Register!$AT$16-Project_Register!$AQ$16)*(K394-K395)/(1-Project_Register!$AV$16)))*Project_Register!$Z$16)</f>
        <v>0</v>
      </c>
      <c r="L398" s="58" t="n">
        <f aca="false">IF(L$5="A",0,IF((Project_Register!$AT$16-Project_Register!$AQ$16)&lt;=0,0,IF(1-Project_Register!$AV$16&lt;=0.000001,IF(Assumptions!L$96=Assumptions!$C$10+1,(Project_Register!$AT$16-Project_Register!$AQ$16),0),(Project_Register!$AT$16-Project_Register!$AQ$16)*(L394-L395)/(1-Project_Register!$AV$16)))*Project_Register!$Z$16)</f>
        <v>0</v>
      </c>
      <c r="M398" s="58" t="n">
        <f aca="false">IF(M$5="A",0,IF((Project_Register!$AT$16-Project_Register!$AQ$16)&lt;=0,0,IF(1-Project_Register!$AV$16&lt;=0.000001,IF(Assumptions!M$96=Assumptions!$C$10+1,(Project_Register!$AT$16-Project_Register!$AQ$16),0),(Project_Register!$AT$16-Project_Register!$AQ$16)*(M394-M395)/(1-Project_Register!$AV$16)))*Project_Register!$Z$16)</f>
        <v>0</v>
      </c>
      <c r="N398" s="58" t="n">
        <f aca="false">IF(N$5="A",0,IF((Project_Register!$AT$16-Project_Register!$AQ$16)&lt;=0,0,IF(1-Project_Register!$AV$16&lt;=0.000001,IF(Assumptions!N$96=Assumptions!$C$10+1,(Project_Register!$AT$16-Project_Register!$AQ$16),0),(Project_Register!$AT$16-Project_Register!$AQ$16)*(N394-N395)/(1-Project_Register!$AV$16)))*Project_Register!$Z$16)</f>
        <v>0</v>
      </c>
      <c r="O398" s="58" t="n">
        <f aca="false">IF(O$5="A",0,IF((Project_Register!$AT$16-Project_Register!$AQ$16)&lt;=0,0,IF(1-Project_Register!$AV$16&lt;=0.000001,IF(Assumptions!O$96=Assumptions!$C$10+1,(Project_Register!$AT$16-Project_Register!$AQ$16),0),(Project_Register!$AT$16-Project_Register!$AQ$16)*(O394-O395)/(1-Project_Register!$AV$16)))*Project_Register!$Z$16)</f>
        <v>0</v>
      </c>
      <c r="P398" s="58" t="n">
        <f aca="false">IF(P$5="A",0,IF((Project_Register!$AT$16-Project_Register!$AQ$16)&lt;=0,0,IF(1-Project_Register!$AV$16&lt;=0.000001,IF(Assumptions!P$96=Assumptions!$C$10+1,(Project_Register!$AT$16-Project_Register!$AQ$16),0),(Project_Register!$AT$16-Project_Register!$AQ$16)*(P394-P395)/(1-Project_Register!$AV$16)))*Project_Register!$Z$16)</f>
        <v>12571.875</v>
      </c>
      <c r="Q398" s="58" t="n">
        <f aca="false">IF(Q$5="A",0,IF((Project_Register!$AT$16-Project_Register!$AQ$16)&lt;=0,0,IF(1-Project_Register!$AV$16&lt;=0.000001,IF(Assumptions!Q$96=Assumptions!$C$10+1,(Project_Register!$AT$16-Project_Register!$AQ$16),0),(Project_Register!$AT$16-Project_Register!$AQ$16)*(Q394-Q395)/(1-Project_Register!$AV$16)))*Project_Register!$Z$16)</f>
        <v>27658.125</v>
      </c>
      <c r="R398" s="58" t="n">
        <f aca="false">IF(R$5="A",0,IF((Project_Register!$AT$16-Project_Register!$AQ$16)&lt;=0,0,IF(1-Project_Register!$AV$16&lt;=0.000001,IF(Assumptions!R$96=Assumptions!$C$10+1,(Project_Register!$AT$16-Project_Register!$AQ$16),0),(Project_Register!$AT$16-Project_Register!$AQ$16)*(R394-R395)/(1-Project_Register!$AV$16)))*Project_Register!$Z$16)</f>
        <v>27658.125</v>
      </c>
      <c r="S398" s="58" t="n">
        <f aca="false">IF(S$5="A",0,IF((Project_Register!$AT$16-Project_Register!$AQ$16)&lt;=0,0,IF(1-Project_Register!$AV$16&lt;=0.000001,IF(Assumptions!S$96=Assumptions!$C$10+1,(Project_Register!$AT$16-Project_Register!$AQ$16),0),(Project_Register!$AT$16-Project_Register!$AQ$16)*(S394-S395)/(1-Project_Register!$AV$16)))*Project_Register!$Z$16)</f>
        <v>12571.875</v>
      </c>
      <c r="T398" s="58" t="n">
        <f aca="false">IF(T$5="A",0,IF((Project_Register!$AT$16-Project_Register!$AQ$16)&lt;=0,0,IF(1-Project_Register!$AV$16&lt;=0.000001,IF(Assumptions!T$96=Assumptions!$C$10+1,(Project_Register!$AT$16-Project_Register!$AQ$16),0),(Project_Register!$AT$16-Project_Register!$AQ$16)*(T394-T395)/(1-Project_Register!$AV$16)))*Project_Register!$Z$16)</f>
        <v>0</v>
      </c>
      <c r="U398" s="58" t="n">
        <f aca="false">IF(U$5="A",0,IF((Project_Register!$AT$16-Project_Register!$AQ$16)&lt;=0,0,IF(1-Project_Register!$AV$16&lt;=0.000001,IF(Assumptions!U$96=Assumptions!$C$10+1,(Project_Register!$AT$16-Project_Register!$AQ$16),0),(Project_Register!$AT$16-Project_Register!$AQ$16)*(U394-U395)/(1-Project_Register!$AV$16)))*Project_Register!$Z$16)</f>
        <v>0</v>
      </c>
      <c r="V398" s="58" t="n">
        <f aca="false">IF(V$5="A",0,IF((Project_Register!$AT$16-Project_Register!$AQ$16)&lt;=0,0,IF(1-Project_Register!$AV$16&lt;=0.000001,IF(Assumptions!V$96=Assumptions!$C$10+1,(Project_Register!$AT$16-Project_Register!$AQ$16),0),(Project_Register!$AT$16-Project_Register!$AQ$16)*(V394-V395)/(1-Project_Register!$AV$16)))*Project_Register!$Z$16)</f>
        <v>0</v>
      </c>
      <c r="W398" s="58" t="n">
        <f aca="false">IF(W$5="A",0,IF((Project_Register!$AT$16-Project_Register!$AQ$16)&lt;=0,0,IF(1-Project_Register!$AV$16&lt;=0.000001,IF(Assumptions!W$96=Assumptions!$C$10+1,(Project_Register!$AT$16-Project_Register!$AQ$16),0),(Project_Register!$AT$16-Project_Register!$AQ$16)*(W394-W395)/(1-Project_Register!$AV$16)))*Project_Register!$Z$16)</f>
        <v>0</v>
      </c>
      <c r="X398" s="58" t="n">
        <f aca="false">IF(X$5="A",0,IF((Project_Register!$AT$16-Project_Register!$AQ$16)&lt;=0,0,IF(1-Project_Register!$AV$16&lt;=0.000001,IF(Assumptions!X$96=Assumptions!$C$10+1,(Project_Register!$AT$16-Project_Register!$AQ$16),0),(Project_Register!$AT$16-Project_Register!$AQ$16)*(X394-X395)/(1-Project_Register!$AV$16)))*Project_Register!$Z$16)</f>
        <v>0</v>
      </c>
      <c r="Y398" s="58" t="n">
        <f aca="false">IF(Y$5="A",0,IF((Project_Register!$AT$16-Project_Register!$AQ$16)&lt;=0,0,IF(1-Project_Register!$AV$16&lt;=0.000001,IF(Assumptions!Y$96=Assumptions!$C$10+1,(Project_Register!$AT$16-Project_Register!$AQ$16),0),(Project_Register!$AT$16-Project_Register!$AQ$16)*(Y394-Y395)/(1-Project_Register!$AV$16)))*Project_Register!$Z$16)</f>
        <v>0</v>
      </c>
      <c r="Z398" s="58" t="n">
        <f aca="false">IF(Z$5="A",0,IF((Project_Register!$AT$16-Project_Register!$AQ$16)&lt;=0,0,IF(1-Project_Register!$AV$16&lt;=0.000001,IF(Assumptions!Z$96=Assumptions!$C$10+1,(Project_Register!$AT$16-Project_Register!$AQ$16),0),(Project_Register!$AT$16-Project_Register!$AQ$16)*(Z394-Z395)/(1-Project_Register!$AV$16)))*Project_Register!$Z$16)</f>
        <v>0</v>
      </c>
      <c r="AA398" s="58" t="n">
        <f aca="false">IF(AA$5="A",0,IF((Project_Register!$AT$16-Project_Register!$AQ$16)&lt;=0,0,IF(1-Project_Register!$AV$16&lt;=0.000001,IF(Assumptions!AA$96=Assumptions!$C$10+1,(Project_Register!$AT$16-Project_Register!$AQ$16),0),(Project_Register!$AT$16-Project_Register!$AQ$16)*(AA394-AA395)/(1-Project_Register!$AV$16)))*Project_Register!$Z$16)</f>
        <v>0</v>
      </c>
      <c r="AB398" s="58" t="n">
        <f aca="false">IF(AB$5="A",0,IF((Project_Register!$AT$16-Project_Register!$AQ$16)&lt;=0,0,IF(1-Project_Register!$AV$16&lt;=0.000001,IF(Assumptions!AB$96=Assumptions!$C$10+1,(Project_Register!$AT$16-Project_Register!$AQ$16),0),(Project_Register!$AT$16-Project_Register!$AQ$16)*(AB394-AB395)/(1-Project_Register!$AV$16)))*Project_Register!$Z$16)</f>
        <v>0</v>
      </c>
    </row>
    <row r="399" customFormat="false" ht="15" hidden="false" customHeight="false" outlineLevel="0" collapsed="false">
      <c r="A399" s="27" t="s">
        <v>725</v>
      </c>
      <c r="B399" s="56" t="s">
        <v>722</v>
      </c>
      <c r="C399" s="57" t="n">
        <f aca="false">SUM(E399:P399)</f>
        <v>1571.484375</v>
      </c>
      <c r="D399" s="57" t="n">
        <f aca="false">SUM(Q399:AB399)</f>
        <v>8486.015625</v>
      </c>
      <c r="E399" s="58" t="n">
        <f aca="false">IF(E$5="A",0,IF((Project_Register!$AT$16-Project_Register!$AQ$16)&lt;=0,0,IF(1-Project_Register!$AV$16&lt;=0.000001,IF(Assumptions!E$96=Assumptions!$C$10+1,(Project_Register!$AT$16-Project_Register!$AQ$16),0),(Project_Register!$AT$16-Project_Register!$AQ$16)*(E394-E395)/(1-Project_Register!$AV$16)))*Project_Register!$AA$16)</f>
        <v>0</v>
      </c>
      <c r="F399" s="58" t="n">
        <f aca="false">IF(F$5="A",0,IF((Project_Register!$AT$16-Project_Register!$AQ$16)&lt;=0,0,IF(1-Project_Register!$AV$16&lt;=0.000001,IF(Assumptions!F$96=Assumptions!$C$10+1,(Project_Register!$AT$16-Project_Register!$AQ$16),0),(Project_Register!$AT$16-Project_Register!$AQ$16)*(F394-F395)/(1-Project_Register!$AV$16)))*Project_Register!$AA$16)</f>
        <v>0</v>
      </c>
      <c r="G399" s="58" t="n">
        <f aca="false">IF(G$5="A",0,IF((Project_Register!$AT$16-Project_Register!$AQ$16)&lt;=0,0,IF(1-Project_Register!$AV$16&lt;=0.000001,IF(Assumptions!G$96=Assumptions!$C$10+1,(Project_Register!$AT$16-Project_Register!$AQ$16),0),(Project_Register!$AT$16-Project_Register!$AQ$16)*(G394-G395)/(1-Project_Register!$AV$16)))*Project_Register!$AA$16)</f>
        <v>0</v>
      </c>
      <c r="H399" s="58" t="n">
        <f aca="false">IF(H$5="A",0,IF((Project_Register!$AT$16-Project_Register!$AQ$16)&lt;=0,0,IF(1-Project_Register!$AV$16&lt;=0.000001,IF(Assumptions!H$96=Assumptions!$C$10+1,(Project_Register!$AT$16-Project_Register!$AQ$16),0),(Project_Register!$AT$16-Project_Register!$AQ$16)*(H394-H395)/(1-Project_Register!$AV$16)))*Project_Register!$AA$16)</f>
        <v>0</v>
      </c>
      <c r="I399" s="58" t="n">
        <f aca="false">IF(I$5="A",0,IF((Project_Register!$AT$16-Project_Register!$AQ$16)&lt;=0,0,IF(1-Project_Register!$AV$16&lt;=0.000001,IF(Assumptions!I$96=Assumptions!$C$10+1,(Project_Register!$AT$16-Project_Register!$AQ$16),0),(Project_Register!$AT$16-Project_Register!$AQ$16)*(I394-I395)/(1-Project_Register!$AV$16)))*Project_Register!$AA$16)</f>
        <v>0</v>
      </c>
      <c r="J399" s="58" t="n">
        <f aca="false">IF(J$5="A",0,IF((Project_Register!$AT$16-Project_Register!$AQ$16)&lt;=0,0,IF(1-Project_Register!$AV$16&lt;=0.000001,IF(Assumptions!J$96=Assumptions!$C$10+1,(Project_Register!$AT$16-Project_Register!$AQ$16),0),(Project_Register!$AT$16-Project_Register!$AQ$16)*(J394-J395)/(1-Project_Register!$AV$16)))*Project_Register!$AA$16)</f>
        <v>0</v>
      </c>
      <c r="K399" s="58" t="n">
        <f aca="false">IF(K$5="A",0,IF((Project_Register!$AT$16-Project_Register!$AQ$16)&lt;=0,0,IF(1-Project_Register!$AV$16&lt;=0.000001,IF(Assumptions!K$96=Assumptions!$C$10+1,(Project_Register!$AT$16-Project_Register!$AQ$16),0),(Project_Register!$AT$16-Project_Register!$AQ$16)*(K394-K395)/(1-Project_Register!$AV$16)))*Project_Register!$AA$16)</f>
        <v>0</v>
      </c>
      <c r="L399" s="58" t="n">
        <f aca="false">IF(L$5="A",0,IF((Project_Register!$AT$16-Project_Register!$AQ$16)&lt;=0,0,IF(1-Project_Register!$AV$16&lt;=0.000001,IF(Assumptions!L$96=Assumptions!$C$10+1,(Project_Register!$AT$16-Project_Register!$AQ$16),0),(Project_Register!$AT$16-Project_Register!$AQ$16)*(L394-L395)/(1-Project_Register!$AV$16)))*Project_Register!$AA$16)</f>
        <v>0</v>
      </c>
      <c r="M399" s="58" t="n">
        <f aca="false">IF(M$5="A",0,IF((Project_Register!$AT$16-Project_Register!$AQ$16)&lt;=0,0,IF(1-Project_Register!$AV$16&lt;=0.000001,IF(Assumptions!M$96=Assumptions!$C$10+1,(Project_Register!$AT$16-Project_Register!$AQ$16),0),(Project_Register!$AT$16-Project_Register!$AQ$16)*(M394-M395)/(1-Project_Register!$AV$16)))*Project_Register!$AA$16)</f>
        <v>0</v>
      </c>
      <c r="N399" s="58" t="n">
        <f aca="false">IF(N$5="A",0,IF((Project_Register!$AT$16-Project_Register!$AQ$16)&lt;=0,0,IF(1-Project_Register!$AV$16&lt;=0.000001,IF(Assumptions!N$96=Assumptions!$C$10+1,(Project_Register!$AT$16-Project_Register!$AQ$16),0),(Project_Register!$AT$16-Project_Register!$AQ$16)*(N394-N395)/(1-Project_Register!$AV$16)))*Project_Register!$AA$16)</f>
        <v>0</v>
      </c>
      <c r="O399" s="58" t="n">
        <f aca="false">IF(O$5="A",0,IF((Project_Register!$AT$16-Project_Register!$AQ$16)&lt;=0,0,IF(1-Project_Register!$AV$16&lt;=0.000001,IF(Assumptions!O$96=Assumptions!$C$10+1,(Project_Register!$AT$16-Project_Register!$AQ$16),0),(Project_Register!$AT$16-Project_Register!$AQ$16)*(O394-O395)/(1-Project_Register!$AV$16)))*Project_Register!$AA$16)</f>
        <v>0</v>
      </c>
      <c r="P399" s="58" t="n">
        <f aca="false">IF(P$5="A",0,IF((Project_Register!$AT$16-Project_Register!$AQ$16)&lt;=0,0,IF(1-Project_Register!$AV$16&lt;=0.000001,IF(Assumptions!P$96=Assumptions!$C$10+1,(Project_Register!$AT$16-Project_Register!$AQ$16),0),(Project_Register!$AT$16-Project_Register!$AQ$16)*(P394-P395)/(1-Project_Register!$AV$16)))*Project_Register!$AA$16)</f>
        <v>1571.484375</v>
      </c>
      <c r="Q399" s="58" t="n">
        <f aca="false">IF(Q$5="A",0,IF((Project_Register!$AT$16-Project_Register!$AQ$16)&lt;=0,0,IF(1-Project_Register!$AV$16&lt;=0.000001,IF(Assumptions!Q$96=Assumptions!$C$10+1,(Project_Register!$AT$16-Project_Register!$AQ$16),0),(Project_Register!$AT$16-Project_Register!$AQ$16)*(Q394-Q395)/(1-Project_Register!$AV$16)))*Project_Register!$AA$16)</f>
        <v>3457.265625</v>
      </c>
      <c r="R399" s="58" t="n">
        <f aca="false">IF(R$5="A",0,IF((Project_Register!$AT$16-Project_Register!$AQ$16)&lt;=0,0,IF(1-Project_Register!$AV$16&lt;=0.000001,IF(Assumptions!R$96=Assumptions!$C$10+1,(Project_Register!$AT$16-Project_Register!$AQ$16),0),(Project_Register!$AT$16-Project_Register!$AQ$16)*(R394-R395)/(1-Project_Register!$AV$16)))*Project_Register!$AA$16)</f>
        <v>3457.265625</v>
      </c>
      <c r="S399" s="58" t="n">
        <f aca="false">IF(S$5="A",0,IF((Project_Register!$AT$16-Project_Register!$AQ$16)&lt;=0,0,IF(1-Project_Register!$AV$16&lt;=0.000001,IF(Assumptions!S$96=Assumptions!$C$10+1,(Project_Register!$AT$16-Project_Register!$AQ$16),0),(Project_Register!$AT$16-Project_Register!$AQ$16)*(S394-S395)/(1-Project_Register!$AV$16)))*Project_Register!$AA$16)</f>
        <v>1571.484375</v>
      </c>
      <c r="T399" s="58" t="n">
        <f aca="false">IF(T$5="A",0,IF((Project_Register!$AT$16-Project_Register!$AQ$16)&lt;=0,0,IF(1-Project_Register!$AV$16&lt;=0.000001,IF(Assumptions!T$96=Assumptions!$C$10+1,(Project_Register!$AT$16-Project_Register!$AQ$16),0),(Project_Register!$AT$16-Project_Register!$AQ$16)*(T394-T395)/(1-Project_Register!$AV$16)))*Project_Register!$AA$16)</f>
        <v>0</v>
      </c>
      <c r="U399" s="58" t="n">
        <f aca="false">IF(U$5="A",0,IF((Project_Register!$AT$16-Project_Register!$AQ$16)&lt;=0,0,IF(1-Project_Register!$AV$16&lt;=0.000001,IF(Assumptions!U$96=Assumptions!$C$10+1,(Project_Register!$AT$16-Project_Register!$AQ$16),0),(Project_Register!$AT$16-Project_Register!$AQ$16)*(U394-U395)/(1-Project_Register!$AV$16)))*Project_Register!$AA$16)</f>
        <v>0</v>
      </c>
      <c r="V399" s="58" t="n">
        <f aca="false">IF(V$5="A",0,IF((Project_Register!$AT$16-Project_Register!$AQ$16)&lt;=0,0,IF(1-Project_Register!$AV$16&lt;=0.000001,IF(Assumptions!V$96=Assumptions!$C$10+1,(Project_Register!$AT$16-Project_Register!$AQ$16),0),(Project_Register!$AT$16-Project_Register!$AQ$16)*(V394-V395)/(1-Project_Register!$AV$16)))*Project_Register!$AA$16)</f>
        <v>0</v>
      </c>
      <c r="W399" s="58" t="n">
        <f aca="false">IF(W$5="A",0,IF((Project_Register!$AT$16-Project_Register!$AQ$16)&lt;=0,0,IF(1-Project_Register!$AV$16&lt;=0.000001,IF(Assumptions!W$96=Assumptions!$C$10+1,(Project_Register!$AT$16-Project_Register!$AQ$16),0),(Project_Register!$AT$16-Project_Register!$AQ$16)*(W394-W395)/(1-Project_Register!$AV$16)))*Project_Register!$AA$16)</f>
        <v>0</v>
      </c>
      <c r="X399" s="58" t="n">
        <f aca="false">IF(X$5="A",0,IF((Project_Register!$AT$16-Project_Register!$AQ$16)&lt;=0,0,IF(1-Project_Register!$AV$16&lt;=0.000001,IF(Assumptions!X$96=Assumptions!$C$10+1,(Project_Register!$AT$16-Project_Register!$AQ$16),0),(Project_Register!$AT$16-Project_Register!$AQ$16)*(X394-X395)/(1-Project_Register!$AV$16)))*Project_Register!$AA$16)</f>
        <v>0</v>
      </c>
      <c r="Y399" s="58" t="n">
        <f aca="false">IF(Y$5="A",0,IF((Project_Register!$AT$16-Project_Register!$AQ$16)&lt;=0,0,IF(1-Project_Register!$AV$16&lt;=0.000001,IF(Assumptions!Y$96=Assumptions!$C$10+1,(Project_Register!$AT$16-Project_Register!$AQ$16),0),(Project_Register!$AT$16-Project_Register!$AQ$16)*(Y394-Y395)/(1-Project_Register!$AV$16)))*Project_Register!$AA$16)</f>
        <v>0</v>
      </c>
      <c r="Z399" s="58" t="n">
        <f aca="false">IF(Z$5="A",0,IF((Project_Register!$AT$16-Project_Register!$AQ$16)&lt;=0,0,IF(1-Project_Register!$AV$16&lt;=0.000001,IF(Assumptions!Z$96=Assumptions!$C$10+1,(Project_Register!$AT$16-Project_Register!$AQ$16),0),(Project_Register!$AT$16-Project_Register!$AQ$16)*(Z394-Z395)/(1-Project_Register!$AV$16)))*Project_Register!$AA$16)</f>
        <v>0</v>
      </c>
      <c r="AA399" s="58" t="n">
        <f aca="false">IF(AA$5="A",0,IF((Project_Register!$AT$16-Project_Register!$AQ$16)&lt;=0,0,IF(1-Project_Register!$AV$16&lt;=0.000001,IF(Assumptions!AA$96=Assumptions!$C$10+1,(Project_Register!$AT$16-Project_Register!$AQ$16),0),(Project_Register!$AT$16-Project_Register!$AQ$16)*(AA394-AA395)/(1-Project_Register!$AV$16)))*Project_Register!$AA$16)</f>
        <v>0</v>
      </c>
      <c r="AB399" s="58" t="n">
        <f aca="false">IF(AB$5="A",0,IF((Project_Register!$AT$16-Project_Register!$AQ$16)&lt;=0,0,IF(1-Project_Register!$AV$16&lt;=0.000001,IF(Assumptions!AB$96=Assumptions!$C$10+1,(Project_Register!$AT$16-Project_Register!$AQ$16),0),(Project_Register!$AT$16-Project_Register!$AQ$16)*(AB394-AB395)/(1-Project_Register!$AV$16)))*Project_Register!$AA$16)</f>
        <v>0</v>
      </c>
    </row>
    <row r="400" customFormat="false" ht="15" hidden="false" customHeight="false" outlineLevel="0" collapsed="false">
      <c r="A400" s="27" t="s">
        <v>726</v>
      </c>
      <c r="B400" s="56" t="s">
        <v>722</v>
      </c>
      <c r="C400" s="57" t="n">
        <f aca="false">SUM(E400:P400)</f>
        <v>3666.796875</v>
      </c>
      <c r="D400" s="57" t="n">
        <f aca="false">SUM(Q400:AB400)</f>
        <v>19800.703125</v>
      </c>
      <c r="E400" s="58" t="n">
        <f aca="false">IF(E$5="A",0,IF((Project_Register!$AT$16-Project_Register!$AQ$16)&lt;=0,0,IF(1-Project_Register!$AV$16&lt;=0.000001,IF(Assumptions!E$96=Assumptions!$C$10+1,(Project_Register!$AT$16-Project_Register!$AQ$16),0),(Project_Register!$AT$16-Project_Register!$AQ$16)*(E394-E395)/(1-Project_Register!$AV$16)))*Project_Register!$AB$16)</f>
        <v>0</v>
      </c>
      <c r="F400" s="58" t="n">
        <f aca="false">IF(F$5="A",0,IF((Project_Register!$AT$16-Project_Register!$AQ$16)&lt;=0,0,IF(1-Project_Register!$AV$16&lt;=0.000001,IF(Assumptions!F$96=Assumptions!$C$10+1,(Project_Register!$AT$16-Project_Register!$AQ$16),0),(Project_Register!$AT$16-Project_Register!$AQ$16)*(F394-F395)/(1-Project_Register!$AV$16)))*Project_Register!$AB$16)</f>
        <v>0</v>
      </c>
      <c r="G400" s="58" t="n">
        <f aca="false">IF(G$5="A",0,IF((Project_Register!$AT$16-Project_Register!$AQ$16)&lt;=0,0,IF(1-Project_Register!$AV$16&lt;=0.000001,IF(Assumptions!G$96=Assumptions!$C$10+1,(Project_Register!$AT$16-Project_Register!$AQ$16),0),(Project_Register!$AT$16-Project_Register!$AQ$16)*(G394-G395)/(1-Project_Register!$AV$16)))*Project_Register!$AB$16)</f>
        <v>0</v>
      </c>
      <c r="H400" s="58" t="n">
        <f aca="false">IF(H$5="A",0,IF((Project_Register!$AT$16-Project_Register!$AQ$16)&lt;=0,0,IF(1-Project_Register!$AV$16&lt;=0.000001,IF(Assumptions!H$96=Assumptions!$C$10+1,(Project_Register!$AT$16-Project_Register!$AQ$16),0),(Project_Register!$AT$16-Project_Register!$AQ$16)*(H394-H395)/(1-Project_Register!$AV$16)))*Project_Register!$AB$16)</f>
        <v>0</v>
      </c>
      <c r="I400" s="58" t="n">
        <f aca="false">IF(I$5="A",0,IF((Project_Register!$AT$16-Project_Register!$AQ$16)&lt;=0,0,IF(1-Project_Register!$AV$16&lt;=0.000001,IF(Assumptions!I$96=Assumptions!$C$10+1,(Project_Register!$AT$16-Project_Register!$AQ$16),0),(Project_Register!$AT$16-Project_Register!$AQ$16)*(I394-I395)/(1-Project_Register!$AV$16)))*Project_Register!$AB$16)</f>
        <v>0</v>
      </c>
      <c r="J400" s="58" t="n">
        <f aca="false">IF(J$5="A",0,IF((Project_Register!$AT$16-Project_Register!$AQ$16)&lt;=0,0,IF(1-Project_Register!$AV$16&lt;=0.000001,IF(Assumptions!J$96=Assumptions!$C$10+1,(Project_Register!$AT$16-Project_Register!$AQ$16),0),(Project_Register!$AT$16-Project_Register!$AQ$16)*(J394-J395)/(1-Project_Register!$AV$16)))*Project_Register!$AB$16)</f>
        <v>0</v>
      </c>
      <c r="K400" s="58" t="n">
        <f aca="false">IF(K$5="A",0,IF((Project_Register!$AT$16-Project_Register!$AQ$16)&lt;=0,0,IF(1-Project_Register!$AV$16&lt;=0.000001,IF(Assumptions!K$96=Assumptions!$C$10+1,(Project_Register!$AT$16-Project_Register!$AQ$16),0),(Project_Register!$AT$16-Project_Register!$AQ$16)*(K394-K395)/(1-Project_Register!$AV$16)))*Project_Register!$AB$16)</f>
        <v>0</v>
      </c>
      <c r="L400" s="58" t="n">
        <f aca="false">IF(L$5="A",0,IF((Project_Register!$AT$16-Project_Register!$AQ$16)&lt;=0,0,IF(1-Project_Register!$AV$16&lt;=0.000001,IF(Assumptions!L$96=Assumptions!$C$10+1,(Project_Register!$AT$16-Project_Register!$AQ$16),0),(Project_Register!$AT$16-Project_Register!$AQ$16)*(L394-L395)/(1-Project_Register!$AV$16)))*Project_Register!$AB$16)</f>
        <v>0</v>
      </c>
      <c r="M400" s="58" t="n">
        <f aca="false">IF(M$5="A",0,IF((Project_Register!$AT$16-Project_Register!$AQ$16)&lt;=0,0,IF(1-Project_Register!$AV$16&lt;=0.000001,IF(Assumptions!M$96=Assumptions!$C$10+1,(Project_Register!$AT$16-Project_Register!$AQ$16),0),(Project_Register!$AT$16-Project_Register!$AQ$16)*(M394-M395)/(1-Project_Register!$AV$16)))*Project_Register!$AB$16)</f>
        <v>0</v>
      </c>
      <c r="N400" s="58" t="n">
        <f aca="false">IF(N$5="A",0,IF((Project_Register!$AT$16-Project_Register!$AQ$16)&lt;=0,0,IF(1-Project_Register!$AV$16&lt;=0.000001,IF(Assumptions!N$96=Assumptions!$C$10+1,(Project_Register!$AT$16-Project_Register!$AQ$16),0),(Project_Register!$AT$16-Project_Register!$AQ$16)*(N394-N395)/(1-Project_Register!$AV$16)))*Project_Register!$AB$16)</f>
        <v>0</v>
      </c>
      <c r="O400" s="58" t="n">
        <f aca="false">IF(O$5="A",0,IF((Project_Register!$AT$16-Project_Register!$AQ$16)&lt;=0,0,IF(1-Project_Register!$AV$16&lt;=0.000001,IF(Assumptions!O$96=Assumptions!$C$10+1,(Project_Register!$AT$16-Project_Register!$AQ$16),0),(Project_Register!$AT$16-Project_Register!$AQ$16)*(O394-O395)/(1-Project_Register!$AV$16)))*Project_Register!$AB$16)</f>
        <v>0</v>
      </c>
      <c r="P400" s="58" t="n">
        <f aca="false">IF(P$5="A",0,IF((Project_Register!$AT$16-Project_Register!$AQ$16)&lt;=0,0,IF(1-Project_Register!$AV$16&lt;=0.000001,IF(Assumptions!P$96=Assumptions!$C$10+1,(Project_Register!$AT$16-Project_Register!$AQ$16),0),(Project_Register!$AT$16-Project_Register!$AQ$16)*(P394-P395)/(1-Project_Register!$AV$16)))*Project_Register!$AB$16)</f>
        <v>3666.796875</v>
      </c>
      <c r="Q400" s="58" t="n">
        <f aca="false">IF(Q$5="A",0,IF((Project_Register!$AT$16-Project_Register!$AQ$16)&lt;=0,0,IF(1-Project_Register!$AV$16&lt;=0.000001,IF(Assumptions!Q$96=Assumptions!$C$10+1,(Project_Register!$AT$16-Project_Register!$AQ$16),0),(Project_Register!$AT$16-Project_Register!$AQ$16)*(Q394-Q395)/(1-Project_Register!$AV$16)))*Project_Register!$AB$16)</f>
        <v>8066.953125</v>
      </c>
      <c r="R400" s="58" t="n">
        <f aca="false">IF(R$5="A",0,IF((Project_Register!$AT$16-Project_Register!$AQ$16)&lt;=0,0,IF(1-Project_Register!$AV$16&lt;=0.000001,IF(Assumptions!R$96=Assumptions!$C$10+1,(Project_Register!$AT$16-Project_Register!$AQ$16),0),(Project_Register!$AT$16-Project_Register!$AQ$16)*(R394-R395)/(1-Project_Register!$AV$16)))*Project_Register!$AB$16)</f>
        <v>8066.953125</v>
      </c>
      <c r="S400" s="58" t="n">
        <f aca="false">IF(S$5="A",0,IF((Project_Register!$AT$16-Project_Register!$AQ$16)&lt;=0,0,IF(1-Project_Register!$AV$16&lt;=0.000001,IF(Assumptions!S$96=Assumptions!$C$10+1,(Project_Register!$AT$16-Project_Register!$AQ$16),0),(Project_Register!$AT$16-Project_Register!$AQ$16)*(S394-S395)/(1-Project_Register!$AV$16)))*Project_Register!$AB$16)</f>
        <v>3666.796875</v>
      </c>
      <c r="T400" s="58" t="n">
        <f aca="false">IF(T$5="A",0,IF((Project_Register!$AT$16-Project_Register!$AQ$16)&lt;=0,0,IF(1-Project_Register!$AV$16&lt;=0.000001,IF(Assumptions!T$96=Assumptions!$C$10+1,(Project_Register!$AT$16-Project_Register!$AQ$16),0),(Project_Register!$AT$16-Project_Register!$AQ$16)*(T394-T395)/(1-Project_Register!$AV$16)))*Project_Register!$AB$16)</f>
        <v>0</v>
      </c>
      <c r="U400" s="58" t="n">
        <f aca="false">IF(U$5="A",0,IF((Project_Register!$AT$16-Project_Register!$AQ$16)&lt;=0,0,IF(1-Project_Register!$AV$16&lt;=0.000001,IF(Assumptions!U$96=Assumptions!$C$10+1,(Project_Register!$AT$16-Project_Register!$AQ$16),0),(Project_Register!$AT$16-Project_Register!$AQ$16)*(U394-U395)/(1-Project_Register!$AV$16)))*Project_Register!$AB$16)</f>
        <v>0</v>
      </c>
      <c r="V400" s="58" t="n">
        <f aca="false">IF(V$5="A",0,IF((Project_Register!$AT$16-Project_Register!$AQ$16)&lt;=0,0,IF(1-Project_Register!$AV$16&lt;=0.000001,IF(Assumptions!V$96=Assumptions!$C$10+1,(Project_Register!$AT$16-Project_Register!$AQ$16),0),(Project_Register!$AT$16-Project_Register!$AQ$16)*(V394-V395)/(1-Project_Register!$AV$16)))*Project_Register!$AB$16)</f>
        <v>0</v>
      </c>
      <c r="W400" s="58" t="n">
        <f aca="false">IF(W$5="A",0,IF((Project_Register!$AT$16-Project_Register!$AQ$16)&lt;=0,0,IF(1-Project_Register!$AV$16&lt;=0.000001,IF(Assumptions!W$96=Assumptions!$C$10+1,(Project_Register!$AT$16-Project_Register!$AQ$16),0),(Project_Register!$AT$16-Project_Register!$AQ$16)*(W394-W395)/(1-Project_Register!$AV$16)))*Project_Register!$AB$16)</f>
        <v>0</v>
      </c>
      <c r="X400" s="58" t="n">
        <f aca="false">IF(X$5="A",0,IF((Project_Register!$AT$16-Project_Register!$AQ$16)&lt;=0,0,IF(1-Project_Register!$AV$16&lt;=0.000001,IF(Assumptions!X$96=Assumptions!$C$10+1,(Project_Register!$AT$16-Project_Register!$AQ$16),0),(Project_Register!$AT$16-Project_Register!$AQ$16)*(X394-X395)/(1-Project_Register!$AV$16)))*Project_Register!$AB$16)</f>
        <v>0</v>
      </c>
      <c r="Y400" s="58" t="n">
        <f aca="false">IF(Y$5="A",0,IF((Project_Register!$AT$16-Project_Register!$AQ$16)&lt;=0,0,IF(1-Project_Register!$AV$16&lt;=0.000001,IF(Assumptions!Y$96=Assumptions!$C$10+1,(Project_Register!$AT$16-Project_Register!$AQ$16),0),(Project_Register!$AT$16-Project_Register!$AQ$16)*(Y394-Y395)/(1-Project_Register!$AV$16)))*Project_Register!$AB$16)</f>
        <v>0</v>
      </c>
      <c r="Z400" s="58" t="n">
        <f aca="false">IF(Z$5="A",0,IF((Project_Register!$AT$16-Project_Register!$AQ$16)&lt;=0,0,IF(1-Project_Register!$AV$16&lt;=0.000001,IF(Assumptions!Z$96=Assumptions!$C$10+1,(Project_Register!$AT$16-Project_Register!$AQ$16),0),(Project_Register!$AT$16-Project_Register!$AQ$16)*(Z394-Z395)/(1-Project_Register!$AV$16)))*Project_Register!$AB$16)</f>
        <v>0</v>
      </c>
      <c r="AA400" s="58" t="n">
        <f aca="false">IF(AA$5="A",0,IF((Project_Register!$AT$16-Project_Register!$AQ$16)&lt;=0,0,IF(1-Project_Register!$AV$16&lt;=0.000001,IF(Assumptions!AA$96=Assumptions!$C$10+1,(Project_Register!$AT$16-Project_Register!$AQ$16),0),(Project_Register!$AT$16-Project_Register!$AQ$16)*(AA394-AA395)/(1-Project_Register!$AV$16)))*Project_Register!$AB$16)</f>
        <v>0</v>
      </c>
      <c r="AB400" s="58" t="n">
        <f aca="false">IF(AB$5="A",0,IF((Project_Register!$AT$16-Project_Register!$AQ$16)&lt;=0,0,IF(1-Project_Register!$AV$16&lt;=0.000001,IF(Assumptions!AB$96=Assumptions!$C$10+1,(Project_Register!$AT$16-Project_Register!$AQ$16),0),(Project_Register!$AT$16-Project_Register!$AQ$16)*(AB394-AB395)/(1-Project_Register!$AV$16)))*Project_Register!$AB$16)</f>
        <v>0</v>
      </c>
    </row>
    <row r="401" customFormat="false" ht="15" hidden="false" customHeight="false" outlineLevel="0" collapsed="false">
      <c r="A401" s="67" t="s">
        <v>727</v>
      </c>
      <c r="B401" s="68" t="s">
        <v>728</v>
      </c>
      <c r="C401" s="69" t="n">
        <f aca="false">SUM(E401:P401)</f>
        <v>52382.8125</v>
      </c>
      <c r="D401" s="69" t="n">
        <f aca="false">SUM(Q401:AB401)</f>
        <v>282867.1875</v>
      </c>
      <c r="E401" s="69" t="n">
        <f aca="false">SUM(E396:E400)</f>
        <v>0</v>
      </c>
      <c r="F401" s="69" t="n">
        <f aca="false">SUM(F396:F400)</f>
        <v>0</v>
      </c>
      <c r="G401" s="69" t="n">
        <f aca="false">SUM(G396:G400)</f>
        <v>0</v>
      </c>
      <c r="H401" s="69" t="n">
        <f aca="false">SUM(H396:H400)</f>
        <v>0</v>
      </c>
      <c r="I401" s="69" t="n">
        <f aca="false">SUM(I396:I400)</f>
        <v>0</v>
      </c>
      <c r="J401" s="69" t="n">
        <f aca="false">SUM(J396:J400)</f>
        <v>0</v>
      </c>
      <c r="K401" s="69" t="n">
        <f aca="false">SUM(K396:K400)</f>
        <v>0</v>
      </c>
      <c r="L401" s="69" t="n">
        <f aca="false">SUM(L396:L400)</f>
        <v>0</v>
      </c>
      <c r="M401" s="69" t="n">
        <f aca="false">SUM(M396:M400)</f>
        <v>0</v>
      </c>
      <c r="N401" s="69" t="n">
        <f aca="false">SUM(N396:N400)</f>
        <v>0</v>
      </c>
      <c r="O401" s="69" t="n">
        <f aca="false">SUM(O396:O400)</f>
        <v>0</v>
      </c>
      <c r="P401" s="69" t="n">
        <f aca="false">SUM(P396:P400)</f>
        <v>52382.8125</v>
      </c>
      <c r="Q401" s="69" t="n">
        <f aca="false">SUM(Q396:Q400)</f>
        <v>115242.1875</v>
      </c>
      <c r="R401" s="69" t="n">
        <f aca="false">SUM(R396:R400)</f>
        <v>115242.1875</v>
      </c>
      <c r="S401" s="69" t="n">
        <f aca="false">SUM(S396:S400)</f>
        <v>52382.8125</v>
      </c>
      <c r="T401" s="69" t="n">
        <f aca="false">SUM(T396:T400)</f>
        <v>0</v>
      </c>
      <c r="U401" s="69" t="n">
        <f aca="false">SUM(U396:U400)</f>
        <v>0</v>
      </c>
      <c r="V401" s="69" t="n">
        <f aca="false">SUM(V396:V400)</f>
        <v>0</v>
      </c>
      <c r="W401" s="69" t="n">
        <f aca="false">SUM(W396:W400)</f>
        <v>0</v>
      </c>
      <c r="X401" s="69" t="n">
        <f aca="false">SUM(X396:X400)</f>
        <v>0</v>
      </c>
      <c r="Y401" s="69" t="n">
        <f aca="false">SUM(Y396:Y400)</f>
        <v>0</v>
      </c>
      <c r="Z401" s="69" t="n">
        <f aca="false">SUM(Z396:Z400)</f>
        <v>0</v>
      </c>
      <c r="AA401" s="69" t="n">
        <f aca="false">SUM(AA396:AA400)</f>
        <v>0</v>
      </c>
      <c r="AB401" s="69" t="n">
        <f aca="false">SUM(AB396:AB400)</f>
        <v>0</v>
      </c>
    </row>
    <row r="402" customFormat="false" ht="15" hidden="false" customHeight="false" outlineLevel="0" collapsed="false">
      <c r="A402" s="27" t="s">
        <v>729</v>
      </c>
      <c r="B402" s="56" t="s">
        <v>730</v>
      </c>
      <c r="C402" s="57" t="n">
        <f aca="false">P402</f>
        <v>52382.8125</v>
      </c>
      <c r="D402" s="57" t="n">
        <f aca="false">AB402</f>
        <v>335250</v>
      </c>
      <c r="E402" s="58" t="n">
        <f aca="false">Project_Register!$AC$16+E401</f>
        <v>0</v>
      </c>
      <c r="F402" s="70" t="n">
        <f aca="false">E402+F401</f>
        <v>0</v>
      </c>
      <c r="G402" s="70" t="n">
        <f aca="false">F402+G401</f>
        <v>0</v>
      </c>
      <c r="H402" s="70" t="n">
        <f aca="false">G402+H401</f>
        <v>0</v>
      </c>
      <c r="I402" s="70" t="n">
        <f aca="false">H402+I401</f>
        <v>0</v>
      </c>
      <c r="J402" s="70" t="n">
        <f aca="false">I402+J401</f>
        <v>0</v>
      </c>
      <c r="K402" s="70" t="n">
        <f aca="false">J402+K401</f>
        <v>0</v>
      </c>
      <c r="L402" s="70" t="n">
        <f aca="false">K402+L401</f>
        <v>0</v>
      </c>
      <c r="M402" s="70" t="n">
        <f aca="false">L402+M401</f>
        <v>0</v>
      </c>
      <c r="N402" s="70" t="n">
        <f aca="false">M402+N401</f>
        <v>0</v>
      </c>
      <c r="O402" s="70" t="n">
        <f aca="false">N402+O401</f>
        <v>0</v>
      </c>
      <c r="P402" s="70" t="n">
        <f aca="false">O402+P401</f>
        <v>52382.8125</v>
      </c>
      <c r="Q402" s="70" t="n">
        <f aca="false">P402+Q401</f>
        <v>167625</v>
      </c>
      <c r="R402" s="70" t="n">
        <f aca="false">Q402+R401</f>
        <v>282867.1875</v>
      </c>
      <c r="S402" s="70" t="n">
        <f aca="false">R402+S401</f>
        <v>335250</v>
      </c>
      <c r="T402" s="70" t="n">
        <f aca="false">S402+T401</f>
        <v>335250</v>
      </c>
      <c r="U402" s="70" t="n">
        <f aca="false">T402+U401</f>
        <v>335250</v>
      </c>
      <c r="V402" s="70" t="n">
        <f aca="false">U402+V401</f>
        <v>335250</v>
      </c>
      <c r="W402" s="70" t="n">
        <f aca="false">V402+W401</f>
        <v>335250</v>
      </c>
      <c r="X402" s="70" t="n">
        <f aca="false">W402+X401</f>
        <v>335250</v>
      </c>
      <c r="Y402" s="70" t="n">
        <f aca="false">X402+Y401</f>
        <v>335250</v>
      </c>
      <c r="Z402" s="70" t="n">
        <f aca="false">Y402+Z401</f>
        <v>335250</v>
      </c>
      <c r="AA402" s="70" t="n">
        <f aca="false">Z402+AA401</f>
        <v>335250</v>
      </c>
      <c r="AB402" s="70" t="n">
        <f aca="false">AA402+AB401</f>
        <v>335250</v>
      </c>
    </row>
    <row r="403" customFormat="false" ht="15" hidden="false" customHeight="false" outlineLevel="0" collapsed="false">
      <c r="A403" s="27" t="s">
        <v>731</v>
      </c>
      <c r="B403" s="56" t="s">
        <v>732</v>
      </c>
      <c r="C403" s="57" t="n">
        <f aca="false">P403</f>
        <v>335250</v>
      </c>
      <c r="D403" s="57" t="n">
        <f aca="false">AB403</f>
        <v>335250</v>
      </c>
      <c r="E403" s="58" t="n">
        <f aca="false">IF(E$5="A",IF(E402+Project_Register!$AP$16&lt;=0,Project_Register!$AP$16,E402+Project_Register!$AP$16),Project_Register!$AT$16)</f>
        <v>335250</v>
      </c>
      <c r="F403" s="58" t="n">
        <f aca="false">IF(F$5="A",IF(F402+Project_Register!$AP$16&lt;=0,Project_Register!$AP$16,F402+Project_Register!$AP$16),Project_Register!$AT$16)</f>
        <v>335250</v>
      </c>
      <c r="G403" s="58" t="n">
        <f aca="false">IF(G$5="A",IF(G402+Project_Register!$AP$16&lt;=0,Project_Register!$AP$16,G402+Project_Register!$AP$16),Project_Register!$AT$16)</f>
        <v>335250</v>
      </c>
      <c r="H403" s="58" t="n">
        <f aca="false">IF(H$5="A",IF(H402+Project_Register!$AP$16&lt;=0,Project_Register!$AP$16,H402+Project_Register!$AP$16),Project_Register!$AT$16)</f>
        <v>335250</v>
      </c>
      <c r="I403" s="58" t="n">
        <f aca="false">IF(I$5="A",IF(I402+Project_Register!$AP$16&lt;=0,Project_Register!$AP$16,I402+Project_Register!$AP$16),Project_Register!$AT$16)</f>
        <v>335250</v>
      </c>
      <c r="J403" s="58" t="n">
        <f aca="false">IF(J$5="A",IF(J402+Project_Register!$AP$16&lt;=0,Project_Register!$AP$16,J402+Project_Register!$AP$16),Project_Register!$AT$16)</f>
        <v>335250</v>
      </c>
      <c r="K403" s="58" t="n">
        <f aca="false">IF(K$5="A",IF(K402+Project_Register!$AP$16&lt;=0,Project_Register!$AP$16,K402+Project_Register!$AP$16),Project_Register!$AT$16)</f>
        <v>335250</v>
      </c>
      <c r="L403" s="58" t="n">
        <f aca="false">IF(L$5="A",IF(L402+Project_Register!$AP$16&lt;=0,Project_Register!$AP$16,L402+Project_Register!$AP$16),Project_Register!$AT$16)</f>
        <v>335250</v>
      </c>
      <c r="M403" s="58" t="n">
        <f aca="false">IF(M$5="A",IF(M402+Project_Register!$AP$16&lt;=0,Project_Register!$AP$16,M402+Project_Register!$AP$16),Project_Register!$AT$16)</f>
        <v>335250</v>
      </c>
      <c r="N403" s="58" t="n">
        <f aca="false">IF(N$5="A",IF(N402+Project_Register!$AP$16&lt;=0,Project_Register!$AP$16,N402+Project_Register!$AP$16),Project_Register!$AT$16)</f>
        <v>335250</v>
      </c>
      <c r="O403" s="58" t="n">
        <f aca="false">IF(O$5="A",IF(O402+Project_Register!$AP$16&lt;=0,Project_Register!$AP$16,O402+Project_Register!$AP$16),Project_Register!$AT$16)</f>
        <v>335250</v>
      </c>
      <c r="P403" s="58" t="n">
        <f aca="false">IF(P$5="A",IF(P402+Project_Register!$AP$16&lt;=0,Project_Register!$AP$16,P402+Project_Register!$AP$16),Project_Register!$AT$16)</f>
        <v>335250</v>
      </c>
      <c r="Q403" s="58" t="n">
        <f aca="false">IF(Q$5="A",IF(Q402+Project_Register!$AP$16&lt;=0,Project_Register!$AP$16,Q402+Project_Register!$AP$16),Project_Register!$AT$16)</f>
        <v>335250</v>
      </c>
      <c r="R403" s="58" t="n">
        <f aca="false">IF(R$5="A",IF(R402+Project_Register!$AP$16&lt;=0,Project_Register!$AP$16,R402+Project_Register!$AP$16),Project_Register!$AT$16)</f>
        <v>335250</v>
      </c>
      <c r="S403" s="58" t="n">
        <f aca="false">IF(S$5="A",IF(S402+Project_Register!$AP$16&lt;=0,Project_Register!$AP$16,S402+Project_Register!$AP$16),Project_Register!$AT$16)</f>
        <v>335250</v>
      </c>
      <c r="T403" s="58" t="n">
        <f aca="false">IF(T$5="A",IF(T402+Project_Register!$AP$16&lt;=0,Project_Register!$AP$16,T402+Project_Register!$AP$16),Project_Register!$AT$16)</f>
        <v>335250</v>
      </c>
      <c r="U403" s="58" t="n">
        <f aca="false">IF(U$5="A",IF(U402+Project_Register!$AP$16&lt;=0,Project_Register!$AP$16,U402+Project_Register!$AP$16),Project_Register!$AT$16)</f>
        <v>335250</v>
      </c>
      <c r="V403" s="58" t="n">
        <f aca="false">IF(V$5="A",IF(V402+Project_Register!$AP$16&lt;=0,Project_Register!$AP$16,V402+Project_Register!$AP$16),Project_Register!$AT$16)</f>
        <v>335250</v>
      </c>
      <c r="W403" s="58" t="n">
        <f aca="false">IF(W$5="A",IF(W402+Project_Register!$AP$16&lt;=0,Project_Register!$AP$16,W402+Project_Register!$AP$16),Project_Register!$AT$16)</f>
        <v>335250</v>
      </c>
      <c r="X403" s="58" t="n">
        <f aca="false">IF(X$5="A",IF(X402+Project_Register!$AP$16&lt;=0,Project_Register!$AP$16,X402+Project_Register!$AP$16),Project_Register!$AT$16)</f>
        <v>335250</v>
      </c>
      <c r="Y403" s="58" t="n">
        <f aca="false">IF(Y$5="A",IF(Y402+Project_Register!$AP$16&lt;=0,Project_Register!$AP$16,Y402+Project_Register!$AP$16),Project_Register!$AT$16)</f>
        <v>335250</v>
      </c>
      <c r="Z403" s="58" t="n">
        <f aca="false">IF(Z$5="A",IF(Z402+Project_Register!$AP$16&lt;=0,Project_Register!$AP$16,Z402+Project_Register!$AP$16),Project_Register!$AT$16)</f>
        <v>335250</v>
      </c>
      <c r="AA403" s="58" t="n">
        <f aca="false">IF(AA$5="A",IF(AA402+Project_Register!$AP$16&lt;=0,Project_Register!$AP$16,AA402+Project_Register!$AP$16),Project_Register!$AT$16)</f>
        <v>335250</v>
      </c>
      <c r="AB403" s="58" t="n">
        <f aca="false">IF(AB$5="A",IF(AB402+Project_Register!$AP$16&lt;=0,Project_Register!$AP$16,AB402+Project_Register!$AP$16),Project_Register!$AT$16)</f>
        <v>335250</v>
      </c>
    </row>
    <row r="404" customFormat="false" ht="15" hidden="false" customHeight="false" outlineLevel="0" collapsed="false">
      <c r="A404" s="27" t="s">
        <v>733</v>
      </c>
      <c r="B404" s="56" t="s">
        <v>734</v>
      </c>
      <c r="C404" s="59" t="n">
        <f aca="false">P404</f>
        <v>0.15625</v>
      </c>
      <c r="D404" s="59" t="n">
        <f aca="false">AB404</f>
        <v>1</v>
      </c>
      <c r="E404" s="60" t="n">
        <f aca="false">IF(E403&lt;=0,0,MIN(1,E402/E403))</f>
        <v>0</v>
      </c>
      <c r="F404" s="60" t="n">
        <f aca="false">IF(F403&lt;=0,0,MIN(1,F402/F403))</f>
        <v>0</v>
      </c>
      <c r="G404" s="60" t="n">
        <f aca="false">IF(G403&lt;=0,0,MIN(1,G402/G403))</f>
        <v>0</v>
      </c>
      <c r="H404" s="60" t="n">
        <f aca="false">IF(H403&lt;=0,0,MIN(1,H402/H403))</f>
        <v>0</v>
      </c>
      <c r="I404" s="60" t="n">
        <f aca="false">IF(I403&lt;=0,0,MIN(1,I402/I403))</f>
        <v>0</v>
      </c>
      <c r="J404" s="60" t="n">
        <f aca="false">IF(J403&lt;=0,0,MIN(1,J402/J403))</f>
        <v>0</v>
      </c>
      <c r="K404" s="60" t="n">
        <f aca="false">IF(K403&lt;=0,0,MIN(1,K402/K403))</f>
        <v>0</v>
      </c>
      <c r="L404" s="60" t="n">
        <f aca="false">IF(L403&lt;=0,0,MIN(1,L402/L403))</f>
        <v>0</v>
      </c>
      <c r="M404" s="60" t="n">
        <f aca="false">IF(M403&lt;=0,0,MIN(1,M402/M403))</f>
        <v>0</v>
      </c>
      <c r="N404" s="60" t="n">
        <f aca="false">IF(N403&lt;=0,0,MIN(1,N402/N403))</f>
        <v>0</v>
      </c>
      <c r="O404" s="60" t="n">
        <f aca="false">IF(O403&lt;=0,0,MIN(1,O402/O403))</f>
        <v>0</v>
      </c>
      <c r="P404" s="60" t="n">
        <f aca="false">IF(P403&lt;=0,0,MIN(1,P402/P403))</f>
        <v>0.15625</v>
      </c>
      <c r="Q404" s="60" t="n">
        <f aca="false">IF(Q403&lt;=0,0,MIN(1,Q402/Q403))</f>
        <v>0.5</v>
      </c>
      <c r="R404" s="60" t="n">
        <f aca="false">IF(R403&lt;=0,0,MIN(1,R402/R403))</f>
        <v>0.84375</v>
      </c>
      <c r="S404" s="60" t="n">
        <f aca="false">IF(S403&lt;=0,0,MIN(1,S402/S403))</f>
        <v>1</v>
      </c>
      <c r="T404" s="60" t="n">
        <f aca="false">IF(T403&lt;=0,0,MIN(1,T402/T403))</f>
        <v>1</v>
      </c>
      <c r="U404" s="60" t="n">
        <f aca="false">IF(U403&lt;=0,0,MIN(1,U402/U403))</f>
        <v>1</v>
      </c>
      <c r="V404" s="60" t="n">
        <f aca="false">IF(V403&lt;=0,0,MIN(1,V402/V403))</f>
        <v>1</v>
      </c>
      <c r="W404" s="60" t="n">
        <f aca="false">IF(W403&lt;=0,0,MIN(1,W402/W403))</f>
        <v>1</v>
      </c>
      <c r="X404" s="60" t="n">
        <f aca="false">IF(X403&lt;=0,0,MIN(1,X402/X403))</f>
        <v>1</v>
      </c>
      <c r="Y404" s="60" t="n">
        <f aca="false">IF(Y403&lt;=0,0,MIN(1,Y402/Y403))</f>
        <v>1</v>
      </c>
      <c r="Z404" s="60" t="n">
        <f aca="false">IF(Z403&lt;=0,0,MIN(1,Z402/Z403))</f>
        <v>1</v>
      </c>
      <c r="AA404" s="60" t="n">
        <f aca="false">IF(AA403&lt;=0,0,MIN(1,AA402/AA403))</f>
        <v>1</v>
      </c>
      <c r="AB404" s="60" t="n">
        <f aca="false">IF(AB403&lt;=0,0,MIN(1,AB402/AB403))</f>
        <v>1</v>
      </c>
    </row>
    <row r="405" customFormat="false" ht="15" hidden="false" customHeight="false" outlineLevel="0" collapsed="false">
      <c r="A405" s="27" t="s">
        <v>735</v>
      </c>
      <c r="B405" s="56" t="s">
        <v>736</v>
      </c>
      <c r="C405" s="57" t="n">
        <f aca="false">P405</f>
        <v>0</v>
      </c>
      <c r="D405" s="57" t="n">
        <f aca="false">AB405</f>
        <v>0</v>
      </c>
      <c r="E405" s="58" t="n">
        <f aca="false">SUMIFS(Variations!$H$6:$H$21,Variations!$B$6:$B$21,"CF-P02",Variations!$F$6:$F$21,"Approved",Variations!$G$6:$G$21,"&lt;="&amp;Assumptions!E$95)</f>
        <v>0</v>
      </c>
      <c r="F405" s="58" t="n">
        <f aca="false">SUMIFS(Variations!$H$6:$H$21,Variations!$B$6:$B$21,"CF-P02",Variations!$F$6:$F$21,"Approved",Variations!$G$6:$G$21,"&lt;="&amp;Assumptions!F$95)</f>
        <v>0</v>
      </c>
      <c r="G405" s="58" t="n">
        <f aca="false">SUMIFS(Variations!$H$6:$H$21,Variations!$B$6:$B$21,"CF-P02",Variations!$F$6:$F$21,"Approved",Variations!$G$6:$G$21,"&lt;="&amp;Assumptions!G$95)</f>
        <v>0</v>
      </c>
      <c r="H405" s="58" t="n">
        <f aca="false">SUMIFS(Variations!$H$6:$H$21,Variations!$B$6:$B$21,"CF-P02",Variations!$F$6:$F$21,"Approved",Variations!$G$6:$G$21,"&lt;="&amp;Assumptions!H$95)</f>
        <v>0</v>
      </c>
      <c r="I405" s="58" t="n">
        <f aca="false">SUMIFS(Variations!$H$6:$H$21,Variations!$B$6:$B$21,"CF-P02",Variations!$F$6:$F$21,"Approved",Variations!$G$6:$G$21,"&lt;="&amp;Assumptions!I$95)</f>
        <v>0</v>
      </c>
      <c r="J405" s="58" t="n">
        <f aca="false">SUMIFS(Variations!$H$6:$H$21,Variations!$B$6:$B$21,"CF-P02",Variations!$F$6:$F$21,"Approved",Variations!$G$6:$G$21,"&lt;="&amp;Assumptions!J$95)</f>
        <v>0</v>
      </c>
      <c r="K405" s="58" t="n">
        <f aca="false">SUMIFS(Variations!$H$6:$H$21,Variations!$B$6:$B$21,"CF-P02",Variations!$F$6:$F$21,"Approved",Variations!$G$6:$G$21,"&lt;="&amp;Assumptions!K$95)</f>
        <v>0</v>
      </c>
      <c r="L405" s="58" t="n">
        <f aca="false">SUMIFS(Variations!$H$6:$H$21,Variations!$B$6:$B$21,"CF-P02",Variations!$F$6:$F$21,"Approved",Variations!$G$6:$G$21,"&lt;="&amp;Assumptions!L$95)</f>
        <v>0</v>
      </c>
      <c r="M405" s="58" t="n">
        <f aca="false">SUMIFS(Variations!$H$6:$H$21,Variations!$B$6:$B$21,"CF-P02",Variations!$F$6:$F$21,"Approved",Variations!$G$6:$G$21,"&lt;="&amp;Assumptions!M$95)</f>
        <v>0</v>
      </c>
      <c r="N405" s="58" t="n">
        <f aca="false">SUMIFS(Variations!$H$6:$H$21,Variations!$B$6:$B$21,"CF-P02",Variations!$F$6:$F$21,"Approved",Variations!$G$6:$G$21,"&lt;="&amp;Assumptions!N$95)</f>
        <v>0</v>
      </c>
      <c r="O405" s="58" t="n">
        <f aca="false">SUMIFS(Variations!$H$6:$H$21,Variations!$B$6:$B$21,"CF-P02",Variations!$F$6:$F$21,"Approved",Variations!$G$6:$G$21,"&lt;="&amp;Assumptions!O$95)</f>
        <v>0</v>
      </c>
      <c r="P405" s="58" t="n">
        <f aca="false">SUMIFS(Variations!$H$6:$H$21,Variations!$B$6:$B$21,"CF-P02",Variations!$F$6:$F$21,"Approved",Variations!$G$6:$G$21,"&lt;="&amp;Assumptions!P$95)</f>
        <v>0</v>
      </c>
      <c r="Q405" s="58" t="n">
        <f aca="false">SUMIFS(Variations!$H$6:$H$21,Variations!$B$6:$B$21,"CF-P02",Variations!$F$6:$F$21,"Approved",Variations!$G$6:$G$21,"&lt;="&amp;Assumptions!Q$95)</f>
        <v>0</v>
      </c>
      <c r="R405" s="58" t="n">
        <f aca="false">SUMIFS(Variations!$H$6:$H$21,Variations!$B$6:$B$21,"CF-P02",Variations!$F$6:$F$21,"Approved",Variations!$G$6:$G$21,"&lt;="&amp;Assumptions!R$95)</f>
        <v>0</v>
      </c>
      <c r="S405" s="58" t="n">
        <f aca="false">SUMIFS(Variations!$H$6:$H$21,Variations!$B$6:$B$21,"CF-P02",Variations!$F$6:$F$21,"Approved",Variations!$G$6:$G$21,"&lt;="&amp;Assumptions!S$95)</f>
        <v>0</v>
      </c>
      <c r="T405" s="58" t="n">
        <f aca="false">SUMIFS(Variations!$H$6:$H$21,Variations!$B$6:$B$21,"CF-P02",Variations!$F$6:$F$21,"Approved",Variations!$G$6:$G$21,"&lt;="&amp;Assumptions!T$95)</f>
        <v>0</v>
      </c>
      <c r="U405" s="58" t="n">
        <f aca="false">SUMIFS(Variations!$H$6:$H$21,Variations!$B$6:$B$21,"CF-P02",Variations!$F$6:$F$21,"Approved",Variations!$G$6:$G$21,"&lt;="&amp;Assumptions!U$95)</f>
        <v>0</v>
      </c>
      <c r="V405" s="58" t="n">
        <f aca="false">SUMIFS(Variations!$H$6:$H$21,Variations!$B$6:$B$21,"CF-P02",Variations!$F$6:$F$21,"Approved",Variations!$G$6:$G$21,"&lt;="&amp;Assumptions!V$95)</f>
        <v>0</v>
      </c>
      <c r="W405" s="58" t="n">
        <f aca="false">SUMIFS(Variations!$H$6:$H$21,Variations!$B$6:$B$21,"CF-P02",Variations!$F$6:$F$21,"Approved",Variations!$G$6:$G$21,"&lt;="&amp;Assumptions!W$95)</f>
        <v>0</v>
      </c>
      <c r="X405" s="58" t="n">
        <f aca="false">SUMIFS(Variations!$H$6:$H$21,Variations!$B$6:$B$21,"CF-P02",Variations!$F$6:$F$21,"Approved",Variations!$G$6:$G$21,"&lt;="&amp;Assumptions!X$95)</f>
        <v>0</v>
      </c>
      <c r="Y405" s="58" t="n">
        <f aca="false">SUMIFS(Variations!$H$6:$H$21,Variations!$B$6:$B$21,"CF-P02",Variations!$F$6:$F$21,"Approved",Variations!$G$6:$G$21,"&lt;="&amp;Assumptions!Y$95)</f>
        <v>0</v>
      </c>
      <c r="Z405" s="58" t="n">
        <f aca="false">SUMIFS(Variations!$H$6:$H$21,Variations!$B$6:$B$21,"CF-P02",Variations!$F$6:$F$21,"Approved",Variations!$G$6:$G$21,"&lt;="&amp;Assumptions!Z$95)</f>
        <v>0</v>
      </c>
      <c r="AA405" s="58" t="n">
        <f aca="false">SUMIFS(Variations!$H$6:$H$21,Variations!$B$6:$B$21,"CF-P02",Variations!$F$6:$F$21,"Approved",Variations!$G$6:$G$21,"&lt;="&amp;Assumptions!AA$95)</f>
        <v>0</v>
      </c>
      <c r="AB405" s="58" t="n">
        <f aca="false">SUMIFS(Variations!$H$6:$H$21,Variations!$B$6:$B$21,"CF-P02",Variations!$F$6:$F$21,"Approved",Variations!$G$6:$G$21,"&lt;="&amp;Assumptions!AB$95)</f>
        <v>0</v>
      </c>
    </row>
    <row r="406" customFormat="false" ht="15" hidden="false" customHeight="false" outlineLevel="0" collapsed="false">
      <c r="A406" s="27" t="s">
        <v>737</v>
      </c>
      <c r="B406" s="56"/>
      <c r="C406" s="57" t="n">
        <f aca="false">P406</f>
        <v>0</v>
      </c>
      <c r="D406" s="57" t="n">
        <f aca="false">AB406</f>
        <v>0</v>
      </c>
      <c r="E406" s="58" t="n">
        <f aca="false">SUMIFS(Variations!$E$6:$E$21,Variations!$B$6:$B$21,"CF-P02",Variations!$D$6:$D$21,"&lt;="&amp;Assumptions!E$95,Variations!$G$6:$G$21,"&gt;"&amp;Assumptions!E$95)</f>
        <v>0</v>
      </c>
      <c r="F406" s="58" t="n">
        <f aca="false">SUMIFS(Variations!$E$6:$E$21,Variations!$B$6:$B$21,"CF-P02",Variations!$D$6:$D$21,"&lt;="&amp;Assumptions!F$95,Variations!$G$6:$G$21,"&gt;"&amp;Assumptions!F$95)</f>
        <v>0</v>
      </c>
      <c r="G406" s="58" t="n">
        <f aca="false">SUMIFS(Variations!$E$6:$E$21,Variations!$B$6:$B$21,"CF-P02",Variations!$D$6:$D$21,"&lt;="&amp;Assumptions!G$95,Variations!$G$6:$G$21,"&gt;"&amp;Assumptions!G$95)</f>
        <v>0</v>
      </c>
      <c r="H406" s="58" t="n">
        <f aca="false">SUMIFS(Variations!$E$6:$E$21,Variations!$B$6:$B$21,"CF-P02",Variations!$D$6:$D$21,"&lt;="&amp;Assumptions!H$95,Variations!$G$6:$G$21,"&gt;"&amp;Assumptions!H$95)</f>
        <v>0</v>
      </c>
      <c r="I406" s="58" t="n">
        <f aca="false">SUMIFS(Variations!$E$6:$E$21,Variations!$B$6:$B$21,"CF-P02",Variations!$D$6:$D$21,"&lt;="&amp;Assumptions!I$95,Variations!$G$6:$G$21,"&gt;"&amp;Assumptions!I$95)</f>
        <v>0</v>
      </c>
      <c r="J406" s="58" t="n">
        <f aca="false">SUMIFS(Variations!$E$6:$E$21,Variations!$B$6:$B$21,"CF-P02",Variations!$D$6:$D$21,"&lt;="&amp;Assumptions!J$95,Variations!$G$6:$G$21,"&gt;"&amp;Assumptions!J$95)</f>
        <v>0</v>
      </c>
      <c r="K406" s="58" t="n">
        <f aca="false">SUMIFS(Variations!$E$6:$E$21,Variations!$B$6:$B$21,"CF-P02",Variations!$D$6:$D$21,"&lt;="&amp;Assumptions!K$95,Variations!$G$6:$G$21,"&gt;"&amp;Assumptions!K$95)</f>
        <v>0</v>
      </c>
      <c r="L406" s="58" t="n">
        <f aca="false">SUMIFS(Variations!$E$6:$E$21,Variations!$B$6:$B$21,"CF-P02",Variations!$D$6:$D$21,"&lt;="&amp;Assumptions!L$95,Variations!$G$6:$G$21,"&gt;"&amp;Assumptions!L$95)</f>
        <v>0</v>
      </c>
      <c r="M406" s="58" t="n">
        <f aca="false">SUMIFS(Variations!$E$6:$E$21,Variations!$B$6:$B$21,"CF-P02",Variations!$D$6:$D$21,"&lt;="&amp;Assumptions!M$95,Variations!$G$6:$G$21,"&gt;"&amp;Assumptions!M$95)</f>
        <v>0</v>
      </c>
      <c r="N406" s="58" t="n">
        <f aca="false">SUMIFS(Variations!$E$6:$E$21,Variations!$B$6:$B$21,"CF-P02",Variations!$D$6:$D$21,"&lt;="&amp;Assumptions!N$95,Variations!$G$6:$G$21,"&gt;"&amp;Assumptions!N$95)</f>
        <v>0</v>
      </c>
      <c r="O406" s="58" t="n">
        <f aca="false">SUMIFS(Variations!$E$6:$E$21,Variations!$B$6:$B$21,"CF-P02",Variations!$D$6:$D$21,"&lt;="&amp;Assumptions!O$95,Variations!$G$6:$G$21,"&gt;"&amp;Assumptions!O$95)</f>
        <v>0</v>
      </c>
      <c r="P406" s="58" t="n">
        <f aca="false">SUMIFS(Variations!$E$6:$E$21,Variations!$B$6:$B$21,"CF-P02",Variations!$D$6:$D$21,"&lt;="&amp;Assumptions!P$95,Variations!$G$6:$G$21,"&gt;"&amp;Assumptions!P$95)</f>
        <v>0</v>
      </c>
      <c r="Q406" s="58" t="n">
        <f aca="false">SUMIFS(Variations!$E$6:$E$21,Variations!$B$6:$B$21,"CF-P02",Variations!$D$6:$D$21,"&lt;="&amp;Assumptions!Q$95,Variations!$G$6:$G$21,"&gt;"&amp;Assumptions!Q$95)</f>
        <v>0</v>
      </c>
      <c r="R406" s="58" t="n">
        <f aca="false">SUMIFS(Variations!$E$6:$E$21,Variations!$B$6:$B$21,"CF-P02",Variations!$D$6:$D$21,"&lt;="&amp;Assumptions!R$95,Variations!$G$6:$G$21,"&gt;"&amp;Assumptions!R$95)</f>
        <v>0</v>
      </c>
      <c r="S406" s="58" t="n">
        <f aca="false">SUMIFS(Variations!$E$6:$E$21,Variations!$B$6:$B$21,"CF-P02",Variations!$D$6:$D$21,"&lt;="&amp;Assumptions!S$95,Variations!$G$6:$G$21,"&gt;"&amp;Assumptions!S$95)</f>
        <v>0</v>
      </c>
      <c r="T406" s="58" t="n">
        <f aca="false">SUMIFS(Variations!$E$6:$E$21,Variations!$B$6:$B$21,"CF-P02",Variations!$D$6:$D$21,"&lt;="&amp;Assumptions!T$95,Variations!$G$6:$G$21,"&gt;"&amp;Assumptions!T$95)</f>
        <v>0</v>
      </c>
      <c r="U406" s="58" t="n">
        <f aca="false">SUMIFS(Variations!$E$6:$E$21,Variations!$B$6:$B$21,"CF-P02",Variations!$D$6:$D$21,"&lt;="&amp;Assumptions!U$95,Variations!$G$6:$G$21,"&gt;"&amp;Assumptions!U$95)</f>
        <v>0</v>
      </c>
      <c r="V406" s="58" t="n">
        <f aca="false">SUMIFS(Variations!$E$6:$E$21,Variations!$B$6:$B$21,"CF-P02",Variations!$D$6:$D$21,"&lt;="&amp;Assumptions!V$95,Variations!$G$6:$G$21,"&gt;"&amp;Assumptions!V$95)</f>
        <v>0</v>
      </c>
      <c r="W406" s="58" t="n">
        <f aca="false">SUMIFS(Variations!$E$6:$E$21,Variations!$B$6:$B$21,"CF-P02",Variations!$D$6:$D$21,"&lt;="&amp;Assumptions!W$95,Variations!$G$6:$G$21,"&gt;"&amp;Assumptions!W$95)</f>
        <v>0</v>
      </c>
      <c r="X406" s="58" t="n">
        <f aca="false">SUMIFS(Variations!$E$6:$E$21,Variations!$B$6:$B$21,"CF-P02",Variations!$D$6:$D$21,"&lt;="&amp;Assumptions!X$95,Variations!$G$6:$G$21,"&gt;"&amp;Assumptions!X$95)</f>
        <v>0</v>
      </c>
      <c r="Y406" s="58" t="n">
        <f aca="false">SUMIFS(Variations!$E$6:$E$21,Variations!$B$6:$B$21,"CF-P02",Variations!$D$6:$D$21,"&lt;="&amp;Assumptions!Y$95,Variations!$G$6:$G$21,"&gt;"&amp;Assumptions!Y$95)</f>
        <v>0</v>
      </c>
      <c r="Z406" s="58" t="n">
        <f aca="false">SUMIFS(Variations!$E$6:$E$21,Variations!$B$6:$B$21,"CF-P02",Variations!$D$6:$D$21,"&lt;="&amp;Assumptions!Z$95,Variations!$G$6:$G$21,"&gt;"&amp;Assumptions!Z$95)</f>
        <v>0</v>
      </c>
      <c r="AA406" s="58" t="n">
        <f aca="false">SUMIFS(Variations!$E$6:$E$21,Variations!$B$6:$B$21,"CF-P02",Variations!$D$6:$D$21,"&lt;="&amp;Assumptions!AA$95,Variations!$G$6:$G$21,"&gt;"&amp;Assumptions!AA$95)</f>
        <v>0</v>
      </c>
      <c r="AB406" s="58" t="n">
        <f aca="false">SUMIFS(Variations!$E$6:$E$21,Variations!$B$6:$B$21,"CF-P02",Variations!$D$6:$D$21,"&lt;="&amp;Assumptions!AB$95,Variations!$G$6:$G$21,"&gt;"&amp;Assumptions!AB$95)</f>
        <v>0</v>
      </c>
    </row>
    <row r="407" customFormat="false" ht="15" hidden="false" customHeight="false" outlineLevel="0" collapsed="false">
      <c r="A407" s="27" t="s">
        <v>738</v>
      </c>
      <c r="B407" s="56"/>
      <c r="C407" s="57" t="n">
        <f aca="false">P407</f>
        <v>0</v>
      </c>
      <c r="D407" s="57" t="n">
        <f aca="false">AB407</f>
        <v>0</v>
      </c>
      <c r="E407" s="58" t="n">
        <f aca="false">SUMIFS(Variations!$E$6:$E$21,Variations!$B$6:$B$21,"CF-P02",Variations!$F$6:$F$21,"Pending",Variations!$G$6:$G$21,"&lt;="&amp;Assumptions!E$95)</f>
        <v>0</v>
      </c>
      <c r="F407" s="58" t="n">
        <f aca="false">SUMIFS(Variations!$E$6:$E$21,Variations!$B$6:$B$21,"CF-P02",Variations!$F$6:$F$21,"Pending",Variations!$G$6:$G$21,"&lt;="&amp;Assumptions!F$95)</f>
        <v>0</v>
      </c>
      <c r="G407" s="58" t="n">
        <f aca="false">SUMIFS(Variations!$E$6:$E$21,Variations!$B$6:$B$21,"CF-P02",Variations!$F$6:$F$21,"Pending",Variations!$G$6:$G$21,"&lt;="&amp;Assumptions!G$95)</f>
        <v>0</v>
      </c>
      <c r="H407" s="58" t="n">
        <f aca="false">SUMIFS(Variations!$E$6:$E$21,Variations!$B$6:$B$21,"CF-P02",Variations!$F$6:$F$21,"Pending",Variations!$G$6:$G$21,"&lt;="&amp;Assumptions!H$95)</f>
        <v>0</v>
      </c>
      <c r="I407" s="58" t="n">
        <f aca="false">SUMIFS(Variations!$E$6:$E$21,Variations!$B$6:$B$21,"CF-P02",Variations!$F$6:$F$21,"Pending",Variations!$G$6:$G$21,"&lt;="&amp;Assumptions!I$95)</f>
        <v>0</v>
      </c>
      <c r="J407" s="58" t="n">
        <f aca="false">SUMIFS(Variations!$E$6:$E$21,Variations!$B$6:$B$21,"CF-P02",Variations!$F$6:$F$21,"Pending",Variations!$G$6:$G$21,"&lt;="&amp;Assumptions!J$95)</f>
        <v>0</v>
      </c>
      <c r="K407" s="58" t="n">
        <f aca="false">SUMIFS(Variations!$E$6:$E$21,Variations!$B$6:$B$21,"CF-P02",Variations!$F$6:$F$21,"Pending",Variations!$G$6:$G$21,"&lt;="&amp;Assumptions!K$95)</f>
        <v>0</v>
      </c>
      <c r="L407" s="58" t="n">
        <f aca="false">SUMIFS(Variations!$E$6:$E$21,Variations!$B$6:$B$21,"CF-P02",Variations!$F$6:$F$21,"Pending",Variations!$G$6:$G$21,"&lt;="&amp;Assumptions!L$95)</f>
        <v>0</v>
      </c>
      <c r="M407" s="58" t="n">
        <f aca="false">SUMIFS(Variations!$E$6:$E$21,Variations!$B$6:$B$21,"CF-P02",Variations!$F$6:$F$21,"Pending",Variations!$G$6:$G$21,"&lt;="&amp;Assumptions!M$95)</f>
        <v>0</v>
      </c>
      <c r="N407" s="58" t="n">
        <f aca="false">SUMIFS(Variations!$E$6:$E$21,Variations!$B$6:$B$21,"CF-P02",Variations!$F$6:$F$21,"Pending",Variations!$G$6:$G$21,"&lt;="&amp;Assumptions!N$95)</f>
        <v>0</v>
      </c>
      <c r="O407" s="58" t="n">
        <f aca="false">SUMIFS(Variations!$E$6:$E$21,Variations!$B$6:$B$21,"CF-P02",Variations!$F$6:$F$21,"Pending",Variations!$G$6:$G$21,"&lt;="&amp;Assumptions!O$95)</f>
        <v>0</v>
      </c>
      <c r="P407" s="58" t="n">
        <f aca="false">SUMIFS(Variations!$E$6:$E$21,Variations!$B$6:$B$21,"CF-P02",Variations!$F$6:$F$21,"Pending",Variations!$G$6:$G$21,"&lt;="&amp;Assumptions!P$95)</f>
        <v>0</v>
      </c>
      <c r="Q407" s="58" t="n">
        <f aca="false">SUMIFS(Variations!$E$6:$E$21,Variations!$B$6:$B$21,"CF-P02",Variations!$F$6:$F$21,"Pending",Variations!$G$6:$G$21,"&lt;="&amp;Assumptions!Q$95)</f>
        <v>0</v>
      </c>
      <c r="R407" s="58" t="n">
        <f aca="false">SUMIFS(Variations!$E$6:$E$21,Variations!$B$6:$B$21,"CF-P02",Variations!$F$6:$F$21,"Pending",Variations!$G$6:$G$21,"&lt;="&amp;Assumptions!R$95)</f>
        <v>0</v>
      </c>
      <c r="S407" s="58" t="n">
        <f aca="false">SUMIFS(Variations!$E$6:$E$21,Variations!$B$6:$B$21,"CF-P02",Variations!$F$6:$F$21,"Pending",Variations!$G$6:$G$21,"&lt;="&amp;Assumptions!S$95)</f>
        <v>0</v>
      </c>
      <c r="T407" s="58" t="n">
        <f aca="false">SUMIFS(Variations!$E$6:$E$21,Variations!$B$6:$B$21,"CF-P02",Variations!$F$6:$F$21,"Pending",Variations!$G$6:$G$21,"&lt;="&amp;Assumptions!T$95)</f>
        <v>0</v>
      </c>
      <c r="U407" s="58" t="n">
        <f aca="false">SUMIFS(Variations!$E$6:$E$21,Variations!$B$6:$B$21,"CF-P02",Variations!$F$6:$F$21,"Pending",Variations!$G$6:$G$21,"&lt;="&amp;Assumptions!U$95)</f>
        <v>0</v>
      </c>
      <c r="V407" s="58" t="n">
        <f aca="false">SUMIFS(Variations!$E$6:$E$21,Variations!$B$6:$B$21,"CF-P02",Variations!$F$6:$F$21,"Pending",Variations!$G$6:$G$21,"&lt;="&amp;Assumptions!V$95)</f>
        <v>0</v>
      </c>
      <c r="W407" s="58" t="n">
        <f aca="false">SUMIFS(Variations!$E$6:$E$21,Variations!$B$6:$B$21,"CF-P02",Variations!$F$6:$F$21,"Pending",Variations!$G$6:$G$21,"&lt;="&amp;Assumptions!W$95)</f>
        <v>0</v>
      </c>
      <c r="X407" s="58" t="n">
        <f aca="false">SUMIFS(Variations!$E$6:$E$21,Variations!$B$6:$B$21,"CF-P02",Variations!$F$6:$F$21,"Pending",Variations!$G$6:$G$21,"&lt;="&amp;Assumptions!X$95)</f>
        <v>0</v>
      </c>
      <c r="Y407" s="58" t="n">
        <f aca="false">SUMIFS(Variations!$E$6:$E$21,Variations!$B$6:$B$21,"CF-P02",Variations!$F$6:$F$21,"Pending",Variations!$G$6:$G$21,"&lt;="&amp;Assumptions!Y$95)</f>
        <v>0</v>
      </c>
      <c r="Z407" s="58" t="n">
        <f aca="false">SUMIFS(Variations!$E$6:$E$21,Variations!$B$6:$B$21,"CF-P02",Variations!$F$6:$F$21,"Pending",Variations!$G$6:$G$21,"&lt;="&amp;Assumptions!Z$95)</f>
        <v>0</v>
      </c>
      <c r="AA407" s="58" t="n">
        <f aca="false">SUMIFS(Variations!$E$6:$E$21,Variations!$B$6:$B$21,"CF-P02",Variations!$F$6:$F$21,"Pending",Variations!$G$6:$G$21,"&lt;="&amp;Assumptions!AA$95)</f>
        <v>0</v>
      </c>
      <c r="AB407" s="58" t="n">
        <f aca="false">SUMIFS(Variations!$E$6:$E$21,Variations!$B$6:$B$21,"CF-P02",Variations!$F$6:$F$21,"Pending",Variations!$G$6:$G$21,"&lt;="&amp;Assumptions!AB$95)</f>
        <v>0</v>
      </c>
    </row>
    <row r="408" customFormat="false" ht="15" hidden="false" customHeight="false" outlineLevel="0" collapsed="false">
      <c r="A408" s="27" t="s">
        <v>739</v>
      </c>
      <c r="B408" s="56" t="s">
        <v>740</v>
      </c>
      <c r="C408" s="57" t="n">
        <f aca="false">P408</f>
        <v>390000</v>
      </c>
      <c r="D408" s="57" t="n">
        <f aca="false">AB408</f>
        <v>390000</v>
      </c>
      <c r="E408" s="58" t="n">
        <f aca="false">Project_Register!$AO$16+E405+Assumptions!$C$74*E406+Assumptions!$F$121*E407</f>
        <v>390000</v>
      </c>
      <c r="F408" s="58" t="n">
        <f aca="false">Project_Register!$AO$16+F405+Assumptions!$C$74*F406+Assumptions!$F$121*F407</f>
        <v>390000</v>
      </c>
      <c r="G408" s="58" t="n">
        <f aca="false">Project_Register!$AO$16+G405+Assumptions!$C$74*G406+Assumptions!$F$121*G407</f>
        <v>390000</v>
      </c>
      <c r="H408" s="58" t="n">
        <f aca="false">Project_Register!$AO$16+H405+Assumptions!$C$74*H406+Assumptions!$F$121*H407</f>
        <v>390000</v>
      </c>
      <c r="I408" s="58" t="n">
        <f aca="false">Project_Register!$AO$16+I405+Assumptions!$C$74*I406+Assumptions!$F$121*I407</f>
        <v>390000</v>
      </c>
      <c r="J408" s="58" t="n">
        <f aca="false">Project_Register!$AO$16+J405+Assumptions!$C$74*J406+Assumptions!$F$121*J407</f>
        <v>390000</v>
      </c>
      <c r="K408" s="58" t="n">
        <f aca="false">Project_Register!$AO$16+K405+Assumptions!$C$74*K406+Assumptions!$F$121*K407</f>
        <v>390000</v>
      </c>
      <c r="L408" s="58" t="n">
        <f aca="false">Project_Register!$AO$16+L405+Assumptions!$C$74*L406+Assumptions!$F$121*L407</f>
        <v>390000</v>
      </c>
      <c r="M408" s="58" t="n">
        <f aca="false">Project_Register!$AO$16+M405+Assumptions!$C$74*M406+Assumptions!$F$121*M407</f>
        <v>390000</v>
      </c>
      <c r="N408" s="58" t="n">
        <f aca="false">Project_Register!$AO$16+N405+Assumptions!$C$74*N406+Assumptions!$F$121*N407</f>
        <v>390000</v>
      </c>
      <c r="O408" s="58" t="n">
        <f aca="false">Project_Register!$AO$16+O405+Assumptions!$C$74*O406+Assumptions!$F$121*O407</f>
        <v>390000</v>
      </c>
      <c r="P408" s="58" t="n">
        <f aca="false">Project_Register!$AO$16+P405+Assumptions!$C$74*P406+Assumptions!$F$121*P407</f>
        <v>390000</v>
      </c>
      <c r="Q408" s="58" t="n">
        <f aca="false">Project_Register!$AO$16+Q405+Assumptions!$C$74*Q406+Assumptions!$F$121*Q407</f>
        <v>390000</v>
      </c>
      <c r="R408" s="58" t="n">
        <f aca="false">Project_Register!$AO$16+R405+Assumptions!$C$74*R406+Assumptions!$F$121*R407</f>
        <v>390000</v>
      </c>
      <c r="S408" s="58" t="n">
        <f aca="false">Project_Register!$AO$16+S405+Assumptions!$C$74*S406+Assumptions!$F$121*S407</f>
        <v>390000</v>
      </c>
      <c r="T408" s="58" t="n">
        <f aca="false">Project_Register!$AO$16+T405+Assumptions!$C$74*T406+Assumptions!$F$121*T407</f>
        <v>390000</v>
      </c>
      <c r="U408" s="58" t="n">
        <f aca="false">Project_Register!$AO$16+U405+Assumptions!$C$74*U406+Assumptions!$F$121*U407</f>
        <v>390000</v>
      </c>
      <c r="V408" s="58" t="n">
        <f aca="false">Project_Register!$AO$16+V405+Assumptions!$C$74*V406+Assumptions!$F$121*V407</f>
        <v>390000</v>
      </c>
      <c r="W408" s="58" t="n">
        <f aca="false">Project_Register!$AO$16+W405+Assumptions!$C$74*W406+Assumptions!$F$121*W407</f>
        <v>390000</v>
      </c>
      <c r="X408" s="58" t="n">
        <f aca="false">Project_Register!$AO$16+X405+Assumptions!$C$74*X406+Assumptions!$F$121*X407</f>
        <v>390000</v>
      </c>
      <c r="Y408" s="58" t="n">
        <f aca="false">Project_Register!$AO$16+Y405+Assumptions!$C$74*Y406+Assumptions!$F$121*Y407</f>
        <v>390000</v>
      </c>
      <c r="Z408" s="58" t="n">
        <f aca="false">Project_Register!$AO$16+Z405+Assumptions!$C$74*Z406+Assumptions!$F$121*Z407</f>
        <v>390000</v>
      </c>
      <c r="AA408" s="58" t="n">
        <f aca="false">Project_Register!$AO$16+AA405+Assumptions!$C$74*AA406+Assumptions!$F$121*AA407</f>
        <v>390000</v>
      </c>
      <c r="AB408" s="58" t="n">
        <f aca="false">Project_Register!$AO$16+AB405+Assumptions!$C$74*AB406+Assumptions!$F$121*AB407</f>
        <v>390000</v>
      </c>
    </row>
    <row r="409" customFormat="false" ht="15" hidden="false" customHeight="false" outlineLevel="0" collapsed="false">
      <c r="A409" s="27" t="s">
        <v>741</v>
      </c>
      <c r="B409" s="56" t="s">
        <v>742</v>
      </c>
      <c r="C409" s="57" t="n">
        <f aca="false">P409</f>
        <v>60937.5</v>
      </c>
      <c r="D409" s="57" t="n">
        <f aca="false">AB409</f>
        <v>390000</v>
      </c>
      <c r="E409" s="58" t="n">
        <f aca="false">IF(E$5="A",Project_Register!$AD$16+0,E404*E408)</f>
        <v>0</v>
      </c>
      <c r="F409" s="70" t="n">
        <f aca="false">IF(F$5="A",E409+0,F404*F408)</f>
        <v>0</v>
      </c>
      <c r="G409" s="70" t="n">
        <f aca="false">IF(G$5="A",F409+0,G404*G408)</f>
        <v>0</v>
      </c>
      <c r="H409" s="70" t="n">
        <f aca="false">IF(H$5="A",G409+0,H404*H408)</f>
        <v>0</v>
      </c>
      <c r="I409" s="70" t="n">
        <f aca="false">IF(I$5="A",H409+0,I404*I408)</f>
        <v>0</v>
      </c>
      <c r="J409" s="70" t="n">
        <f aca="false">IF(J$5="A",I409+0,J404*J408)</f>
        <v>0</v>
      </c>
      <c r="K409" s="70" t="n">
        <f aca="false">IF(K$5="A",J409+0,K404*K408)</f>
        <v>0</v>
      </c>
      <c r="L409" s="70" t="n">
        <f aca="false">IF(L$5="A",K409+0,L404*L408)</f>
        <v>0</v>
      </c>
      <c r="M409" s="70" t="n">
        <f aca="false">IF(M$5="A",L409+0,M404*M408)</f>
        <v>0</v>
      </c>
      <c r="N409" s="70" t="n">
        <f aca="false">IF(N$5="A",M409+0,N404*N408)</f>
        <v>0</v>
      </c>
      <c r="O409" s="70" t="n">
        <f aca="false">IF(O$5="A",N409+0,O404*O408)</f>
        <v>0</v>
      </c>
      <c r="P409" s="70" t="n">
        <f aca="false">IF(P$5="A",O409+0,P404*P408)</f>
        <v>60937.5</v>
      </c>
      <c r="Q409" s="70" t="n">
        <f aca="false">IF(Q$5="A",P409+0,Q404*Q408)</f>
        <v>195000</v>
      </c>
      <c r="R409" s="70" t="n">
        <f aca="false">IF(R$5="A",Q409+0,R404*R408)</f>
        <v>329062.5</v>
      </c>
      <c r="S409" s="70" t="n">
        <f aca="false">IF(S$5="A",R409+0,S404*S408)</f>
        <v>390000</v>
      </c>
      <c r="T409" s="70" t="n">
        <f aca="false">IF(T$5="A",S409+0,T404*T408)</f>
        <v>390000</v>
      </c>
      <c r="U409" s="70" t="n">
        <f aca="false">IF(U$5="A",T409+0,U404*U408)</f>
        <v>390000</v>
      </c>
      <c r="V409" s="70" t="n">
        <f aca="false">IF(V$5="A",U409+0,V404*V408)</f>
        <v>390000</v>
      </c>
      <c r="W409" s="70" t="n">
        <f aca="false">IF(W$5="A",V409+0,W404*W408)</f>
        <v>390000</v>
      </c>
      <c r="X409" s="70" t="n">
        <f aca="false">IF(X$5="A",W409+0,X404*X408)</f>
        <v>390000</v>
      </c>
      <c r="Y409" s="70" t="n">
        <f aca="false">IF(Y$5="A",X409+0,Y404*Y408)</f>
        <v>390000</v>
      </c>
      <c r="Z409" s="70" t="n">
        <f aca="false">IF(Z$5="A",Y409+0,Z404*Z408)</f>
        <v>390000</v>
      </c>
      <c r="AA409" s="70" t="n">
        <f aca="false">IF(AA$5="A",Z409+0,AA404*AA408)</f>
        <v>390000</v>
      </c>
      <c r="AB409" s="70" t="n">
        <f aca="false">IF(AB$5="A",AA409+0,AB404*AB408)</f>
        <v>390000</v>
      </c>
    </row>
    <row r="410" customFormat="false" ht="15" hidden="false" customHeight="false" outlineLevel="0" collapsed="false">
      <c r="A410" s="67" t="s">
        <v>743</v>
      </c>
      <c r="B410" s="68" t="s">
        <v>744</v>
      </c>
      <c r="C410" s="69" t="n">
        <f aca="false">SUM(E410:P410)</f>
        <v>60937.5</v>
      </c>
      <c r="D410" s="69" t="n">
        <f aca="false">SUM(Q410:AB410)</f>
        <v>329062.5</v>
      </c>
      <c r="E410" s="74" t="n">
        <f aca="false">E409-Project_Register!$AD$16</f>
        <v>0</v>
      </c>
      <c r="F410" s="69" t="n">
        <f aca="false">F409-E409</f>
        <v>0</v>
      </c>
      <c r="G410" s="69" t="n">
        <f aca="false">G409-F409</f>
        <v>0</v>
      </c>
      <c r="H410" s="69" t="n">
        <f aca="false">H409-G409</f>
        <v>0</v>
      </c>
      <c r="I410" s="69" t="n">
        <f aca="false">I409-H409</f>
        <v>0</v>
      </c>
      <c r="J410" s="69" t="n">
        <f aca="false">J409-I409</f>
        <v>0</v>
      </c>
      <c r="K410" s="69" t="n">
        <f aca="false">K409-J409</f>
        <v>0</v>
      </c>
      <c r="L410" s="69" t="n">
        <f aca="false">L409-K409</f>
        <v>0</v>
      </c>
      <c r="M410" s="69" t="n">
        <f aca="false">M409-L409</f>
        <v>0</v>
      </c>
      <c r="N410" s="69" t="n">
        <f aca="false">N409-M409</f>
        <v>0</v>
      </c>
      <c r="O410" s="69" t="n">
        <f aca="false">O409-N409</f>
        <v>0</v>
      </c>
      <c r="P410" s="69" t="n">
        <f aca="false">P409-O409</f>
        <v>60937.5</v>
      </c>
      <c r="Q410" s="69" t="n">
        <f aca="false">Q409-P409</f>
        <v>134062.5</v>
      </c>
      <c r="R410" s="69" t="n">
        <f aca="false">R409-Q409</f>
        <v>134062.5</v>
      </c>
      <c r="S410" s="69" t="n">
        <f aca="false">S409-R409</f>
        <v>60937.5</v>
      </c>
      <c r="T410" s="69" t="n">
        <f aca="false">T409-S409</f>
        <v>0</v>
      </c>
      <c r="U410" s="69" t="n">
        <f aca="false">U409-T409</f>
        <v>0</v>
      </c>
      <c r="V410" s="69" t="n">
        <f aca="false">V409-U409</f>
        <v>0</v>
      </c>
      <c r="W410" s="69" t="n">
        <f aca="false">W409-V409</f>
        <v>0</v>
      </c>
      <c r="X410" s="69" t="n">
        <f aca="false">X409-W409</f>
        <v>0</v>
      </c>
      <c r="Y410" s="69" t="n">
        <f aca="false">Y409-X409</f>
        <v>0</v>
      </c>
      <c r="Z410" s="69" t="n">
        <f aca="false">Z409-Y409</f>
        <v>0</v>
      </c>
      <c r="AA410" s="69" t="n">
        <f aca="false">AA409-Z409</f>
        <v>0</v>
      </c>
      <c r="AB410" s="69" t="n">
        <f aca="false">AB409-AA409</f>
        <v>0</v>
      </c>
    </row>
    <row r="411" customFormat="false" ht="15" hidden="false" customHeight="false" outlineLevel="0" collapsed="false">
      <c r="A411" s="27" t="s">
        <v>745</v>
      </c>
      <c r="B411" s="56" t="s">
        <v>746</v>
      </c>
      <c r="C411" s="57" t="n">
        <f aca="false">P411</f>
        <v>0</v>
      </c>
      <c r="D411" s="57" t="n">
        <f aca="false">AB411</f>
        <v>0</v>
      </c>
      <c r="E411" s="70" t="n">
        <f aca="false">MAX(0,E403-E408)*(1-E404)</f>
        <v>0</v>
      </c>
      <c r="F411" s="70" t="n">
        <f aca="false">MAX(0,F403-F408)*(1-F404)</f>
        <v>0</v>
      </c>
      <c r="G411" s="70" t="n">
        <f aca="false">MAX(0,G403-G408)*(1-G404)</f>
        <v>0</v>
      </c>
      <c r="H411" s="70" t="n">
        <f aca="false">MAX(0,H403-H408)*(1-H404)</f>
        <v>0</v>
      </c>
      <c r="I411" s="70" t="n">
        <f aca="false">MAX(0,I403-I408)*(1-I404)</f>
        <v>0</v>
      </c>
      <c r="J411" s="70" t="n">
        <f aca="false">MAX(0,J403-J408)*(1-J404)</f>
        <v>0</v>
      </c>
      <c r="K411" s="70" t="n">
        <f aca="false">MAX(0,K403-K408)*(1-K404)</f>
        <v>0</v>
      </c>
      <c r="L411" s="70" t="n">
        <f aca="false">MAX(0,L403-L408)*(1-L404)</f>
        <v>0</v>
      </c>
      <c r="M411" s="70" t="n">
        <f aca="false">MAX(0,M403-M408)*(1-M404)</f>
        <v>0</v>
      </c>
      <c r="N411" s="70" t="n">
        <f aca="false">MAX(0,N403-N408)*(1-N404)</f>
        <v>0</v>
      </c>
      <c r="O411" s="70" t="n">
        <f aca="false">MAX(0,O403-O408)*(1-O404)</f>
        <v>0</v>
      </c>
      <c r="P411" s="70" t="n">
        <f aca="false">MAX(0,P403-P408)*(1-P404)</f>
        <v>0</v>
      </c>
      <c r="Q411" s="70" t="n">
        <f aca="false">MAX(0,Q403-Q408)*(1-Q404)</f>
        <v>0</v>
      </c>
      <c r="R411" s="70" t="n">
        <f aca="false">MAX(0,R403-R408)*(1-R404)</f>
        <v>0</v>
      </c>
      <c r="S411" s="70" t="n">
        <f aca="false">MAX(0,S403-S408)*(1-S404)</f>
        <v>0</v>
      </c>
      <c r="T411" s="70" t="n">
        <f aca="false">MAX(0,T403-T408)*(1-T404)</f>
        <v>0</v>
      </c>
      <c r="U411" s="70" t="n">
        <f aca="false">MAX(0,U403-U408)*(1-U404)</f>
        <v>0</v>
      </c>
      <c r="V411" s="70" t="n">
        <f aca="false">MAX(0,V403-V408)*(1-V404)</f>
        <v>0</v>
      </c>
      <c r="W411" s="70" t="n">
        <f aca="false">MAX(0,W403-W408)*(1-W404)</f>
        <v>0</v>
      </c>
      <c r="X411" s="70" t="n">
        <f aca="false">MAX(0,X403-X408)*(1-X404)</f>
        <v>0</v>
      </c>
      <c r="Y411" s="70" t="n">
        <f aca="false">MAX(0,Y403-Y408)*(1-Y404)</f>
        <v>0</v>
      </c>
      <c r="Z411" s="70" t="n">
        <f aca="false">MAX(0,Z403-Z408)*(1-Z404)</f>
        <v>0</v>
      </c>
      <c r="AA411" s="70" t="n">
        <f aca="false">MAX(0,AA403-AA408)*(1-AA404)</f>
        <v>0</v>
      </c>
      <c r="AB411" s="70" t="n">
        <f aca="false">MAX(0,AB403-AB408)*(1-AB404)</f>
        <v>0</v>
      </c>
    </row>
    <row r="412" customFormat="false" ht="15" hidden="false" customHeight="false" outlineLevel="0" collapsed="false">
      <c r="A412" s="27" t="s">
        <v>747</v>
      </c>
      <c r="B412" s="56"/>
      <c r="C412" s="57" t="n">
        <f aca="false">SUM(E412:P412)</f>
        <v>0</v>
      </c>
      <c r="D412" s="57" t="n">
        <f aca="false">SUM(Q412:AB412)</f>
        <v>0</v>
      </c>
      <c r="E412" s="70" t="n">
        <f aca="false">-(E411-0)</f>
        <v>-0</v>
      </c>
      <c r="F412" s="70" t="n">
        <f aca="false">-(F411-E411)</f>
        <v>-0</v>
      </c>
      <c r="G412" s="70" t="n">
        <f aca="false">-(G411-F411)</f>
        <v>-0</v>
      </c>
      <c r="H412" s="70" t="n">
        <f aca="false">-(H411-G411)</f>
        <v>-0</v>
      </c>
      <c r="I412" s="70" t="n">
        <f aca="false">-(I411-H411)</f>
        <v>-0</v>
      </c>
      <c r="J412" s="70" t="n">
        <f aca="false">-(J411-I411)</f>
        <v>-0</v>
      </c>
      <c r="K412" s="70" t="n">
        <f aca="false">-(K411-J411)</f>
        <v>-0</v>
      </c>
      <c r="L412" s="70" t="n">
        <f aca="false">-(L411-K411)</f>
        <v>-0</v>
      </c>
      <c r="M412" s="70" t="n">
        <f aca="false">-(M411-L411)</f>
        <v>-0</v>
      </c>
      <c r="N412" s="70" t="n">
        <f aca="false">-(N411-M411)</f>
        <v>-0</v>
      </c>
      <c r="O412" s="70" t="n">
        <f aca="false">-(O411-N411)</f>
        <v>-0</v>
      </c>
      <c r="P412" s="70" t="n">
        <f aca="false">-(P411-O411)</f>
        <v>-0</v>
      </c>
      <c r="Q412" s="70" t="n">
        <f aca="false">-(Q411-P411)</f>
        <v>-0</v>
      </c>
      <c r="R412" s="70" t="n">
        <f aca="false">-(R411-Q411)</f>
        <v>-0</v>
      </c>
      <c r="S412" s="70" t="n">
        <f aca="false">-(S411-R411)</f>
        <v>-0</v>
      </c>
      <c r="T412" s="70" t="n">
        <f aca="false">-(T411-S411)</f>
        <v>-0</v>
      </c>
      <c r="U412" s="70" t="n">
        <f aca="false">-(U411-T411)</f>
        <v>-0</v>
      </c>
      <c r="V412" s="70" t="n">
        <f aca="false">-(V411-U411)</f>
        <v>-0</v>
      </c>
      <c r="W412" s="70" t="n">
        <f aca="false">-(W411-V411)</f>
        <v>-0</v>
      </c>
      <c r="X412" s="70" t="n">
        <f aca="false">-(X411-W411)</f>
        <v>-0</v>
      </c>
      <c r="Y412" s="70" t="n">
        <f aca="false">-(Y411-X411)</f>
        <v>-0</v>
      </c>
      <c r="Z412" s="70" t="n">
        <f aca="false">-(Z411-Y411)</f>
        <v>-0</v>
      </c>
      <c r="AA412" s="70" t="n">
        <f aca="false">-(AA411-Z411)</f>
        <v>-0</v>
      </c>
      <c r="AB412" s="70" t="n">
        <f aca="false">-(AB411-AA411)</f>
        <v>-0</v>
      </c>
    </row>
    <row r="413" customFormat="false" ht="15" hidden="false" customHeight="false" outlineLevel="0" collapsed="false">
      <c r="A413" s="67" t="s">
        <v>748</v>
      </c>
      <c r="B413" s="68" t="s">
        <v>749</v>
      </c>
      <c r="C413" s="69" t="n">
        <f aca="false">SUM(E413:P413)</f>
        <v>8554.6875</v>
      </c>
      <c r="D413" s="69" t="n">
        <f aca="false">SUM(Q413:AB413)</f>
        <v>46195.3125</v>
      </c>
      <c r="E413" s="69" t="n">
        <f aca="false">E410-E401+E412</f>
        <v>0</v>
      </c>
      <c r="F413" s="69" t="n">
        <f aca="false">F410-F401+F412</f>
        <v>0</v>
      </c>
      <c r="G413" s="69" t="n">
        <f aca="false">G410-G401+G412</f>
        <v>0</v>
      </c>
      <c r="H413" s="69" t="n">
        <f aca="false">H410-H401+H412</f>
        <v>0</v>
      </c>
      <c r="I413" s="69" t="n">
        <f aca="false">I410-I401+I412</f>
        <v>0</v>
      </c>
      <c r="J413" s="69" t="n">
        <f aca="false">J410-J401+J412</f>
        <v>0</v>
      </c>
      <c r="K413" s="69" t="n">
        <f aca="false">K410-K401+K412</f>
        <v>0</v>
      </c>
      <c r="L413" s="69" t="n">
        <f aca="false">L410-L401+L412</f>
        <v>0</v>
      </c>
      <c r="M413" s="69" t="n">
        <f aca="false">M410-M401+M412</f>
        <v>0</v>
      </c>
      <c r="N413" s="69" t="n">
        <f aca="false">N410-N401+N412</f>
        <v>0</v>
      </c>
      <c r="O413" s="69" t="n">
        <f aca="false">O410-O401+O412</f>
        <v>0</v>
      </c>
      <c r="P413" s="69" t="n">
        <f aca="false">P410-P401+P412</f>
        <v>8554.6875</v>
      </c>
      <c r="Q413" s="69" t="n">
        <f aca="false">Q410-Q401+Q412</f>
        <v>18820.3125</v>
      </c>
      <c r="R413" s="69" t="n">
        <f aca="false">R410-R401+R412</f>
        <v>18820.3125</v>
      </c>
      <c r="S413" s="69" t="n">
        <f aca="false">S410-S401+S412</f>
        <v>8554.6875</v>
      </c>
      <c r="T413" s="69" t="n">
        <f aca="false">T410-T401+T412</f>
        <v>0</v>
      </c>
      <c r="U413" s="69" t="n">
        <f aca="false">U410-U401+U412</f>
        <v>0</v>
      </c>
      <c r="V413" s="69" t="n">
        <f aca="false">V410-V401+V412</f>
        <v>0</v>
      </c>
      <c r="W413" s="69" t="n">
        <f aca="false">W410-W401+W412</f>
        <v>0</v>
      </c>
      <c r="X413" s="69" t="n">
        <f aca="false">X410-X401+X412</f>
        <v>0</v>
      </c>
      <c r="Y413" s="69" t="n">
        <f aca="false">Y410-Y401+Y412</f>
        <v>0</v>
      </c>
      <c r="Z413" s="69" t="n">
        <f aca="false">Z410-Z401+Z412</f>
        <v>0</v>
      </c>
      <c r="AA413" s="69" t="n">
        <f aca="false">AA410-AA401+AA412</f>
        <v>0</v>
      </c>
      <c r="AB413" s="69" t="n">
        <f aca="false">AB410-AB401+AB412</f>
        <v>0</v>
      </c>
    </row>
    <row r="414" customFormat="false" ht="15" hidden="false" customHeight="false" outlineLevel="0" collapsed="false">
      <c r="A414" s="27" t="s">
        <v>750</v>
      </c>
      <c r="B414" s="56"/>
      <c r="C414" s="57" t="n">
        <f aca="false">P414</f>
        <v>390000</v>
      </c>
      <c r="D414" s="57" t="n">
        <f aca="false">AB414</f>
        <v>390000</v>
      </c>
      <c r="E414" s="58" t="n">
        <f aca="false">Project_Register!$AO$16+E405+Assumptions!$F$121*E407</f>
        <v>390000</v>
      </c>
      <c r="F414" s="58" t="n">
        <f aca="false">Project_Register!$AO$16+F405+Assumptions!$F$121*F407</f>
        <v>390000</v>
      </c>
      <c r="G414" s="58" t="n">
        <f aca="false">Project_Register!$AO$16+G405+Assumptions!$F$121*G407</f>
        <v>390000</v>
      </c>
      <c r="H414" s="58" t="n">
        <f aca="false">Project_Register!$AO$16+H405+Assumptions!$F$121*H407</f>
        <v>390000</v>
      </c>
      <c r="I414" s="58" t="n">
        <f aca="false">Project_Register!$AO$16+I405+Assumptions!$F$121*I407</f>
        <v>390000</v>
      </c>
      <c r="J414" s="58" t="n">
        <f aca="false">Project_Register!$AO$16+J405+Assumptions!$F$121*J407</f>
        <v>390000</v>
      </c>
      <c r="K414" s="58" t="n">
        <f aca="false">Project_Register!$AO$16+K405+Assumptions!$F$121*K407</f>
        <v>390000</v>
      </c>
      <c r="L414" s="58" t="n">
        <f aca="false">Project_Register!$AO$16+L405+Assumptions!$F$121*L407</f>
        <v>390000</v>
      </c>
      <c r="M414" s="58" t="n">
        <f aca="false">Project_Register!$AO$16+M405+Assumptions!$F$121*M407</f>
        <v>390000</v>
      </c>
      <c r="N414" s="58" t="n">
        <f aca="false">Project_Register!$AO$16+N405+Assumptions!$F$121*N407</f>
        <v>390000</v>
      </c>
      <c r="O414" s="58" t="n">
        <f aca="false">Project_Register!$AO$16+O405+Assumptions!$F$121*O407</f>
        <v>390000</v>
      </c>
      <c r="P414" s="58" t="n">
        <f aca="false">Project_Register!$AO$16+P405+Assumptions!$F$121*P407</f>
        <v>390000</v>
      </c>
      <c r="Q414" s="58" t="n">
        <f aca="false">Project_Register!$AO$16+Q405+Assumptions!$F$121*Q407</f>
        <v>390000</v>
      </c>
      <c r="R414" s="58" t="n">
        <f aca="false">Project_Register!$AO$16+R405+Assumptions!$F$121*R407</f>
        <v>390000</v>
      </c>
      <c r="S414" s="58" t="n">
        <f aca="false">Project_Register!$AO$16+S405+Assumptions!$F$121*S407</f>
        <v>390000</v>
      </c>
      <c r="T414" s="58" t="n">
        <f aca="false">Project_Register!$AO$16+T405+Assumptions!$F$121*T407</f>
        <v>390000</v>
      </c>
      <c r="U414" s="58" t="n">
        <f aca="false">Project_Register!$AO$16+U405+Assumptions!$F$121*U407</f>
        <v>390000</v>
      </c>
      <c r="V414" s="58" t="n">
        <f aca="false">Project_Register!$AO$16+V405+Assumptions!$F$121*V407</f>
        <v>390000</v>
      </c>
      <c r="W414" s="58" t="n">
        <f aca="false">Project_Register!$AO$16+W405+Assumptions!$F$121*W407</f>
        <v>390000</v>
      </c>
      <c r="X414" s="58" t="n">
        <f aca="false">Project_Register!$AO$16+X405+Assumptions!$F$121*X407</f>
        <v>390000</v>
      </c>
      <c r="Y414" s="58" t="n">
        <f aca="false">Project_Register!$AO$16+Y405+Assumptions!$F$121*Y407</f>
        <v>390000</v>
      </c>
      <c r="Z414" s="58" t="n">
        <f aca="false">Project_Register!$AO$16+Z405+Assumptions!$F$121*Z407</f>
        <v>390000</v>
      </c>
      <c r="AA414" s="58" t="n">
        <f aca="false">Project_Register!$AO$16+AA405+Assumptions!$F$121*AA407</f>
        <v>390000</v>
      </c>
      <c r="AB414" s="58" t="n">
        <f aca="false">Project_Register!$AO$16+AB405+Assumptions!$F$121*AB407</f>
        <v>390000</v>
      </c>
    </row>
    <row r="415" customFormat="false" ht="15" hidden="false" customHeight="false" outlineLevel="0" collapsed="false">
      <c r="A415" s="27" t="s">
        <v>751</v>
      </c>
      <c r="B415" s="56" t="s">
        <v>752</v>
      </c>
      <c r="C415" s="57" t="n">
        <f aca="false">P415</f>
        <v>0</v>
      </c>
      <c r="D415" s="57" t="n">
        <f aca="false">AB415</f>
        <v>390000</v>
      </c>
      <c r="E415" s="58" t="n">
        <f aca="false">IF(E$5="A",Project_Register!$AE$16+0,IF(Assumptions!E$96&gt;=Project_Register!$AM$16,E414,MIN(E414,MAX(Project_Register!$AE$16,0*E414))))</f>
        <v>0</v>
      </c>
      <c r="F415" s="58" t="n">
        <f aca="false">IF(F$5="A",E415+0,IF(Assumptions!F$96&gt;=Project_Register!$AM$16,F414,MIN(F414,MAX(E415,E404*F414))))</f>
        <v>0</v>
      </c>
      <c r="G415" s="58" t="n">
        <f aca="false">IF(G$5="A",F415+0,IF(Assumptions!G$96&gt;=Project_Register!$AM$16,G414,MIN(G414,MAX(F415,F404*G414))))</f>
        <v>0</v>
      </c>
      <c r="H415" s="58" t="n">
        <f aca="false">IF(H$5="A",G415+0,IF(Assumptions!H$96&gt;=Project_Register!$AM$16,H414,MIN(H414,MAX(G415,G404*H414))))</f>
        <v>0</v>
      </c>
      <c r="I415" s="58" t="n">
        <f aca="false">IF(I$5="A",H415+0,IF(Assumptions!I$96&gt;=Project_Register!$AM$16,I414,MIN(I414,MAX(H415,H404*I414))))</f>
        <v>0</v>
      </c>
      <c r="J415" s="58" t="n">
        <f aca="false">IF(J$5="A",I415+0,IF(Assumptions!J$96&gt;=Project_Register!$AM$16,J414,MIN(J414,MAX(I415,I404*J414))))</f>
        <v>0</v>
      </c>
      <c r="K415" s="58" t="n">
        <f aca="false">IF(K$5="A",J415+0,IF(Assumptions!K$96&gt;=Project_Register!$AM$16,K414,MIN(K414,MAX(J415,J404*K414))))</f>
        <v>0</v>
      </c>
      <c r="L415" s="58" t="n">
        <f aca="false">IF(L$5="A",K415+0,IF(Assumptions!L$96&gt;=Project_Register!$AM$16,L414,MIN(L414,MAX(K415,K404*L414))))</f>
        <v>0</v>
      </c>
      <c r="M415" s="58" t="n">
        <f aca="false">IF(M$5="A",L415+0,IF(Assumptions!M$96&gt;=Project_Register!$AM$16,M414,MIN(M414,MAX(L415,L404*M414))))</f>
        <v>0</v>
      </c>
      <c r="N415" s="58" t="n">
        <f aca="false">IF(N$5="A",M415+0,IF(Assumptions!N$96&gt;=Project_Register!$AM$16,N414,MIN(N414,MAX(M415,M404*N414))))</f>
        <v>0</v>
      </c>
      <c r="O415" s="58" t="n">
        <f aca="false">IF(O$5="A",N415+0,IF(Assumptions!O$96&gt;=Project_Register!$AM$16,O414,MIN(O414,MAX(N415,N404*O414))))</f>
        <v>0</v>
      </c>
      <c r="P415" s="58" t="n">
        <f aca="false">IF(P$5="A",O415+0,IF(Assumptions!P$96&gt;=Project_Register!$AM$16,P414,MIN(P414,MAX(O415,O404*P414))))</f>
        <v>0</v>
      </c>
      <c r="Q415" s="58" t="n">
        <f aca="false">IF(Q$5="A",P415+0,IF(Assumptions!Q$96&gt;=Project_Register!$AM$16,Q414,MIN(Q414,MAX(P415,P404*Q414))))</f>
        <v>60937.5</v>
      </c>
      <c r="R415" s="58" t="n">
        <f aca="false">IF(R$5="A",Q415+0,IF(Assumptions!R$96&gt;=Project_Register!$AM$16,R414,MIN(R414,MAX(Q415,Q404*R414))))</f>
        <v>195000</v>
      </c>
      <c r="S415" s="58" t="n">
        <f aca="false">IF(S$5="A",R415+0,IF(Assumptions!S$96&gt;=Project_Register!$AM$16,S414,MIN(S414,MAX(R415,R404*S414))))</f>
        <v>329062.5</v>
      </c>
      <c r="T415" s="58" t="n">
        <f aca="false">IF(T$5="A",S415+0,IF(Assumptions!T$96&gt;=Project_Register!$AM$16,T414,MIN(T414,MAX(S415,S404*T414))))</f>
        <v>390000</v>
      </c>
      <c r="U415" s="58" t="n">
        <f aca="false">IF(U$5="A",T415+0,IF(Assumptions!U$96&gt;=Project_Register!$AM$16,U414,MIN(U414,MAX(T415,T404*U414))))</f>
        <v>390000</v>
      </c>
      <c r="V415" s="58" t="n">
        <f aca="false">IF(V$5="A",U415+0,IF(Assumptions!V$96&gt;=Project_Register!$AM$16,V414,MIN(V414,MAX(U415,U404*V414))))</f>
        <v>390000</v>
      </c>
      <c r="W415" s="58" t="n">
        <f aca="false">IF(W$5="A",V415+0,IF(Assumptions!W$96&gt;=Project_Register!$AM$16,W414,MIN(W414,MAX(V415,V404*W414))))</f>
        <v>390000</v>
      </c>
      <c r="X415" s="58" t="n">
        <f aca="false">IF(X$5="A",W415+0,IF(Assumptions!X$96&gt;=Project_Register!$AM$16,X414,MIN(X414,MAX(W415,W404*X414))))</f>
        <v>390000</v>
      </c>
      <c r="Y415" s="58" t="n">
        <f aca="false">IF(Y$5="A",X415+0,IF(Assumptions!Y$96&gt;=Project_Register!$AM$16,Y414,MIN(Y414,MAX(X415,X404*Y414))))</f>
        <v>390000</v>
      </c>
      <c r="Z415" s="58" t="n">
        <f aca="false">IF(Z$5="A",Y415+0,IF(Assumptions!Z$96&gt;=Project_Register!$AM$16,Z414,MIN(Z414,MAX(Y415,Y404*Z414))))</f>
        <v>390000</v>
      </c>
      <c r="AA415" s="58" t="n">
        <f aca="false">IF(AA$5="A",Z415+0,IF(Assumptions!AA$96&gt;=Project_Register!$AM$16,AA414,MIN(AA414,MAX(Z415,Z404*AA414))))</f>
        <v>390000</v>
      </c>
      <c r="AB415" s="58" t="n">
        <f aca="false">IF(AB$5="A",AA415+0,IF(Assumptions!AB$96&gt;=Project_Register!$AM$16,AB414,MIN(AB414,MAX(AA415,AA404*AB414))))</f>
        <v>390000</v>
      </c>
    </row>
    <row r="416" customFormat="false" ht="15" hidden="false" customHeight="false" outlineLevel="0" collapsed="false">
      <c r="A416" s="27" t="s">
        <v>753</v>
      </c>
      <c r="B416" s="56"/>
      <c r="C416" s="57" t="n">
        <f aca="false">SUM(E416:P416)</f>
        <v>0</v>
      </c>
      <c r="D416" s="57" t="n">
        <f aca="false">SUM(Q416:AB416)</f>
        <v>390000</v>
      </c>
      <c r="E416" s="58" t="n">
        <f aca="false">E415-Project_Register!$AE$16</f>
        <v>0</v>
      </c>
      <c r="F416" s="70" t="n">
        <f aca="false">F415-E415</f>
        <v>0</v>
      </c>
      <c r="G416" s="70" t="n">
        <f aca="false">G415-F415</f>
        <v>0</v>
      </c>
      <c r="H416" s="70" t="n">
        <f aca="false">H415-G415</f>
        <v>0</v>
      </c>
      <c r="I416" s="70" t="n">
        <f aca="false">I415-H415</f>
        <v>0</v>
      </c>
      <c r="J416" s="70" t="n">
        <f aca="false">J415-I415</f>
        <v>0</v>
      </c>
      <c r="K416" s="70" t="n">
        <f aca="false">K415-J415</f>
        <v>0</v>
      </c>
      <c r="L416" s="70" t="n">
        <f aca="false">L415-K415</f>
        <v>0</v>
      </c>
      <c r="M416" s="70" t="n">
        <f aca="false">M415-L415</f>
        <v>0</v>
      </c>
      <c r="N416" s="70" t="n">
        <f aca="false">N415-M415</f>
        <v>0</v>
      </c>
      <c r="O416" s="70" t="n">
        <f aca="false">O415-N415</f>
        <v>0</v>
      </c>
      <c r="P416" s="70" t="n">
        <f aca="false">P415-O415</f>
        <v>0</v>
      </c>
      <c r="Q416" s="70" t="n">
        <f aca="false">Q415-P415</f>
        <v>60937.5</v>
      </c>
      <c r="R416" s="70" t="n">
        <f aca="false">R415-Q415</f>
        <v>134062.5</v>
      </c>
      <c r="S416" s="70" t="n">
        <f aca="false">S415-R415</f>
        <v>134062.5</v>
      </c>
      <c r="T416" s="70" t="n">
        <f aca="false">T415-S415</f>
        <v>60937.5</v>
      </c>
      <c r="U416" s="70" t="n">
        <f aca="false">U415-T415</f>
        <v>0</v>
      </c>
      <c r="V416" s="70" t="n">
        <f aca="false">V415-U415</f>
        <v>0</v>
      </c>
      <c r="W416" s="70" t="n">
        <f aca="false">W415-V415</f>
        <v>0</v>
      </c>
      <c r="X416" s="70" t="n">
        <f aca="false">X415-W415</f>
        <v>0</v>
      </c>
      <c r="Y416" s="70" t="n">
        <f aca="false">Y415-X415</f>
        <v>0</v>
      </c>
      <c r="Z416" s="70" t="n">
        <f aca="false">Z415-Y415</f>
        <v>0</v>
      </c>
      <c r="AA416" s="70" t="n">
        <f aca="false">AA415-Z415</f>
        <v>0</v>
      </c>
      <c r="AB416" s="70" t="n">
        <f aca="false">AB415-AA415</f>
        <v>0</v>
      </c>
    </row>
    <row r="417" customFormat="false" ht="15" hidden="false" customHeight="false" outlineLevel="0" collapsed="false">
      <c r="A417" s="27" t="s">
        <v>754</v>
      </c>
      <c r="B417" s="56" t="s">
        <v>755</v>
      </c>
      <c r="C417" s="57" t="n">
        <f aca="false">P417</f>
        <v>0</v>
      </c>
      <c r="D417" s="57" t="n">
        <f aca="false">AB417</f>
        <v>9750</v>
      </c>
      <c r="E417" s="58" t="n">
        <f aca="false">Project_Register!$Q$16*E415*(1-Project_Register!$R$16*(Assumptions!E$96&gt;=Project_Register!$AK$16+1)-(1-Project_Register!$R$16)*(Assumptions!E$96&gt;=Project_Register!$AN$16))</f>
        <v>0</v>
      </c>
      <c r="F417" s="58" t="n">
        <f aca="false">Project_Register!$Q$16*F415*(1-Project_Register!$R$16*(Assumptions!F$96&gt;=Project_Register!$AK$16+1)-(1-Project_Register!$R$16)*(Assumptions!F$96&gt;=Project_Register!$AN$16))</f>
        <v>0</v>
      </c>
      <c r="G417" s="58" t="n">
        <f aca="false">Project_Register!$Q$16*G415*(1-Project_Register!$R$16*(Assumptions!G$96&gt;=Project_Register!$AK$16+1)-(1-Project_Register!$R$16)*(Assumptions!G$96&gt;=Project_Register!$AN$16))</f>
        <v>0</v>
      </c>
      <c r="H417" s="58" t="n">
        <f aca="false">Project_Register!$Q$16*H415*(1-Project_Register!$R$16*(Assumptions!H$96&gt;=Project_Register!$AK$16+1)-(1-Project_Register!$R$16)*(Assumptions!H$96&gt;=Project_Register!$AN$16))</f>
        <v>0</v>
      </c>
      <c r="I417" s="58" t="n">
        <f aca="false">Project_Register!$Q$16*I415*(1-Project_Register!$R$16*(Assumptions!I$96&gt;=Project_Register!$AK$16+1)-(1-Project_Register!$R$16)*(Assumptions!I$96&gt;=Project_Register!$AN$16))</f>
        <v>0</v>
      </c>
      <c r="J417" s="58" t="n">
        <f aca="false">Project_Register!$Q$16*J415*(1-Project_Register!$R$16*(Assumptions!J$96&gt;=Project_Register!$AK$16+1)-(1-Project_Register!$R$16)*(Assumptions!J$96&gt;=Project_Register!$AN$16))</f>
        <v>0</v>
      </c>
      <c r="K417" s="58" t="n">
        <f aca="false">Project_Register!$Q$16*K415*(1-Project_Register!$R$16*(Assumptions!K$96&gt;=Project_Register!$AK$16+1)-(1-Project_Register!$R$16)*(Assumptions!K$96&gt;=Project_Register!$AN$16))</f>
        <v>0</v>
      </c>
      <c r="L417" s="58" t="n">
        <f aca="false">Project_Register!$Q$16*L415*(1-Project_Register!$R$16*(Assumptions!L$96&gt;=Project_Register!$AK$16+1)-(1-Project_Register!$R$16)*(Assumptions!L$96&gt;=Project_Register!$AN$16))</f>
        <v>0</v>
      </c>
      <c r="M417" s="58" t="n">
        <f aca="false">Project_Register!$Q$16*M415*(1-Project_Register!$R$16*(Assumptions!M$96&gt;=Project_Register!$AK$16+1)-(1-Project_Register!$R$16)*(Assumptions!M$96&gt;=Project_Register!$AN$16))</f>
        <v>0</v>
      </c>
      <c r="N417" s="58" t="n">
        <f aca="false">Project_Register!$Q$16*N415*(1-Project_Register!$R$16*(Assumptions!N$96&gt;=Project_Register!$AK$16+1)-(1-Project_Register!$R$16)*(Assumptions!N$96&gt;=Project_Register!$AN$16))</f>
        <v>0</v>
      </c>
      <c r="O417" s="58" t="n">
        <f aca="false">Project_Register!$Q$16*O415*(1-Project_Register!$R$16*(Assumptions!O$96&gt;=Project_Register!$AK$16+1)-(1-Project_Register!$R$16)*(Assumptions!O$96&gt;=Project_Register!$AN$16))</f>
        <v>0</v>
      </c>
      <c r="P417" s="58" t="n">
        <f aca="false">Project_Register!$Q$16*P415*(1-Project_Register!$R$16*(Assumptions!P$96&gt;=Project_Register!$AK$16+1)-(1-Project_Register!$R$16)*(Assumptions!P$96&gt;=Project_Register!$AN$16))</f>
        <v>0</v>
      </c>
      <c r="Q417" s="58" t="n">
        <f aca="false">Project_Register!$Q$16*Q415*(1-Project_Register!$R$16*(Assumptions!Q$96&gt;=Project_Register!$AK$16+1)-(1-Project_Register!$R$16)*(Assumptions!Q$96&gt;=Project_Register!$AN$16))</f>
        <v>3046.875</v>
      </c>
      <c r="R417" s="58" t="n">
        <f aca="false">Project_Register!$Q$16*R415*(1-Project_Register!$R$16*(Assumptions!R$96&gt;=Project_Register!$AK$16+1)-(1-Project_Register!$R$16)*(Assumptions!R$96&gt;=Project_Register!$AN$16))</f>
        <v>9750</v>
      </c>
      <c r="S417" s="58" t="n">
        <f aca="false">Project_Register!$Q$16*S415*(1-Project_Register!$R$16*(Assumptions!S$96&gt;=Project_Register!$AK$16+1)-(1-Project_Register!$R$16)*(Assumptions!S$96&gt;=Project_Register!$AN$16))</f>
        <v>16453.125</v>
      </c>
      <c r="T417" s="58" t="n">
        <f aca="false">Project_Register!$Q$16*T415*(1-Project_Register!$R$16*(Assumptions!T$96&gt;=Project_Register!$AK$16+1)-(1-Project_Register!$R$16)*(Assumptions!T$96&gt;=Project_Register!$AN$16))</f>
        <v>9750</v>
      </c>
      <c r="U417" s="58" t="n">
        <f aca="false">Project_Register!$Q$16*U415*(1-Project_Register!$R$16*(Assumptions!U$96&gt;=Project_Register!$AK$16+1)-(1-Project_Register!$R$16)*(Assumptions!U$96&gt;=Project_Register!$AN$16))</f>
        <v>9750</v>
      </c>
      <c r="V417" s="58" t="n">
        <f aca="false">Project_Register!$Q$16*V415*(1-Project_Register!$R$16*(Assumptions!V$96&gt;=Project_Register!$AK$16+1)-(1-Project_Register!$R$16)*(Assumptions!V$96&gt;=Project_Register!$AN$16))</f>
        <v>9750</v>
      </c>
      <c r="W417" s="58" t="n">
        <f aca="false">Project_Register!$Q$16*W415*(1-Project_Register!$R$16*(Assumptions!W$96&gt;=Project_Register!$AK$16+1)-(1-Project_Register!$R$16)*(Assumptions!W$96&gt;=Project_Register!$AN$16))</f>
        <v>9750</v>
      </c>
      <c r="X417" s="58" t="n">
        <f aca="false">Project_Register!$Q$16*X415*(1-Project_Register!$R$16*(Assumptions!X$96&gt;=Project_Register!$AK$16+1)-(1-Project_Register!$R$16)*(Assumptions!X$96&gt;=Project_Register!$AN$16))</f>
        <v>9750</v>
      </c>
      <c r="Y417" s="58" t="n">
        <f aca="false">Project_Register!$Q$16*Y415*(1-Project_Register!$R$16*(Assumptions!Y$96&gt;=Project_Register!$AK$16+1)-(1-Project_Register!$R$16)*(Assumptions!Y$96&gt;=Project_Register!$AN$16))</f>
        <v>9750</v>
      </c>
      <c r="Z417" s="58" t="n">
        <f aca="false">Project_Register!$Q$16*Z415*(1-Project_Register!$R$16*(Assumptions!Z$96&gt;=Project_Register!$AK$16+1)-(1-Project_Register!$R$16)*(Assumptions!Z$96&gt;=Project_Register!$AN$16))</f>
        <v>9750</v>
      </c>
      <c r="AA417" s="58" t="n">
        <f aca="false">Project_Register!$Q$16*AA415*(1-Project_Register!$R$16*(Assumptions!AA$96&gt;=Project_Register!$AK$16+1)-(1-Project_Register!$R$16)*(Assumptions!AA$96&gt;=Project_Register!$AN$16))</f>
        <v>9750</v>
      </c>
      <c r="AB417" s="58" t="n">
        <f aca="false">Project_Register!$Q$16*AB415*(1-Project_Register!$R$16*(Assumptions!AB$96&gt;=Project_Register!$AK$16+1)-(1-Project_Register!$R$16)*(Assumptions!AB$96&gt;=Project_Register!$AN$16))</f>
        <v>9750</v>
      </c>
    </row>
    <row r="418" customFormat="false" ht="15" hidden="false" customHeight="false" outlineLevel="0" collapsed="false">
      <c r="A418" s="27" t="s">
        <v>756</v>
      </c>
      <c r="B418" s="56"/>
      <c r="C418" s="57" t="n">
        <f aca="false">SUM(E418:P418)</f>
        <v>0</v>
      </c>
      <c r="D418" s="57" t="n">
        <f aca="false">SUM(Q418:AB418)</f>
        <v>9750</v>
      </c>
      <c r="E418" s="58" t="n">
        <f aca="false">E417-Project_Register!$AW$16</f>
        <v>0</v>
      </c>
      <c r="F418" s="70" t="n">
        <f aca="false">F417-E417</f>
        <v>0</v>
      </c>
      <c r="G418" s="70" t="n">
        <f aca="false">G417-F417</f>
        <v>0</v>
      </c>
      <c r="H418" s="70" t="n">
        <f aca="false">H417-G417</f>
        <v>0</v>
      </c>
      <c r="I418" s="70" t="n">
        <f aca="false">I417-H417</f>
        <v>0</v>
      </c>
      <c r="J418" s="70" t="n">
        <f aca="false">J417-I417</f>
        <v>0</v>
      </c>
      <c r="K418" s="70" t="n">
        <f aca="false">K417-J417</f>
        <v>0</v>
      </c>
      <c r="L418" s="70" t="n">
        <f aca="false">L417-K417</f>
        <v>0</v>
      </c>
      <c r="M418" s="70" t="n">
        <f aca="false">M417-L417</f>
        <v>0</v>
      </c>
      <c r="N418" s="70" t="n">
        <f aca="false">N417-M417</f>
        <v>0</v>
      </c>
      <c r="O418" s="70" t="n">
        <f aca="false">O417-N417</f>
        <v>0</v>
      </c>
      <c r="P418" s="70" t="n">
        <f aca="false">P417-O417</f>
        <v>0</v>
      </c>
      <c r="Q418" s="70" t="n">
        <f aca="false">Q417-P417</f>
        <v>3046.875</v>
      </c>
      <c r="R418" s="70" t="n">
        <f aca="false">R417-Q417</f>
        <v>6703.125</v>
      </c>
      <c r="S418" s="70" t="n">
        <f aca="false">S417-R417</f>
        <v>6703.125</v>
      </c>
      <c r="T418" s="70" t="n">
        <f aca="false">T417-S417</f>
        <v>-6703.125</v>
      </c>
      <c r="U418" s="70" t="n">
        <f aca="false">U417-T417</f>
        <v>0</v>
      </c>
      <c r="V418" s="70" t="n">
        <f aca="false">V417-U417</f>
        <v>0</v>
      </c>
      <c r="W418" s="70" t="n">
        <f aca="false">W417-V417</f>
        <v>0</v>
      </c>
      <c r="X418" s="70" t="n">
        <f aca="false">X417-W417</f>
        <v>0</v>
      </c>
      <c r="Y418" s="70" t="n">
        <f aca="false">Y417-X417</f>
        <v>0</v>
      </c>
      <c r="Z418" s="70" t="n">
        <f aca="false">Z417-Y417</f>
        <v>0</v>
      </c>
      <c r="AA418" s="70" t="n">
        <f aca="false">AA417-Z417</f>
        <v>0</v>
      </c>
      <c r="AB418" s="70" t="n">
        <f aca="false">AB417-AA417</f>
        <v>0</v>
      </c>
    </row>
    <row r="419" customFormat="false" ht="15" hidden="false" customHeight="false" outlineLevel="0" collapsed="false">
      <c r="A419" s="27" t="s">
        <v>757</v>
      </c>
      <c r="B419" s="56"/>
      <c r="C419" s="57" t="n">
        <f aca="false">SUM(E419:P419)</f>
        <v>0</v>
      </c>
      <c r="D419" s="57" t="n">
        <f aca="false">SUM(Q419:AB419)</f>
        <v>380250</v>
      </c>
      <c r="E419" s="70" t="n">
        <f aca="false">E416-E418</f>
        <v>0</v>
      </c>
      <c r="F419" s="70" t="n">
        <f aca="false">F416-F418</f>
        <v>0</v>
      </c>
      <c r="G419" s="70" t="n">
        <f aca="false">G416-G418</f>
        <v>0</v>
      </c>
      <c r="H419" s="70" t="n">
        <f aca="false">H416-H418</f>
        <v>0</v>
      </c>
      <c r="I419" s="70" t="n">
        <f aca="false">I416-I418</f>
        <v>0</v>
      </c>
      <c r="J419" s="70" t="n">
        <f aca="false">J416-J418</f>
        <v>0</v>
      </c>
      <c r="K419" s="70" t="n">
        <f aca="false">K416-K418</f>
        <v>0</v>
      </c>
      <c r="L419" s="70" t="n">
        <f aca="false">L416-L418</f>
        <v>0</v>
      </c>
      <c r="M419" s="70" t="n">
        <f aca="false">M416-M418</f>
        <v>0</v>
      </c>
      <c r="N419" s="70" t="n">
        <f aca="false">N416-N418</f>
        <v>0</v>
      </c>
      <c r="O419" s="70" t="n">
        <f aca="false">O416-O418</f>
        <v>0</v>
      </c>
      <c r="P419" s="70" t="n">
        <f aca="false">P416-P418</f>
        <v>0</v>
      </c>
      <c r="Q419" s="70" t="n">
        <f aca="false">Q416-Q418</f>
        <v>57890.625</v>
      </c>
      <c r="R419" s="70" t="n">
        <f aca="false">R416-R418</f>
        <v>127359.375</v>
      </c>
      <c r="S419" s="70" t="n">
        <f aca="false">S416-S418</f>
        <v>127359.375</v>
      </c>
      <c r="T419" s="70" t="n">
        <f aca="false">T416-T418</f>
        <v>67640.625</v>
      </c>
      <c r="U419" s="70" t="n">
        <f aca="false">U416-U418</f>
        <v>0</v>
      </c>
      <c r="V419" s="70" t="n">
        <f aca="false">V416-V418</f>
        <v>0</v>
      </c>
      <c r="W419" s="70" t="n">
        <f aca="false">W416-W418</f>
        <v>0</v>
      </c>
      <c r="X419" s="70" t="n">
        <f aca="false">X416-X418</f>
        <v>0</v>
      </c>
      <c r="Y419" s="70" t="n">
        <f aca="false">Y416-Y418</f>
        <v>0</v>
      </c>
      <c r="Z419" s="70" t="n">
        <f aca="false">Z416-Z418</f>
        <v>0</v>
      </c>
      <c r="AA419" s="70" t="n">
        <f aca="false">AA416-AA418</f>
        <v>0</v>
      </c>
      <c r="AB419" s="70" t="n">
        <f aca="false">AB416-AB418</f>
        <v>0</v>
      </c>
    </row>
    <row r="420" customFormat="false" ht="15" hidden="false" customHeight="false" outlineLevel="0" collapsed="false">
      <c r="A420" s="27" t="s">
        <v>758</v>
      </c>
      <c r="B420" s="56" t="s">
        <v>759</v>
      </c>
      <c r="C420" s="57" t="n">
        <f aca="false">SUM(E420:P420)</f>
        <v>0</v>
      </c>
      <c r="D420" s="57" t="n">
        <f aca="false">SUM(Q420:AB420)</f>
        <v>51333.75</v>
      </c>
      <c r="E420" s="58" t="n">
        <f aca="false">E419*Project_Register!$W$16</f>
        <v>0</v>
      </c>
      <c r="F420" s="58" t="n">
        <f aca="false">F419*Project_Register!$W$16</f>
        <v>0</v>
      </c>
      <c r="G420" s="58" t="n">
        <f aca="false">G419*Project_Register!$W$16</f>
        <v>0</v>
      </c>
      <c r="H420" s="58" t="n">
        <f aca="false">H419*Project_Register!$W$16</f>
        <v>0</v>
      </c>
      <c r="I420" s="58" t="n">
        <f aca="false">I419*Project_Register!$W$16</f>
        <v>0</v>
      </c>
      <c r="J420" s="58" t="n">
        <f aca="false">J419*Project_Register!$W$16</f>
        <v>0</v>
      </c>
      <c r="K420" s="58" t="n">
        <f aca="false">K419*Project_Register!$W$16</f>
        <v>0</v>
      </c>
      <c r="L420" s="58" t="n">
        <f aca="false">L419*Project_Register!$W$16</f>
        <v>0</v>
      </c>
      <c r="M420" s="58" t="n">
        <f aca="false">M419*Project_Register!$W$16</f>
        <v>0</v>
      </c>
      <c r="N420" s="58" t="n">
        <f aca="false">N419*Project_Register!$W$16</f>
        <v>0</v>
      </c>
      <c r="O420" s="58" t="n">
        <f aca="false">O419*Project_Register!$W$16</f>
        <v>0</v>
      </c>
      <c r="P420" s="58" t="n">
        <f aca="false">P419*Project_Register!$W$16</f>
        <v>0</v>
      </c>
      <c r="Q420" s="58" t="n">
        <f aca="false">Q419*Project_Register!$W$16</f>
        <v>7815.234375</v>
      </c>
      <c r="R420" s="58" t="n">
        <f aca="false">R419*Project_Register!$W$16</f>
        <v>17193.515625</v>
      </c>
      <c r="S420" s="58" t="n">
        <f aca="false">S419*Project_Register!$W$16</f>
        <v>17193.515625</v>
      </c>
      <c r="T420" s="58" t="n">
        <f aca="false">T419*Project_Register!$W$16</f>
        <v>9131.484375</v>
      </c>
      <c r="U420" s="58" t="n">
        <f aca="false">U419*Project_Register!$W$16</f>
        <v>0</v>
      </c>
      <c r="V420" s="58" t="n">
        <f aca="false">V419*Project_Register!$W$16</f>
        <v>0</v>
      </c>
      <c r="W420" s="58" t="n">
        <f aca="false">W419*Project_Register!$W$16</f>
        <v>0</v>
      </c>
      <c r="X420" s="58" t="n">
        <f aca="false">X419*Project_Register!$W$16</f>
        <v>0</v>
      </c>
      <c r="Y420" s="58" t="n">
        <f aca="false">Y419*Project_Register!$W$16</f>
        <v>0</v>
      </c>
      <c r="Z420" s="58" t="n">
        <f aca="false">Z419*Project_Register!$W$16</f>
        <v>0</v>
      </c>
      <c r="AA420" s="58" t="n">
        <f aca="false">AA419*Project_Register!$W$16</f>
        <v>0</v>
      </c>
      <c r="AB420" s="58" t="n">
        <f aca="false">AB419*Project_Register!$W$16</f>
        <v>0</v>
      </c>
    </row>
    <row r="421" customFormat="false" ht="15" hidden="false" customHeight="false" outlineLevel="0" collapsed="false">
      <c r="A421" s="27" t="s">
        <v>760</v>
      </c>
      <c r="B421" s="56"/>
      <c r="C421" s="57" t="n">
        <f aca="false">SUM(E421:P421)</f>
        <v>0</v>
      </c>
      <c r="D421" s="57" t="n">
        <f aca="false">SUM(Q421:AB421)</f>
        <v>431583.75</v>
      </c>
      <c r="E421" s="70" t="n">
        <f aca="false">E419+E420</f>
        <v>0</v>
      </c>
      <c r="F421" s="70" t="n">
        <f aca="false">F419+F420</f>
        <v>0</v>
      </c>
      <c r="G421" s="70" t="n">
        <f aca="false">G419+G420</f>
        <v>0</v>
      </c>
      <c r="H421" s="70" t="n">
        <f aca="false">H419+H420</f>
        <v>0</v>
      </c>
      <c r="I421" s="70" t="n">
        <f aca="false">I419+I420</f>
        <v>0</v>
      </c>
      <c r="J421" s="70" t="n">
        <f aca="false">J419+J420</f>
        <v>0</v>
      </c>
      <c r="K421" s="70" t="n">
        <f aca="false">K419+K420</f>
        <v>0</v>
      </c>
      <c r="L421" s="70" t="n">
        <f aca="false">L419+L420</f>
        <v>0</v>
      </c>
      <c r="M421" s="70" t="n">
        <f aca="false">M419+M420</f>
        <v>0</v>
      </c>
      <c r="N421" s="70" t="n">
        <f aca="false">N419+N420</f>
        <v>0</v>
      </c>
      <c r="O421" s="70" t="n">
        <f aca="false">O419+O420</f>
        <v>0</v>
      </c>
      <c r="P421" s="70" t="n">
        <f aca="false">P419+P420</f>
        <v>0</v>
      </c>
      <c r="Q421" s="70" t="n">
        <f aca="false">Q419+Q420</f>
        <v>65705.859375</v>
      </c>
      <c r="R421" s="70" t="n">
        <f aca="false">R419+R420</f>
        <v>144552.890625</v>
      </c>
      <c r="S421" s="70" t="n">
        <f aca="false">S419+S420</f>
        <v>144552.890625</v>
      </c>
      <c r="T421" s="70" t="n">
        <f aca="false">T419+T420</f>
        <v>76772.109375</v>
      </c>
      <c r="U421" s="70" t="n">
        <f aca="false">U419+U420</f>
        <v>0</v>
      </c>
      <c r="V421" s="70" t="n">
        <f aca="false">V419+V420</f>
        <v>0</v>
      </c>
      <c r="W421" s="70" t="n">
        <f aca="false">W419+W420</f>
        <v>0</v>
      </c>
      <c r="X421" s="70" t="n">
        <f aca="false">X419+X420</f>
        <v>0</v>
      </c>
      <c r="Y421" s="70" t="n">
        <f aca="false">Y419+Y420</f>
        <v>0</v>
      </c>
      <c r="Z421" s="70" t="n">
        <f aca="false">Z419+Z420</f>
        <v>0</v>
      </c>
      <c r="AA421" s="70" t="n">
        <f aca="false">AA419+AA420</f>
        <v>0</v>
      </c>
      <c r="AB421" s="70" t="n">
        <f aca="false">AB419+AB420</f>
        <v>0</v>
      </c>
    </row>
    <row r="422" customFormat="false" ht="15" hidden="false" customHeight="false" outlineLevel="0" collapsed="false">
      <c r="A422" s="27" t="s">
        <v>761</v>
      </c>
      <c r="B422" s="56" t="s">
        <v>762</v>
      </c>
      <c r="C422" s="57" t="n">
        <f aca="false">SUM(E422:P422)</f>
        <v>0</v>
      </c>
      <c r="D422" s="57" t="n">
        <f aca="false">SUM(Q422:AB422)</f>
        <v>431583.75</v>
      </c>
      <c r="E422" s="58" t="n">
        <f aca="false">IF(E$5="A",0,Project_Register!$AF$16+E421-(E421*MIN(1,Project_Register!$AY$16/30)+0*MIN(1,MAX(0,(Project_Register!$AY$16-30)/30))))</f>
        <v>0</v>
      </c>
      <c r="F422" s="58" t="n">
        <f aca="false">IF(F$5="A",0,E423+F421-(F421*MIN(1,Project_Register!$AY$16/30)+E421*MIN(1,MAX(0,(Project_Register!$AY$16-30)/30))))</f>
        <v>0</v>
      </c>
      <c r="G422" s="58" t="n">
        <f aca="false">IF(G$5="A",0,F423+G421-(G421*MIN(1,Project_Register!$AY$16/30)+F421*MIN(1,MAX(0,(Project_Register!$AY$16-30)/30))))</f>
        <v>0</v>
      </c>
      <c r="H422" s="58" t="n">
        <f aca="false">IF(H$5="A",0,G423+H421-(H421*MIN(1,Project_Register!$AY$16/30)+G421*MIN(1,MAX(0,(Project_Register!$AY$16-30)/30))))</f>
        <v>0</v>
      </c>
      <c r="I422" s="58" t="n">
        <f aca="false">IF(I$5="A",0,H423+I421-(I421*MIN(1,Project_Register!$AY$16/30)+H421*MIN(1,MAX(0,(Project_Register!$AY$16-30)/30))))</f>
        <v>0</v>
      </c>
      <c r="J422" s="58" t="n">
        <f aca="false">IF(J$5="A",0,I423+J421-(J421*MIN(1,Project_Register!$AY$16/30)+I421*MIN(1,MAX(0,(Project_Register!$AY$16-30)/30))))</f>
        <v>0</v>
      </c>
      <c r="K422" s="58" t="n">
        <f aca="false">IF(K$5="A",0,J423+K421-(K421*MIN(1,Project_Register!$AY$16/30)+J421*MIN(1,MAX(0,(Project_Register!$AY$16-30)/30))))</f>
        <v>0</v>
      </c>
      <c r="L422" s="58" t="n">
        <f aca="false">IF(L$5="A",0,K423+L421-(L421*MIN(1,Project_Register!$AY$16/30)+K421*MIN(1,MAX(0,(Project_Register!$AY$16-30)/30))))</f>
        <v>0</v>
      </c>
      <c r="M422" s="58" t="n">
        <f aca="false">IF(M$5="A",0,L423+M421-(M421*MIN(1,Project_Register!$AY$16/30)+L421*MIN(1,MAX(0,(Project_Register!$AY$16-30)/30))))</f>
        <v>0</v>
      </c>
      <c r="N422" s="58" t="n">
        <f aca="false">IF(N$5="A",0,M423+N421-(N421*MIN(1,Project_Register!$AY$16/30)+M421*MIN(1,MAX(0,(Project_Register!$AY$16-30)/30))))</f>
        <v>0</v>
      </c>
      <c r="O422" s="58" t="n">
        <f aca="false">IF(O$5="A",0,N423+O421-(O421*MIN(1,Project_Register!$AY$16/30)+N421*MIN(1,MAX(0,(Project_Register!$AY$16-30)/30))))</f>
        <v>0</v>
      </c>
      <c r="P422" s="58" t="n">
        <f aca="false">IF(P$5="A",0,O423+P421-(P421*MIN(1,Project_Register!$AY$16/30)+O421*MIN(1,MAX(0,(Project_Register!$AY$16-30)/30))))</f>
        <v>0</v>
      </c>
      <c r="Q422" s="58" t="n">
        <f aca="false">IF(Q$5="A",0,P423+Q421-(Q421*MIN(1,Project_Register!$AY$16/30)+P421*MIN(1,MAX(0,(Project_Register!$AY$16-30)/30))))</f>
        <v>0</v>
      </c>
      <c r="R422" s="58" t="n">
        <f aca="false">IF(R$5="A",0,Q423+R421-(R421*MIN(1,Project_Register!$AY$16/30)+Q421*MIN(1,MAX(0,(Project_Register!$AY$16-30)/30))))</f>
        <v>65705.859375</v>
      </c>
      <c r="S422" s="58" t="n">
        <f aca="false">IF(S$5="A",0,R423+S421-(S421*MIN(1,Project_Register!$AY$16/30)+R421*MIN(1,MAX(0,(Project_Register!$AY$16-30)/30))))</f>
        <v>144552.890625</v>
      </c>
      <c r="T422" s="58" t="n">
        <f aca="false">IF(T$5="A",0,S423+T421-(T421*MIN(1,Project_Register!$AY$16/30)+S421*MIN(1,MAX(0,(Project_Register!$AY$16-30)/30))))</f>
        <v>144552.890625</v>
      </c>
      <c r="U422" s="58" t="n">
        <f aca="false">IF(U$5="A",0,T423+U421-(U421*MIN(1,Project_Register!$AY$16/30)+T421*MIN(1,MAX(0,(Project_Register!$AY$16-30)/30))))</f>
        <v>76772.109375</v>
      </c>
      <c r="V422" s="58" t="n">
        <f aca="false">IF(V$5="A",0,U423+V421-(V421*MIN(1,Project_Register!$AY$16/30)+U421*MIN(1,MAX(0,(Project_Register!$AY$16-30)/30))))</f>
        <v>0</v>
      </c>
      <c r="W422" s="58" t="n">
        <f aca="false">IF(W$5="A",0,V423+W421-(W421*MIN(1,Project_Register!$AY$16/30)+V421*MIN(1,MAX(0,(Project_Register!$AY$16-30)/30))))</f>
        <v>0</v>
      </c>
      <c r="X422" s="58" t="n">
        <f aca="false">IF(X$5="A",0,W423+X421-(X421*MIN(1,Project_Register!$AY$16/30)+W421*MIN(1,MAX(0,(Project_Register!$AY$16-30)/30))))</f>
        <v>0</v>
      </c>
      <c r="Y422" s="58" t="n">
        <f aca="false">IF(Y$5="A",0,X423+Y421-(Y421*MIN(1,Project_Register!$AY$16/30)+X421*MIN(1,MAX(0,(Project_Register!$AY$16-30)/30))))</f>
        <v>0</v>
      </c>
      <c r="Z422" s="58" t="n">
        <f aca="false">IF(Z$5="A",0,Y423+Z421-(Z421*MIN(1,Project_Register!$AY$16/30)+Y421*MIN(1,MAX(0,(Project_Register!$AY$16-30)/30))))</f>
        <v>0</v>
      </c>
      <c r="AA422" s="58" t="n">
        <f aca="false">IF(AA$5="A",0,Z423+AA421-(AA421*MIN(1,Project_Register!$AY$16/30)+Z421*MIN(1,MAX(0,(Project_Register!$AY$16-30)/30))))</f>
        <v>0</v>
      </c>
      <c r="AB422" s="58" t="n">
        <f aca="false">IF(AB$5="A",0,AA423+AB421-(AB421*MIN(1,Project_Register!$AY$16/30)+AA421*MIN(1,MAX(0,(Project_Register!$AY$16-30)/30))))</f>
        <v>0</v>
      </c>
    </row>
    <row r="423" customFormat="false" ht="15" hidden="false" customHeight="false" outlineLevel="0" collapsed="false">
      <c r="A423" s="27" t="s">
        <v>763</v>
      </c>
      <c r="B423" s="56" t="s">
        <v>764</v>
      </c>
      <c r="C423" s="57" t="n">
        <f aca="false">P423</f>
        <v>0</v>
      </c>
      <c r="D423" s="57" t="n">
        <f aca="false">AB423</f>
        <v>0</v>
      </c>
      <c r="E423" s="58" t="n">
        <f aca="false">Project_Register!$AF$16+E421-E422</f>
        <v>0</v>
      </c>
      <c r="F423" s="70" t="n">
        <f aca="false">E423+F421-F422</f>
        <v>0</v>
      </c>
      <c r="G423" s="70" t="n">
        <f aca="false">F423+G421-G422</f>
        <v>0</v>
      </c>
      <c r="H423" s="70" t="n">
        <f aca="false">G423+H421-H422</f>
        <v>0</v>
      </c>
      <c r="I423" s="70" t="n">
        <f aca="false">H423+I421-I422</f>
        <v>0</v>
      </c>
      <c r="J423" s="70" t="n">
        <f aca="false">I423+J421-J422</f>
        <v>0</v>
      </c>
      <c r="K423" s="70" t="n">
        <f aca="false">J423+K421-K422</f>
        <v>0</v>
      </c>
      <c r="L423" s="70" t="n">
        <f aca="false">K423+L421-L422</f>
        <v>0</v>
      </c>
      <c r="M423" s="70" t="n">
        <f aca="false">L423+M421-M422</f>
        <v>0</v>
      </c>
      <c r="N423" s="70" t="n">
        <f aca="false">M423+N421-N422</f>
        <v>0</v>
      </c>
      <c r="O423" s="70" t="n">
        <f aca="false">N423+O421-O422</f>
        <v>0</v>
      </c>
      <c r="P423" s="70" t="n">
        <f aca="false">O423+P421-P422</f>
        <v>0</v>
      </c>
      <c r="Q423" s="70" t="n">
        <f aca="false">P423+Q421-Q422</f>
        <v>65705.859375</v>
      </c>
      <c r="R423" s="70" t="n">
        <f aca="false">Q423+R421-R422</f>
        <v>144552.890625</v>
      </c>
      <c r="S423" s="70" t="n">
        <f aca="false">R423+S421-S422</f>
        <v>144552.890625</v>
      </c>
      <c r="T423" s="70" t="n">
        <f aca="false">S423+T421-T422</f>
        <v>76772.109375</v>
      </c>
      <c r="U423" s="70" t="n">
        <f aca="false">T423+U421-U422</f>
        <v>0</v>
      </c>
      <c r="V423" s="70" t="n">
        <f aca="false">U423+V421-V422</f>
        <v>0</v>
      </c>
      <c r="W423" s="70" t="n">
        <f aca="false">V423+W421-W422</f>
        <v>0</v>
      </c>
      <c r="X423" s="70" t="n">
        <f aca="false">W423+X421-X422</f>
        <v>0</v>
      </c>
      <c r="Y423" s="70" t="n">
        <f aca="false">X423+Y421-Y422</f>
        <v>0</v>
      </c>
      <c r="Z423" s="70" t="n">
        <f aca="false">Y423+Z421-Z422</f>
        <v>0</v>
      </c>
      <c r="AA423" s="70" t="n">
        <f aca="false">Z423+AA421-AA422</f>
        <v>0</v>
      </c>
      <c r="AB423" s="70" t="n">
        <f aca="false">AA423+AB421-AB422</f>
        <v>0</v>
      </c>
    </row>
    <row r="424" customFormat="false" ht="15" hidden="false" customHeight="false" outlineLevel="0" collapsed="false">
      <c r="A424" s="27" t="s">
        <v>765</v>
      </c>
      <c r="B424" s="56" t="s">
        <v>766</v>
      </c>
      <c r="C424" s="57" t="n">
        <f aca="false">P424</f>
        <v>60937.5</v>
      </c>
      <c r="D424" s="57" t="n">
        <f aca="false">AB424</f>
        <v>0</v>
      </c>
      <c r="E424" s="70" t="n">
        <f aca="false">E409-E415</f>
        <v>0</v>
      </c>
      <c r="F424" s="70" t="n">
        <f aca="false">F409-F415</f>
        <v>0</v>
      </c>
      <c r="G424" s="70" t="n">
        <f aca="false">G409-G415</f>
        <v>0</v>
      </c>
      <c r="H424" s="70" t="n">
        <f aca="false">H409-H415</f>
        <v>0</v>
      </c>
      <c r="I424" s="70" t="n">
        <f aca="false">I409-I415</f>
        <v>0</v>
      </c>
      <c r="J424" s="70" t="n">
        <f aca="false">J409-J415</f>
        <v>0</v>
      </c>
      <c r="K424" s="70" t="n">
        <f aca="false">K409-K415</f>
        <v>0</v>
      </c>
      <c r="L424" s="70" t="n">
        <f aca="false">L409-L415</f>
        <v>0</v>
      </c>
      <c r="M424" s="70" t="n">
        <f aca="false">M409-M415</f>
        <v>0</v>
      </c>
      <c r="N424" s="70" t="n">
        <f aca="false">N409-N415</f>
        <v>0</v>
      </c>
      <c r="O424" s="70" t="n">
        <f aca="false">O409-O415</f>
        <v>0</v>
      </c>
      <c r="P424" s="70" t="n">
        <f aca="false">P409-P415</f>
        <v>60937.5</v>
      </c>
      <c r="Q424" s="70" t="n">
        <f aca="false">Q409-Q415</f>
        <v>134062.5</v>
      </c>
      <c r="R424" s="70" t="n">
        <f aca="false">R409-R415</f>
        <v>134062.5</v>
      </c>
      <c r="S424" s="70" t="n">
        <f aca="false">S409-S415</f>
        <v>60937.5</v>
      </c>
      <c r="T424" s="70" t="n">
        <f aca="false">T409-T415</f>
        <v>0</v>
      </c>
      <c r="U424" s="70" t="n">
        <f aca="false">U409-U415</f>
        <v>0</v>
      </c>
      <c r="V424" s="70" t="n">
        <f aca="false">V409-V415</f>
        <v>0</v>
      </c>
      <c r="W424" s="70" t="n">
        <f aca="false">W409-W415</f>
        <v>0</v>
      </c>
      <c r="X424" s="70" t="n">
        <f aca="false">X409-X415</f>
        <v>0</v>
      </c>
      <c r="Y424" s="70" t="n">
        <f aca="false">Y409-Y415</f>
        <v>0</v>
      </c>
      <c r="Z424" s="70" t="n">
        <f aca="false">Z409-Z415</f>
        <v>0</v>
      </c>
      <c r="AA424" s="70" t="n">
        <f aca="false">AA409-AA415</f>
        <v>0</v>
      </c>
      <c r="AB424" s="70" t="n">
        <f aca="false">AB409-AB415</f>
        <v>0</v>
      </c>
    </row>
    <row r="425" customFormat="false" ht="15" hidden="false" customHeight="false" outlineLevel="0" collapsed="false">
      <c r="A425" s="27" t="s">
        <v>767</v>
      </c>
      <c r="B425" s="56"/>
      <c r="C425" s="57" t="n">
        <f aca="false">P425</f>
        <v>60937.5</v>
      </c>
      <c r="D425" s="57" t="n">
        <f aca="false">AB425</f>
        <v>0</v>
      </c>
      <c r="E425" s="70" t="n">
        <f aca="false">MAX(0,E424)</f>
        <v>0</v>
      </c>
      <c r="F425" s="70" t="n">
        <f aca="false">MAX(0,F424)</f>
        <v>0</v>
      </c>
      <c r="G425" s="70" t="n">
        <f aca="false">MAX(0,G424)</f>
        <v>0</v>
      </c>
      <c r="H425" s="70" t="n">
        <f aca="false">MAX(0,H424)</f>
        <v>0</v>
      </c>
      <c r="I425" s="70" t="n">
        <f aca="false">MAX(0,I424)</f>
        <v>0</v>
      </c>
      <c r="J425" s="70" t="n">
        <f aca="false">MAX(0,J424)</f>
        <v>0</v>
      </c>
      <c r="K425" s="70" t="n">
        <f aca="false">MAX(0,K424)</f>
        <v>0</v>
      </c>
      <c r="L425" s="70" t="n">
        <f aca="false">MAX(0,L424)</f>
        <v>0</v>
      </c>
      <c r="M425" s="70" t="n">
        <f aca="false">MAX(0,M424)</f>
        <v>0</v>
      </c>
      <c r="N425" s="70" t="n">
        <f aca="false">MAX(0,N424)</f>
        <v>0</v>
      </c>
      <c r="O425" s="70" t="n">
        <f aca="false">MAX(0,O424)</f>
        <v>0</v>
      </c>
      <c r="P425" s="70" t="n">
        <f aca="false">MAX(0,P424)</f>
        <v>60937.5</v>
      </c>
      <c r="Q425" s="70" t="n">
        <f aca="false">MAX(0,Q424)</f>
        <v>134062.5</v>
      </c>
      <c r="R425" s="70" t="n">
        <f aca="false">MAX(0,R424)</f>
        <v>134062.5</v>
      </c>
      <c r="S425" s="70" t="n">
        <f aca="false">MAX(0,S424)</f>
        <v>60937.5</v>
      </c>
      <c r="T425" s="70" t="n">
        <f aca="false">MAX(0,T424)</f>
        <v>0</v>
      </c>
      <c r="U425" s="70" t="n">
        <f aca="false">MAX(0,U424)</f>
        <v>0</v>
      </c>
      <c r="V425" s="70" t="n">
        <f aca="false">MAX(0,V424)</f>
        <v>0</v>
      </c>
      <c r="W425" s="70" t="n">
        <f aca="false">MAX(0,W424)</f>
        <v>0</v>
      </c>
      <c r="X425" s="70" t="n">
        <f aca="false">MAX(0,X424)</f>
        <v>0</v>
      </c>
      <c r="Y425" s="70" t="n">
        <f aca="false">MAX(0,Y424)</f>
        <v>0</v>
      </c>
      <c r="Z425" s="70" t="n">
        <f aca="false">MAX(0,Z424)</f>
        <v>0</v>
      </c>
      <c r="AA425" s="70" t="n">
        <f aca="false">MAX(0,AA424)</f>
        <v>0</v>
      </c>
      <c r="AB425" s="70" t="n">
        <f aca="false">MAX(0,AB424)</f>
        <v>0</v>
      </c>
    </row>
    <row r="426" customFormat="false" ht="15" hidden="false" customHeight="false" outlineLevel="0" collapsed="false">
      <c r="A426" s="27" t="s">
        <v>768</v>
      </c>
      <c r="B426" s="56"/>
      <c r="C426" s="57" t="n">
        <f aca="false">P426</f>
        <v>0</v>
      </c>
      <c r="D426" s="57" t="n">
        <f aca="false">AB426</f>
        <v>-0</v>
      </c>
      <c r="E426" s="70" t="n">
        <f aca="false">MAX(0,-E424)</f>
        <v>-0</v>
      </c>
      <c r="F426" s="70" t="n">
        <f aca="false">MAX(0,-F424)</f>
        <v>-0</v>
      </c>
      <c r="G426" s="70" t="n">
        <f aca="false">MAX(0,-G424)</f>
        <v>-0</v>
      </c>
      <c r="H426" s="70" t="n">
        <f aca="false">MAX(0,-H424)</f>
        <v>-0</v>
      </c>
      <c r="I426" s="70" t="n">
        <f aca="false">MAX(0,-I424)</f>
        <v>-0</v>
      </c>
      <c r="J426" s="70" t="n">
        <f aca="false">MAX(0,-J424)</f>
        <v>-0</v>
      </c>
      <c r="K426" s="70" t="n">
        <f aca="false">MAX(0,-K424)</f>
        <v>-0</v>
      </c>
      <c r="L426" s="70" t="n">
        <f aca="false">MAX(0,-L424)</f>
        <v>-0</v>
      </c>
      <c r="M426" s="70" t="n">
        <f aca="false">MAX(0,-M424)</f>
        <v>-0</v>
      </c>
      <c r="N426" s="70" t="n">
        <f aca="false">MAX(0,-N424)</f>
        <v>-0</v>
      </c>
      <c r="O426" s="70" t="n">
        <f aca="false">MAX(0,-O424)</f>
        <v>-0</v>
      </c>
      <c r="P426" s="70" t="n">
        <f aca="false">MAX(0,-P424)</f>
        <v>0</v>
      </c>
      <c r="Q426" s="70" t="n">
        <f aca="false">MAX(0,-Q424)</f>
        <v>0</v>
      </c>
      <c r="R426" s="70" t="n">
        <f aca="false">MAX(0,-R424)</f>
        <v>0</v>
      </c>
      <c r="S426" s="70" t="n">
        <f aca="false">MAX(0,-S424)</f>
        <v>0</v>
      </c>
      <c r="T426" s="70" t="n">
        <f aca="false">MAX(0,-T424)</f>
        <v>-0</v>
      </c>
      <c r="U426" s="70" t="n">
        <f aca="false">MAX(0,-U424)</f>
        <v>-0</v>
      </c>
      <c r="V426" s="70" t="n">
        <f aca="false">MAX(0,-V424)</f>
        <v>-0</v>
      </c>
      <c r="W426" s="70" t="n">
        <f aca="false">MAX(0,-W424)</f>
        <v>-0</v>
      </c>
      <c r="X426" s="70" t="n">
        <f aca="false">MAX(0,-X424)</f>
        <v>-0</v>
      </c>
      <c r="Y426" s="70" t="n">
        <f aca="false">MAX(0,-Y424)</f>
        <v>-0</v>
      </c>
      <c r="Z426" s="70" t="n">
        <f aca="false">MAX(0,-Z424)</f>
        <v>-0</v>
      </c>
      <c r="AA426" s="70" t="n">
        <f aca="false">MAX(0,-AA424)</f>
        <v>-0</v>
      </c>
      <c r="AB426" s="70" t="n">
        <f aca="false">MAX(0,-AB424)</f>
        <v>-0</v>
      </c>
    </row>
    <row r="427" customFormat="false" ht="15" hidden="false" customHeight="false" outlineLevel="0" collapsed="false">
      <c r="A427" s="27" t="s">
        <v>769</v>
      </c>
      <c r="B427" s="56"/>
      <c r="C427" s="57" t="n">
        <f aca="false">P427</f>
        <v>26191.40625</v>
      </c>
      <c r="D427" s="57" t="n">
        <f aca="false">AB427</f>
        <v>167625</v>
      </c>
      <c r="E427" s="58" t="n">
        <f aca="false">Project_Register!$AG$16+E397</f>
        <v>0</v>
      </c>
      <c r="F427" s="70" t="n">
        <f aca="false">E427+F397</f>
        <v>0</v>
      </c>
      <c r="G427" s="70" t="n">
        <f aca="false">F427+G397</f>
        <v>0</v>
      </c>
      <c r="H427" s="70" t="n">
        <f aca="false">G427+H397</f>
        <v>0</v>
      </c>
      <c r="I427" s="70" t="n">
        <f aca="false">H427+I397</f>
        <v>0</v>
      </c>
      <c r="J427" s="70" t="n">
        <f aca="false">I427+J397</f>
        <v>0</v>
      </c>
      <c r="K427" s="70" t="n">
        <f aca="false">J427+K397</f>
        <v>0</v>
      </c>
      <c r="L427" s="70" t="n">
        <f aca="false">K427+L397</f>
        <v>0</v>
      </c>
      <c r="M427" s="70" t="n">
        <f aca="false">L427+M397</f>
        <v>0</v>
      </c>
      <c r="N427" s="70" t="n">
        <f aca="false">M427+N397</f>
        <v>0</v>
      </c>
      <c r="O427" s="70" t="n">
        <f aca="false">N427+O397</f>
        <v>0</v>
      </c>
      <c r="P427" s="70" t="n">
        <f aca="false">O427+P397</f>
        <v>26191.40625</v>
      </c>
      <c r="Q427" s="70" t="n">
        <f aca="false">P427+Q397</f>
        <v>83812.5</v>
      </c>
      <c r="R427" s="70" t="n">
        <f aca="false">Q427+R397</f>
        <v>141433.59375</v>
      </c>
      <c r="S427" s="70" t="n">
        <f aca="false">R427+S397</f>
        <v>167625</v>
      </c>
      <c r="T427" s="70" t="n">
        <f aca="false">S427+T397</f>
        <v>167625</v>
      </c>
      <c r="U427" s="70" t="n">
        <f aca="false">T427+U397</f>
        <v>167625</v>
      </c>
      <c r="V427" s="70" t="n">
        <f aca="false">U427+V397</f>
        <v>167625</v>
      </c>
      <c r="W427" s="70" t="n">
        <f aca="false">V427+W397</f>
        <v>167625</v>
      </c>
      <c r="X427" s="70" t="n">
        <f aca="false">W427+X397</f>
        <v>167625</v>
      </c>
      <c r="Y427" s="70" t="n">
        <f aca="false">X427+Y397</f>
        <v>167625</v>
      </c>
      <c r="Z427" s="70" t="n">
        <f aca="false">Y427+Z397</f>
        <v>167625</v>
      </c>
      <c r="AA427" s="70" t="n">
        <f aca="false">Z427+AA397</f>
        <v>167625</v>
      </c>
      <c r="AB427" s="70" t="n">
        <f aca="false">AA427+AB397</f>
        <v>167625</v>
      </c>
    </row>
    <row r="428" customFormat="false" ht="15" hidden="false" customHeight="false" outlineLevel="0" collapsed="false">
      <c r="A428" s="27" t="s">
        <v>770</v>
      </c>
      <c r="B428" s="56"/>
      <c r="C428" s="57" t="n">
        <f aca="false">P428</f>
        <v>1309.5703125</v>
      </c>
      <c r="D428" s="57" t="n">
        <f aca="false">AB428</f>
        <v>4190.625</v>
      </c>
      <c r="E428" s="58" t="n">
        <f aca="false">Project_Register!$U$16*E427*(1-Project_Register!$R$16*(Assumptions!E$96&gt;=Project_Register!$AK$16+1)-(1-Project_Register!$R$16)*(Assumptions!E$96&gt;=Project_Register!$AN$16))</f>
        <v>0</v>
      </c>
      <c r="F428" s="58" t="n">
        <f aca="false">Project_Register!$U$16*F427*(1-Project_Register!$R$16*(Assumptions!F$96&gt;=Project_Register!$AK$16+1)-(1-Project_Register!$R$16)*(Assumptions!F$96&gt;=Project_Register!$AN$16))</f>
        <v>0</v>
      </c>
      <c r="G428" s="58" t="n">
        <f aca="false">Project_Register!$U$16*G427*(1-Project_Register!$R$16*(Assumptions!G$96&gt;=Project_Register!$AK$16+1)-(1-Project_Register!$R$16)*(Assumptions!G$96&gt;=Project_Register!$AN$16))</f>
        <v>0</v>
      </c>
      <c r="H428" s="58" t="n">
        <f aca="false">Project_Register!$U$16*H427*(1-Project_Register!$R$16*(Assumptions!H$96&gt;=Project_Register!$AK$16+1)-(1-Project_Register!$R$16)*(Assumptions!H$96&gt;=Project_Register!$AN$16))</f>
        <v>0</v>
      </c>
      <c r="I428" s="58" t="n">
        <f aca="false">Project_Register!$U$16*I427*(1-Project_Register!$R$16*(Assumptions!I$96&gt;=Project_Register!$AK$16+1)-(1-Project_Register!$R$16)*(Assumptions!I$96&gt;=Project_Register!$AN$16))</f>
        <v>0</v>
      </c>
      <c r="J428" s="58" t="n">
        <f aca="false">Project_Register!$U$16*J427*(1-Project_Register!$R$16*(Assumptions!J$96&gt;=Project_Register!$AK$16+1)-(1-Project_Register!$R$16)*(Assumptions!J$96&gt;=Project_Register!$AN$16))</f>
        <v>0</v>
      </c>
      <c r="K428" s="58" t="n">
        <f aca="false">Project_Register!$U$16*K427*(1-Project_Register!$R$16*(Assumptions!K$96&gt;=Project_Register!$AK$16+1)-(1-Project_Register!$R$16)*(Assumptions!K$96&gt;=Project_Register!$AN$16))</f>
        <v>0</v>
      </c>
      <c r="L428" s="58" t="n">
        <f aca="false">Project_Register!$U$16*L427*(1-Project_Register!$R$16*(Assumptions!L$96&gt;=Project_Register!$AK$16+1)-(1-Project_Register!$R$16)*(Assumptions!L$96&gt;=Project_Register!$AN$16))</f>
        <v>0</v>
      </c>
      <c r="M428" s="58" t="n">
        <f aca="false">Project_Register!$U$16*M427*(1-Project_Register!$R$16*(Assumptions!M$96&gt;=Project_Register!$AK$16+1)-(1-Project_Register!$R$16)*(Assumptions!M$96&gt;=Project_Register!$AN$16))</f>
        <v>0</v>
      </c>
      <c r="N428" s="58" t="n">
        <f aca="false">Project_Register!$U$16*N427*(1-Project_Register!$R$16*(Assumptions!N$96&gt;=Project_Register!$AK$16+1)-(1-Project_Register!$R$16)*(Assumptions!N$96&gt;=Project_Register!$AN$16))</f>
        <v>0</v>
      </c>
      <c r="O428" s="58" t="n">
        <f aca="false">Project_Register!$U$16*O427*(1-Project_Register!$R$16*(Assumptions!O$96&gt;=Project_Register!$AK$16+1)-(1-Project_Register!$R$16)*(Assumptions!O$96&gt;=Project_Register!$AN$16))</f>
        <v>0</v>
      </c>
      <c r="P428" s="58" t="n">
        <f aca="false">Project_Register!$U$16*P427*(1-Project_Register!$R$16*(Assumptions!P$96&gt;=Project_Register!$AK$16+1)-(1-Project_Register!$R$16)*(Assumptions!P$96&gt;=Project_Register!$AN$16))</f>
        <v>1309.5703125</v>
      </c>
      <c r="Q428" s="58" t="n">
        <f aca="false">Project_Register!$U$16*Q427*(1-Project_Register!$R$16*(Assumptions!Q$96&gt;=Project_Register!$AK$16+1)-(1-Project_Register!$R$16)*(Assumptions!Q$96&gt;=Project_Register!$AN$16))</f>
        <v>4190.625</v>
      </c>
      <c r="R428" s="58" t="n">
        <f aca="false">Project_Register!$U$16*R427*(1-Project_Register!$R$16*(Assumptions!R$96&gt;=Project_Register!$AK$16+1)-(1-Project_Register!$R$16)*(Assumptions!R$96&gt;=Project_Register!$AN$16))</f>
        <v>7071.6796875</v>
      </c>
      <c r="S428" s="58" t="n">
        <f aca="false">Project_Register!$U$16*S427*(1-Project_Register!$R$16*(Assumptions!S$96&gt;=Project_Register!$AK$16+1)-(1-Project_Register!$R$16)*(Assumptions!S$96&gt;=Project_Register!$AN$16))</f>
        <v>8381.25</v>
      </c>
      <c r="T428" s="58" t="n">
        <f aca="false">Project_Register!$U$16*T427*(1-Project_Register!$R$16*(Assumptions!T$96&gt;=Project_Register!$AK$16+1)-(1-Project_Register!$R$16)*(Assumptions!T$96&gt;=Project_Register!$AN$16))</f>
        <v>4190.625</v>
      </c>
      <c r="U428" s="58" t="n">
        <f aca="false">Project_Register!$U$16*U427*(1-Project_Register!$R$16*(Assumptions!U$96&gt;=Project_Register!$AK$16+1)-(1-Project_Register!$R$16)*(Assumptions!U$96&gt;=Project_Register!$AN$16))</f>
        <v>4190.625</v>
      </c>
      <c r="V428" s="58" t="n">
        <f aca="false">Project_Register!$U$16*V427*(1-Project_Register!$R$16*(Assumptions!V$96&gt;=Project_Register!$AK$16+1)-(1-Project_Register!$R$16)*(Assumptions!V$96&gt;=Project_Register!$AN$16))</f>
        <v>4190.625</v>
      </c>
      <c r="W428" s="58" t="n">
        <f aca="false">Project_Register!$U$16*W427*(1-Project_Register!$R$16*(Assumptions!W$96&gt;=Project_Register!$AK$16+1)-(1-Project_Register!$R$16)*(Assumptions!W$96&gt;=Project_Register!$AN$16))</f>
        <v>4190.625</v>
      </c>
      <c r="X428" s="58" t="n">
        <f aca="false">Project_Register!$U$16*X427*(1-Project_Register!$R$16*(Assumptions!X$96&gt;=Project_Register!$AK$16+1)-(1-Project_Register!$R$16)*(Assumptions!X$96&gt;=Project_Register!$AN$16))</f>
        <v>4190.625</v>
      </c>
      <c r="Y428" s="58" t="n">
        <f aca="false">Project_Register!$U$16*Y427*(1-Project_Register!$R$16*(Assumptions!Y$96&gt;=Project_Register!$AK$16+1)-(1-Project_Register!$R$16)*(Assumptions!Y$96&gt;=Project_Register!$AN$16))</f>
        <v>4190.625</v>
      </c>
      <c r="Z428" s="58" t="n">
        <f aca="false">Project_Register!$U$16*Z427*(1-Project_Register!$R$16*(Assumptions!Z$96&gt;=Project_Register!$AK$16+1)-(1-Project_Register!$R$16)*(Assumptions!Z$96&gt;=Project_Register!$AN$16))</f>
        <v>4190.625</v>
      </c>
      <c r="AA428" s="58" t="n">
        <f aca="false">Project_Register!$U$16*AA427*(1-Project_Register!$R$16*(Assumptions!AA$96&gt;=Project_Register!$AK$16+1)-(1-Project_Register!$R$16)*(Assumptions!AA$96&gt;=Project_Register!$AN$16))</f>
        <v>4190.625</v>
      </c>
      <c r="AB428" s="58" t="n">
        <f aca="false">Project_Register!$U$16*AB427*(1-Project_Register!$R$16*(Assumptions!AB$96&gt;=Project_Register!$AK$16+1)-(1-Project_Register!$R$16)*(Assumptions!AB$96&gt;=Project_Register!$AN$16))</f>
        <v>4190.625</v>
      </c>
    </row>
    <row r="429" customFormat="false" ht="15" hidden="false" customHeight="false" outlineLevel="0" collapsed="false">
      <c r="A429" s="27" t="s">
        <v>771</v>
      </c>
      <c r="B429" s="56"/>
      <c r="C429" s="57" t="n">
        <f aca="false">SUM(E429:P429)</f>
        <v>1309.5703125</v>
      </c>
      <c r="D429" s="57" t="n">
        <f aca="false">SUM(Q429:AB429)</f>
        <v>2881.0546875</v>
      </c>
      <c r="E429" s="58" t="n">
        <f aca="false">E428-Project_Register!$AX$16</f>
        <v>0</v>
      </c>
      <c r="F429" s="70" t="n">
        <f aca="false">F428-E428</f>
        <v>0</v>
      </c>
      <c r="G429" s="70" t="n">
        <f aca="false">G428-F428</f>
        <v>0</v>
      </c>
      <c r="H429" s="70" t="n">
        <f aca="false">H428-G428</f>
        <v>0</v>
      </c>
      <c r="I429" s="70" t="n">
        <f aca="false">I428-H428</f>
        <v>0</v>
      </c>
      <c r="J429" s="70" t="n">
        <f aca="false">J428-I428</f>
        <v>0</v>
      </c>
      <c r="K429" s="70" t="n">
        <f aca="false">K428-J428</f>
        <v>0</v>
      </c>
      <c r="L429" s="70" t="n">
        <f aca="false">L428-K428</f>
        <v>0</v>
      </c>
      <c r="M429" s="70" t="n">
        <f aca="false">M428-L428</f>
        <v>0</v>
      </c>
      <c r="N429" s="70" t="n">
        <f aca="false">N428-M428</f>
        <v>0</v>
      </c>
      <c r="O429" s="70" t="n">
        <f aca="false">O428-N428</f>
        <v>0</v>
      </c>
      <c r="P429" s="70" t="n">
        <f aca="false">P428-O428</f>
        <v>1309.5703125</v>
      </c>
      <c r="Q429" s="70" t="n">
        <f aca="false">Q428-P428</f>
        <v>2881.0546875</v>
      </c>
      <c r="R429" s="70" t="n">
        <f aca="false">R428-Q428</f>
        <v>2881.0546875</v>
      </c>
      <c r="S429" s="70" t="n">
        <f aca="false">S428-R428</f>
        <v>1309.5703125</v>
      </c>
      <c r="T429" s="70" t="n">
        <f aca="false">T428-S428</f>
        <v>-4190.625</v>
      </c>
      <c r="U429" s="70" t="n">
        <f aca="false">U428-T428</f>
        <v>0</v>
      </c>
      <c r="V429" s="70" t="n">
        <f aca="false">V428-U428</f>
        <v>0</v>
      </c>
      <c r="W429" s="70" t="n">
        <f aca="false">W428-V428</f>
        <v>0</v>
      </c>
      <c r="X429" s="70" t="n">
        <f aca="false">X428-W428</f>
        <v>0</v>
      </c>
      <c r="Y429" s="70" t="n">
        <f aca="false">Y428-X428</f>
        <v>0</v>
      </c>
      <c r="Z429" s="70" t="n">
        <f aca="false">Z428-Y428</f>
        <v>0</v>
      </c>
      <c r="AA429" s="70" t="n">
        <f aca="false">AA428-Z428</f>
        <v>0</v>
      </c>
      <c r="AB429" s="70" t="n">
        <f aca="false">AB428-AA428</f>
        <v>0</v>
      </c>
    </row>
    <row r="430" customFormat="false" ht="15" hidden="false" customHeight="false" outlineLevel="0" collapsed="false">
      <c r="A430" s="27" t="s">
        <v>772</v>
      </c>
      <c r="B430" s="56" t="s">
        <v>773</v>
      </c>
      <c r="C430" s="57" t="n">
        <f aca="false">P430</f>
        <v>39000</v>
      </c>
      <c r="D430" s="57" t="n">
        <f aca="false">AB430</f>
        <v>0</v>
      </c>
      <c r="E430" s="58" t="n">
        <f aca="false">Project_Register!$V$16*Project_Register!$AO$16*(Assumptions!E$96&gt;=Project_Register!$AL$16)*(Assumptions!E$96&lt;=Project_Register!$AK$16)</f>
        <v>0</v>
      </c>
      <c r="F430" s="58" t="n">
        <f aca="false">Project_Register!$V$16*Project_Register!$AO$16*(Assumptions!F$96&gt;=Project_Register!$AL$16)*(Assumptions!F$96&lt;=Project_Register!$AK$16)</f>
        <v>0</v>
      </c>
      <c r="G430" s="58" t="n">
        <f aca="false">Project_Register!$V$16*Project_Register!$AO$16*(Assumptions!G$96&gt;=Project_Register!$AL$16)*(Assumptions!G$96&lt;=Project_Register!$AK$16)</f>
        <v>0</v>
      </c>
      <c r="H430" s="58" t="n">
        <f aca="false">Project_Register!$V$16*Project_Register!$AO$16*(Assumptions!H$96&gt;=Project_Register!$AL$16)*(Assumptions!H$96&lt;=Project_Register!$AK$16)</f>
        <v>0</v>
      </c>
      <c r="I430" s="58" t="n">
        <f aca="false">Project_Register!$V$16*Project_Register!$AO$16*(Assumptions!I$96&gt;=Project_Register!$AL$16)*(Assumptions!I$96&lt;=Project_Register!$AK$16)</f>
        <v>0</v>
      </c>
      <c r="J430" s="58" t="n">
        <f aca="false">Project_Register!$V$16*Project_Register!$AO$16*(Assumptions!J$96&gt;=Project_Register!$AL$16)*(Assumptions!J$96&lt;=Project_Register!$AK$16)</f>
        <v>0</v>
      </c>
      <c r="K430" s="58" t="n">
        <f aca="false">Project_Register!$V$16*Project_Register!$AO$16*(Assumptions!K$96&gt;=Project_Register!$AL$16)*(Assumptions!K$96&lt;=Project_Register!$AK$16)</f>
        <v>0</v>
      </c>
      <c r="L430" s="58" t="n">
        <f aca="false">Project_Register!$V$16*Project_Register!$AO$16*(Assumptions!L$96&gt;=Project_Register!$AL$16)*(Assumptions!L$96&lt;=Project_Register!$AK$16)</f>
        <v>0</v>
      </c>
      <c r="M430" s="58" t="n">
        <f aca="false">Project_Register!$V$16*Project_Register!$AO$16*(Assumptions!M$96&gt;=Project_Register!$AL$16)*(Assumptions!M$96&lt;=Project_Register!$AK$16)</f>
        <v>0</v>
      </c>
      <c r="N430" s="58" t="n">
        <f aca="false">Project_Register!$V$16*Project_Register!$AO$16*(Assumptions!N$96&gt;=Project_Register!$AL$16)*(Assumptions!N$96&lt;=Project_Register!$AK$16)</f>
        <v>0</v>
      </c>
      <c r="O430" s="58" t="n">
        <f aca="false">Project_Register!$V$16*Project_Register!$AO$16*(Assumptions!O$96&gt;=Project_Register!$AL$16)*(Assumptions!O$96&lt;=Project_Register!$AK$16)</f>
        <v>39000</v>
      </c>
      <c r="P430" s="58" t="n">
        <f aca="false">Project_Register!$V$16*Project_Register!$AO$16*(Assumptions!P$96&gt;=Project_Register!$AL$16)*(Assumptions!P$96&lt;=Project_Register!$AK$16)</f>
        <v>39000</v>
      </c>
      <c r="Q430" s="58" t="n">
        <f aca="false">Project_Register!$V$16*Project_Register!$AO$16*(Assumptions!Q$96&gt;=Project_Register!$AL$16)*(Assumptions!Q$96&lt;=Project_Register!$AK$16)</f>
        <v>39000</v>
      </c>
      <c r="R430" s="58" t="n">
        <f aca="false">Project_Register!$V$16*Project_Register!$AO$16*(Assumptions!R$96&gt;=Project_Register!$AL$16)*(Assumptions!R$96&lt;=Project_Register!$AK$16)</f>
        <v>39000</v>
      </c>
      <c r="S430" s="58" t="n">
        <f aca="false">Project_Register!$V$16*Project_Register!$AO$16*(Assumptions!S$96&gt;=Project_Register!$AL$16)*(Assumptions!S$96&lt;=Project_Register!$AK$16)</f>
        <v>39000</v>
      </c>
      <c r="T430" s="58" t="n">
        <f aca="false">Project_Register!$V$16*Project_Register!$AO$16*(Assumptions!T$96&gt;=Project_Register!$AL$16)*(Assumptions!T$96&lt;=Project_Register!$AK$16)</f>
        <v>0</v>
      </c>
      <c r="U430" s="58" t="n">
        <f aca="false">Project_Register!$V$16*Project_Register!$AO$16*(Assumptions!U$96&gt;=Project_Register!$AL$16)*(Assumptions!U$96&lt;=Project_Register!$AK$16)</f>
        <v>0</v>
      </c>
      <c r="V430" s="58" t="n">
        <f aca="false">Project_Register!$V$16*Project_Register!$AO$16*(Assumptions!V$96&gt;=Project_Register!$AL$16)*(Assumptions!V$96&lt;=Project_Register!$AK$16)</f>
        <v>0</v>
      </c>
      <c r="W430" s="58" t="n">
        <f aca="false">Project_Register!$V$16*Project_Register!$AO$16*(Assumptions!W$96&gt;=Project_Register!$AL$16)*(Assumptions!W$96&lt;=Project_Register!$AK$16)</f>
        <v>0</v>
      </c>
      <c r="X430" s="58" t="n">
        <f aca="false">Project_Register!$V$16*Project_Register!$AO$16*(Assumptions!X$96&gt;=Project_Register!$AL$16)*(Assumptions!X$96&lt;=Project_Register!$AK$16)</f>
        <v>0</v>
      </c>
      <c r="Y430" s="58" t="n">
        <f aca="false">Project_Register!$V$16*Project_Register!$AO$16*(Assumptions!Y$96&gt;=Project_Register!$AL$16)*(Assumptions!Y$96&lt;=Project_Register!$AK$16)</f>
        <v>0</v>
      </c>
      <c r="Z430" s="58" t="n">
        <f aca="false">Project_Register!$V$16*Project_Register!$AO$16*(Assumptions!Z$96&gt;=Project_Register!$AL$16)*(Assumptions!Z$96&lt;=Project_Register!$AK$16)</f>
        <v>0</v>
      </c>
      <c r="AA430" s="58" t="n">
        <f aca="false">Project_Register!$V$16*Project_Register!$AO$16*(Assumptions!AA$96&gt;=Project_Register!$AL$16)*(Assumptions!AA$96&lt;=Project_Register!$AK$16)</f>
        <v>0</v>
      </c>
      <c r="AB430" s="58" t="n">
        <f aca="false">Project_Register!$V$16*Project_Register!$AO$16*(Assumptions!AB$96&gt;=Project_Register!$AL$16)*(Assumptions!AB$96&lt;=Project_Register!$AK$16)</f>
        <v>0</v>
      </c>
    </row>
    <row r="431" customFormat="false" ht="15" hidden="false" customHeight="false" outlineLevel="0" collapsed="false">
      <c r="A431" s="27" t="s">
        <v>774</v>
      </c>
      <c r="B431" s="56"/>
      <c r="C431" s="57" t="n">
        <f aca="false">P431</f>
        <v>329062.5</v>
      </c>
      <c r="D431" s="57" t="n">
        <f aca="false">AB431</f>
        <v>0</v>
      </c>
      <c r="E431" s="58" t="n">
        <f aca="false">IF(OR(Project_Register!$E$16="Pipeline",Assumptions!E$96&gt;=Project_Register!$AL$16),MAX(0,E408-E409),0)</f>
        <v>390000</v>
      </c>
      <c r="F431" s="58" t="n">
        <f aca="false">IF(OR(Project_Register!$E$16="Pipeline",Assumptions!F$96&gt;=Project_Register!$AL$16),MAX(0,F408-F409),0)</f>
        <v>390000</v>
      </c>
      <c r="G431" s="58" t="n">
        <f aca="false">IF(OR(Project_Register!$E$16="Pipeline",Assumptions!G$96&gt;=Project_Register!$AL$16),MAX(0,G408-G409),0)</f>
        <v>390000</v>
      </c>
      <c r="H431" s="58" t="n">
        <f aca="false">IF(OR(Project_Register!$E$16="Pipeline",Assumptions!H$96&gt;=Project_Register!$AL$16),MAX(0,H408-H409),0)</f>
        <v>390000</v>
      </c>
      <c r="I431" s="58" t="n">
        <f aca="false">IF(OR(Project_Register!$E$16="Pipeline",Assumptions!I$96&gt;=Project_Register!$AL$16),MAX(0,I408-I409),0)</f>
        <v>390000</v>
      </c>
      <c r="J431" s="58" t="n">
        <f aca="false">IF(OR(Project_Register!$E$16="Pipeline",Assumptions!J$96&gt;=Project_Register!$AL$16),MAX(0,J408-J409),0)</f>
        <v>390000</v>
      </c>
      <c r="K431" s="58" t="n">
        <f aca="false">IF(OR(Project_Register!$E$16="Pipeline",Assumptions!K$96&gt;=Project_Register!$AL$16),MAX(0,K408-K409),0)</f>
        <v>390000</v>
      </c>
      <c r="L431" s="58" t="n">
        <f aca="false">IF(OR(Project_Register!$E$16="Pipeline",Assumptions!L$96&gt;=Project_Register!$AL$16),MAX(0,L408-L409),0)</f>
        <v>390000</v>
      </c>
      <c r="M431" s="58" t="n">
        <f aca="false">IF(OR(Project_Register!$E$16="Pipeline",Assumptions!M$96&gt;=Project_Register!$AL$16),MAX(0,M408-M409),0)</f>
        <v>390000</v>
      </c>
      <c r="N431" s="58" t="n">
        <f aca="false">IF(OR(Project_Register!$E$16="Pipeline",Assumptions!N$96&gt;=Project_Register!$AL$16),MAX(0,N408-N409),0)</f>
        <v>390000</v>
      </c>
      <c r="O431" s="58" t="n">
        <f aca="false">IF(OR(Project_Register!$E$16="Pipeline",Assumptions!O$96&gt;=Project_Register!$AL$16),MAX(0,O408-O409),0)</f>
        <v>390000</v>
      </c>
      <c r="P431" s="58" t="n">
        <f aca="false">IF(OR(Project_Register!$E$16="Pipeline",Assumptions!P$96&gt;=Project_Register!$AL$16),MAX(0,P408-P409),0)</f>
        <v>329062.5</v>
      </c>
      <c r="Q431" s="58" t="n">
        <f aca="false">IF(OR(Project_Register!$E$16="Pipeline",Assumptions!Q$96&gt;=Project_Register!$AL$16),MAX(0,Q408-Q409),0)</f>
        <v>195000</v>
      </c>
      <c r="R431" s="58" t="n">
        <f aca="false">IF(OR(Project_Register!$E$16="Pipeline",Assumptions!R$96&gt;=Project_Register!$AL$16),MAX(0,R408-R409),0)</f>
        <v>60937.5</v>
      </c>
      <c r="S431" s="58" t="n">
        <f aca="false">IF(OR(Project_Register!$E$16="Pipeline",Assumptions!S$96&gt;=Project_Register!$AL$16),MAX(0,S408-S409),0)</f>
        <v>0</v>
      </c>
      <c r="T431" s="58" t="n">
        <f aca="false">IF(OR(Project_Register!$E$16="Pipeline",Assumptions!T$96&gt;=Project_Register!$AL$16),MAX(0,T408-T409),0)</f>
        <v>0</v>
      </c>
      <c r="U431" s="58" t="n">
        <f aca="false">IF(OR(Project_Register!$E$16="Pipeline",Assumptions!U$96&gt;=Project_Register!$AL$16),MAX(0,U408-U409),0)</f>
        <v>0</v>
      </c>
      <c r="V431" s="58" t="n">
        <f aca="false">IF(OR(Project_Register!$E$16="Pipeline",Assumptions!V$96&gt;=Project_Register!$AL$16),MAX(0,V408-V409),0)</f>
        <v>0</v>
      </c>
      <c r="W431" s="58" t="n">
        <f aca="false">IF(OR(Project_Register!$E$16="Pipeline",Assumptions!W$96&gt;=Project_Register!$AL$16),MAX(0,W408-W409),0)</f>
        <v>0</v>
      </c>
      <c r="X431" s="58" t="n">
        <f aca="false">IF(OR(Project_Register!$E$16="Pipeline",Assumptions!X$96&gt;=Project_Register!$AL$16),MAX(0,X408-X409),0)</f>
        <v>0</v>
      </c>
      <c r="Y431" s="58" t="n">
        <f aca="false">IF(OR(Project_Register!$E$16="Pipeline",Assumptions!Y$96&gt;=Project_Register!$AL$16),MAX(0,Y408-Y409),0)</f>
        <v>0</v>
      </c>
      <c r="Z431" s="58" t="n">
        <f aca="false">IF(OR(Project_Register!$E$16="Pipeline",Assumptions!Z$96&gt;=Project_Register!$AL$16),MAX(0,Z408-Z409),0)</f>
        <v>0</v>
      </c>
      <c r="AA431" s="58" t="n">
        <f aca="false">IF(OR(Project_Register!$E$16="Pipeline",Assumptions!AA$96&gt;=Project_Register!$AL$16),MAX(0,AA408-AA409),0)</f>
        <v>0</v>
      </c>
      <c r="AB431" s="58" t="n">
        <f aca="false">IF(OR(Project_Register!$E$16="Pipeline",Assumptions!AB$96&gt;=Project_Register!$AL$16),MAX(0,AB408-AB409),0)</f>
        <v>0</v>
      </c>
    </row>
    <row r="432" customFormat="false" ht="15" hidden="false" customHeight="false" outlineLevel="0" collapsed="false">
      <c r="A432" s="27" t="s">
        <v>775</v>
      </c>
      <c r="B432" s="56"/>
      <c r="C432" s="57" t="n">
        <f aca="false">SUM(E432:P432)</f>
        <v>390000</v>
      </c>
      <c r="D432" s="57" t="n">
        <f aca="false">SUM(Q432:AB432)</f>
        <v>0</v>
      </c>
      <c r="E432" s="58" t="n">
        <f aca="false">IF(Assumptions!E$96=Project_Register!$AL$16,Project_Register!$AO$16,0)</f>
        <v>0</v>
      </c>
      <c r="F432" s="58" t="n">
        <f aca="false">IF(Assumptions!F$96=Project_Register!$AL$16,Project_Register!$AO$16,0)</f>
        <v>0</v>
      </c>
      <c r="G432" s="58" t="n">
        <f aca="false">IF(Assumptions!G$96=Project_Register!$AL$16,Project_Register!$AO$16,0)</f>
        <v>0</v>
      </c>
      <c r="H432" s="58" t="n">
        <f aca="false">IF(Assumptions!H$96=Project_Register!$AL$16,Project_Register!$AO$16,0)</f>
        <v>0</v>
      </c>
      <c r="I432" s="58" t="n">
        <f aca="false">IF(Assumptions!I$96=Project_Register!$AL$16,Project_Register!$AO$16,0)</f>
        <v>0</v>
      </c>
      <c r="J432" s="58" t="n">
        <f aca="false">IF(Assumptions!J$96=Project_Register!$AL$16,Project_Register!$AO$16,0)</f>
        <v>0</v>
      </c>
      <c r="K432" s="58" t="n">
        <f aca="false">IF(Assumptions!K$96=Project_Register!$AL$16,Project_Register!$AO$16,0)</f>
        <v>0</v>
      </c>
      <c r="L432" s="58" t="n">
        <f aca="false">IF(Assumptions!L$96=Project_Register!$AL$16,Project_Register!$AO$16,0)</f>
        <v>0</v>
      </c>
      <c r="M432" s="58" t="n">
        <f aca="false">IF(Assumptions!M$96=Project_Register!$AL$16,Project_Register!$AO$16,0)</f>
        <v>0</v>
      </c>
      <c r="N432" s="58" t="n">
        <f aca="false">IF(Assumptions!N$96=Project_Register!$AL$16,Project_Register!$AO$16,0)</f>
        <v>0</v>
      </c>
      <c r="O432" s="58" t="n">
        <f aca="false">IF(Assumptions!O$96=Project_Register!$AL$16,Project_Register!$AO$16,0)</f>
        <v>390000</v>
      </c>
      <c r="P432" s="58" t="n">
        <f aca="false">IF(Assumptions!P$96=Project_Register!$AL$16,Project_Register!$AO$16,0)</f>
        <v>0</v>
      </c>
      <c r="Q432" s="58" t="n">
        <f aca="false">IF(Assumptions!Q$96=Project_Register!$AL$16,Project_Register!$AO$16,0)</f>
        <v>0</v>
      </c>
      <c r="R432" s="58" t="n">
        <f aca="false">IF(Assumptions!R$96=Project_Register!$AL$16,Project_Register!$AO$16,0)</f>
        <v>0</v>
      </c>
      <c r="S432" s="58" t="n">
        <f aca="false">IF(Assumptions!S$96=Project_Register!$AL$16,Project_Register!$AO$16,0)</f>
        <v>0</v>
      </c>
      <c r="T432" s="58" t="n">
        <f aca="false">IF(Assumptions!T$96=Project_Register!$AL$16,Project_Register!$AO$16,0)</f>
        <v>0</v>
      </c>
      <c r="U432" s="58" t="n">
        <f aca="false">IF(Assumptions!U$96=Project_Register!$AL$16,Project_Register!$AO$16,0)</f>
        <v>0</v>
      </c>
      <c r="V432" s="58" t="n">
        <f aca="false">IF(Assumptions!V$96=Project_Register!$AL$16,Project_Register!$AO$16,0)</f>
        <v>0</v>
      </c>
      <c r="W432" s="58" t="n">
        <f aca="false">IF(Assumptions!W$96=Project_Register!$AL$16,Project_Register!$AO$16,0)</f>
        <v>0</v>
      </c>
      <c r="X432" s="58" t="n">
        <f aca="false">IF(Assumptions!X$96=Project_Register!$AL$16,Project_Register!$AO$16,0)</f>
        <v>0</v>
      </c>
      <c r="Y432" s="58" t="n">
        <f aca="false">IF(Assumptions!Y$96=Project_Register!$AL$16,Project_Register!$AO$16,0)</f>
        <v>0</v>
      </c>
      <c r="Z432" s="58" t="n">
        <f aca="false">IF(Assumptions!Z$96=Project_Register!$AL$16,Project_Register!$AO$16,0)</f>
        <v>0</v>
      </c>
      <c r="AA432" s="58" t="n">
        <f aca="false">IF(Assumptions!AA$96=Project_Register!$AL$16,Project_Register!$AO$16,0)</f>
        <v>0</v>
      </c>
      <c r="AB432" s="58" t="n">
        <f aca="false">IF(Assumptions!AB$96=Project_Register!$AL$16,Project_Register!$AO$16,0)</f>
        <v>0</v>
      </c>
    </row>
    <row r="434" customFormat="false" ht="15" hidden="false" customHeight="false" outlineLevel="0" collapsed="false">
      <c r="A434" s="21" t="s">
        <v>787</v>
      </c>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row>
    <row r="435" customFormat="false" ht="15" hidden="false" customHeight="false" outlineLevel="0" collapsed="false">
      <c r="A435" s="27" t="s">
        <v>716</v>
      </c>
      <c r="B435" s="56" t="s">
        <v>717</v>
      </c>
      <c r="E435" s="104" t="n">
        <f aca="false">MIN(1,MAX(0,(Assumptions!E$96-Project_Register!$AJ$17+1)/(Project_Register!$AK$17-Project_Register!$AJ$17+1)))</f>
        <v>0</v>
      </c>
      <c r="F435" s="104" t="n">
        <f aca="false">MIN(1,MAX(0,(Assumptions!F$96-Project_Register!$AJ$17+1)/(Project_Register!$AK$17-Project_Register!$AJ$17+1)))</f>
        <v>0</v>
      </c>
      <c r="G435" s="104" t="n">
        <f aca="false">MIN(1,MAX(0,(Assumptions!G$96-Project_Register!$AJ$17+1)/(Project_Register!$AK$17-Project_Register!$AJ$17+1)))</f>
        <v>0</v>
      </c>
      <c r="H435" s="104" t="n">
        <f aca="false">MIN(1,MAX(0,(Assumptions!H$96-Project_Register!$AJ$17+1)/(Project_Register!$AK$17-Project_Register!$AJ$17+1)))</f>
        <v>0</v>
      </c>
      <c r="I435" s="104" t="n">
        <f aca="false">MIN(1,MAX(0,(Assumptions!I$96-Project_Register!$AJ$17+1)/(Project_Register!$AK$17-Project_Register!$AJ$17+1)))</f>
        <v>0</v>
      </c>
      <c r="J435" s="104" t="n">
        <f aca="false">MIN(1,MAX(0,(Assumptions!J$96-Project_Register!$AJ$17+1)/(Project_Register!$AK$17-Project_Register!$AJ$17+1)))</f>
        <v>0</v>
      </c>
      <c r="K435" s="104" t="n">
        <f aca="false">MIN(1,MAX(0,(Assumptions!K$96-Project_Register!$AJ$17+1)/(Project_Register!$AK$17-Project_Register!$AJ$17+1)))</f>
        <v>0</v>
      </c>
      <c r="L435" s="104" t="n">
        <f aca="false">MIN(1,MAX(0,(Assumptions!L$96-Project_Register!$AJ$17+1)/(Project_Register!$AK$17-Project_Register!$AJ$17+1)))</f>
        <v>0</v>
      </c>
      <c r="M435" s="104" t="n">
        <f aca="false">MIN(1,MAX(0,(Assumptions!M$96-Project_Register!$AJ$17+1)/(Project_Register!$AK$17-Project_Register!$AJ$17+1)))</f>
        <v>0</v>
      </c>
      <c r="N435" s="104" t="n">
        <f aca="false">MIN(1,MAX(0,(Assumptions!N$96-Project_Register!$AJ$17+1)/(Project_Register!$AK$17-Project_Register!$AJ$17+1)))</f>
        <v>0</v>
      </c>
      <c r="O435" s="104" t="n">
        <f aca="false">MIN(1,MAX(0,(Assumptions!O$96-Project_Register!$AJ$17+1)/(Project_Register!$AK$17-Project_Register!$AJ$17+1)))</f>
        <v>0</v>
      </c>
      <c r="P435" s="104" t="n">
        <f aca="false">MIN(1,MAX(0,(Assumptions!P$96-Project_Register!$AJ$17+1)/(Project_Register!$AK$17-Project_Register!$AJ$17+1)))</f>
        <v>0</v>
      </c>
      <c r="Q435" s="104" t="n">
        <f aca="false">MIN(1,MAX(0,(Assumptions!Q$96-Project_Register!$AJ$17+1)/(Project_Register!$AK$17-Project_Register!$AJ$17+1)))</f>
        <v>0</v>
      </c>
      <c r="R435" s="104" t="n">
        <f aca="false">MIN(1,MAX(0,(Assumptions!R$96-Project_Register!$AJ$17+1)/(Project_Register!$AK$17-Project_Register!$AJ$17+1)))</f>
        <v>0</v>
      </c>
      <c r="S435" s="104" t="n">
        <f aca="false">MIN(1,MAX(0,(Assumptions!S$96-Project_Register!$AJ$17+1)/(Project_Register!$AK$17-Project_Register!$AJ$17+1)))</f>
        <v>0</v>
      </c>
      <c r="T435" s="104" t="n">
        <f aca="false">MIN(1,MAX(0,(Assumptions!T$96-Project_Register!$AJ$17+1)/(Project_Register!$AK$17-Project_Register!$AJ$17+1)))</f>
        <v>0.166666666666667</v>
      </c>
      <c r="U435" s="104" t="n">
        <f aca="false">MIN(1,MAX(0,(Assumptions!U$96-Project_Register!$AJ$17+1)/(Project_Register!$AK$17-Project_Register!$AJ$17+1)))</f>
        <v>0.333333333333333</v>
      </c>
      <c r="V435" s="104" t="n">
        <f aca="false">MIN(1,MAX(0,(Assumptions!V$96-Project_Register!$AJ$17+1)/(Project_Register!$AK$17-Project_Register!$AJ$17+1)))</f>
        <v>0.5</v>
      </c>
      <c r="W435" s="104" t="n">
        <f aca="false">MIN(1,MAX(0,(Assumptions!W$96-Project_Register!$AJ$17+1)/(Project_Register!$AK$17-Project_Register!$AJ$17+1)))</f>
        <v>0.666666666666667</v>
      </c>
      <c r="X435" s="104" t="n">
        <f aca="false">MIN(1,MAX(0,(Assumptions!X$96-Project_Register!$AJ$17+1)/(Project_Register!$AK$17-Project_Register!$AJ$17+1)))</f>
        <v>0.833333333333333</v>
      </c>
      <c r="Y435" s="104" t="n">
        <f aca="false">MIN(1,MAX(0,(Assumptions!Y$96-Project_Register!$AJ$17+1)/(Project_Register!$AK$17-Project_Register!$AJ$17+1)))</f>
        <v>1</v>
      </c>
      <c r="Z435" s="104" t="n">
        <f aca="false">MIN(1,MAX(0,(Assumptions!Z$96-Project_Register!$AJ$17+1)/(Project_Register!$AK$17-Project_Register!$AJ$17+1)))</f>
        <v>1</v>
      </c>
      <c r="AA435" s="104" t="n">
        <f aca="false">MIN(1,MAX(0,(Assumptions!AA$96-Project_Register!$AJ$17+1)/(Project_Register!$AK$17-Project_Register!$AJ$17+1)))</f>
        <v>1</v>
      </c>
      <c r="AB435" s="104" t="n">
        <f aca="false">MIN(1,MAX(0,(Assumptions!AB$96-Project_Register!$AJ$17+1)/(Project_Register!$AK$17-Project_Register!$AJ$17+1)))</f>
        <v>1</v>
      </c>
    </row>
    <row r="436" customFormat="false" ht="15" hidden="false" customHeight="false" outlineLevel="0" collapsed="false">
      <c r="A436" s="27" t="s">
        <v>718</v>
      </c>
      <c r="B436" s="56" t="s">
        <v>719</v>
      </c>
      <c r="E436" s="105" t="n">
        <f aca="false">3*E435^2-2*E435^3</f>
        <v>0</v>
      </c>
      <c r="F436" s="105" t="n">
        <f aca="false">3*F435^2-2*F435^3</f>
        <v>0</v>
      </c>
      <c r="G436" s="105" t="n">
        <f aca="false">3*G435^2-2*G435^3</f>
        <v>0</v>
      </c>
      <c r="H436" s="105" t="n">
        <f aca="false">3*H435^2-2*H435^3</f>
        <v>0</v>
      </c>
      <c r="I436" s="105" t="n">
        <f aca="false">3*I435^2-2*I435^3</f>
        <v>0</v>
      </c>
      <c r="J436" s="105" t="n">
        <f aca="false">3*J435^2-2*J435^3</f>
        <v>0</v>
      </c>
      <c r="K436" s="105" t="n">
        <f aca="false">3*K435^2-2*K435^3</f>
        <v>0</v>
      </c>
      <c r="L436" s="105" t="n">
        <f aca="false">3*L435^2-2*L435^3</f>
        <v>0</v>
      </c>
      <c r="M436" s="105" t="n">
        <f aca="false">3*M435^2-2*M435^3</f>
        <v>0</v>
      </c>
      <c r="N436" s="105" t="n">
        <f aca="false">3*N435^2-2*N435^3</f>
        <v>0</v>
      </c>
      <c r="O436" s="105" t="n">
        <f aca="false">3*O435^2-2*O435^3</f>
        <v>0</v>
      </c>
      <c r="P436" s="105" t="n">
        <f aca="false">3*P435^2-2*P435^3</f>
        <v>0</v>
      </c>
      <c r="Q436" s="105" t="n">
        <f aca="false">3*Q435^2-2*Q435^3</f>
        <v>0</v>
      </c>
      <c r="R436" s="105" t="n">
        <f aca="false">3*R435^2-2*R435^3</f>
        <v>0</v>
      </c>
      <c r="S436" s="105" t="n">
        <f aca="false">3*S435^2-2*S435^3</f>
        <v>0</v>
      </c>
      <c r="T436" s="105" t="n">
        <f aca="false">3*T435^2-2*T435^3</f>
        <v>0.0740740740740741</v>
      </c>
      <c r="U436" s="105" t="n">
        <f aca="false">3*U435^2-2*U435^3</f>
        <v>0.259259259259259</v>
      </c>
      <c r="V436" s="105" t="n">
        <f aca="false">3*V435^2-2*V435^3</f>
        <v>0.5</v>
      </c>
      <c r="W436" s="105" t="n">
        <f aca="false">3*W435^2-2*W435^3</f>
        <v>0.740740740740741</v>
      </c>
      <c r="X436" s="105" t="n">
        <f aca="false">3*X435^2-2*X435^3</f>
        <v>0.925925925925926</v>
      </c>
      <c r="Y436" s="105" t="n">
        <f aca="false">3*Y435^2-2*Y435^3</f>
        <v>1</v>
      </c>
      <c r="Z436" s="105" t="n">
        <f aca="false">3*Z435^2-2*Z435^3</f>
        <v>1</v>
      </c>
      <c r="AA436" s="105" t="n">
        <f aca="false">3*AA435^2-2*AA435^3</f>
        <v>1</v>
      </c>
      <c r="AB436" s="105" t="n">
        <f aca="false">3*AB435^2-2*AB435^3</f>
        <v>1</v>
      </c>
    </row>
    <row r="437" customFormat="false" ht="15" hidden="false" customHeight="false" outlineLevel="0" collapsed="false">
      <c r="A437" s="27" t="s">
        <v>720</v>
      </c>
      <c r="B437" s="56"/>
      <c r="E437" s="104" t="n">
        <f aca="false">3*MIN(1,MAX(0,(Assumptions!E$96-Project_Register!$AJ$17)/(Project_Register!$AK$17-Project_Register!$AJ$17+1)))^2-2*MIN(1,MAX(0,(Assumptions!E$96-Project_Register!$AJ$17)/(Project_Register!$AK$17-Project_Register!$AJ$17+1)))^3</f>
        <v>0</v>
      </c>
      <c r="F437" s="104" t="n">
        <f aca="false">3*MIN(1,MAX(0,(Assumptions!F$96-Project_Register!$AJ$17)/(Project_Register!$AK$17-Project_Register!$AJ$17+1)))^2-2*MIN(1,MAX(0,(Assumptions!F$96-Project_Register!$AJ$17)/(Project_Register!$AK$17-Project_Register!$AJ$17+1)))^3</f>
        <v>0</v>
      </c>
      <c r="G437" s="104" t="n">
        <f aca="false">3*MIN(1,MAX(0,(Assumptions!G$96-Project_Register!$AJ$17)/(Project_Register!$AK$17-Project_Register!$AJ$17+1)))^2-2*MIN(1,MAX(0,(Assumptions!G$96-Project_Register!$AJ$17)/(Project_Register!$AK$17-Project_Register!$AJ$17+1)))^3</f>
        <v>0</v>
      </c>
      <c r="H437" s="104" t="n">
        <f aca="false">3*MIN(1,MAX(0,(Assumptions!H$96-Project_Register!$AJ$17)/(Project_Register!$AK$17-Project_Register!$AJ$17+1)))^2-2*MIN(1,MAX(0,(Assumptions!H$96-Project_Register!$AJ$17)/(Project_Register!$AK$17-Project_Register!$AJ$17+1)))^3</f>
        <v>0</v>
      </c>
      <c r="I437" s="104" t="n">
        <f aca="false">3*MIN(1,MAX(0,(Assumptions!I$96-Project_Register!$AJ$17)/(Project_Register!$AK$17-Project_Register!$AJ$17+1)))^2-2*MIN(1,MAX(0,(Assumptions!I$96-Project_Register!$AJ$17)/(Project_Register!$AK$17-Project_Register!$AJ$17+1)))^3</f>
        <v>0</v>
      </c>
      <c r="J437" s="104" t="n">
        <f aca="false">3*MIN(1,MAX(0,(Assumptions!J$96-Project_Register!$AJ$17)/(Project_Register!$AK$17-Project_Register!$AJ$17+1)))^2-2*MIN(1,MAX(0,(Assumptions!J$96-Project_Register!$AJ$17)/(Project_Register!$AK$17-Project_Register!$AJ$17+1)))^3</f>
        <v>0</v>
      </c>
      <c r="K437" s="104" t="n">
        <f aca="false">3*MIN(1,MAX(0,(Assumptions!K$96-Project_Register!$AJ$17)/(Project_Register!$AK$17-Project_Register!$AJ$17+1)))^2-2*MIN(1,MAX(0,(Assumptions!K$96-Project_Register!$AJ$17)/(Project_Register!$AK$17-Project_Register!$AJ$17+1)))^3</f>
        <v>0</v>
      </c>
      <c r="L437" s="104" t="n">
        <f aca="false">3*MIN(1,MAX(0,(Assumptions!L$96-Project_Register!$AJ$17)/(Project_Register!$AK$17-Project_Register!$AJ$17+1)))^2-2*MIN(1,MAX(0,(Assumptions!L$96-Project_Register!$AJ$17)/(Project_Register!$AK$17-Project_Register!$AJ$17+1)))^3</f>
        <v>0</v>
      </c>
      <c r="M437" s="104" t="n">
        <f aca="false">3*MIN(1,MAX(0,(Assumptions!M$96-Project_Register!$AJ$17)/(Project_Register!$AK$17-Project_Register!$AJ$17+1)))^2-2*MIN(1,MAX(0,(Assumptions!M$96-Project_Register!$AJ$17)/(Project_Register!$AK$17-Project_Register!$AJ$17+1)))^3</f>
        <v>0</v>
      </c>
      <c r="N437" s="104" t="n">
        <f aca="false">3*MIN(1,MAX(0,(Assumptions!N$96-Project_Register!$AJ$17)/(Project_Register!$AK$17-Project_Register!$AJ$17+1)))^2-2*MIN(1,MAX(0,(Assumptions!N$96-Project_Register!$AJ$17)/(Project_Register!$AK$17-Project_Register!$AJ$17+1)))^3</f>
        <v>0</v>
      </c>
      <c r="O437" s="104" t="n">
        <f aca="false">3*MIN(1,MAX(0,(Assumptions!O$96-Project_Register!$AJ$17)/(Project_Register!$AK$17-Project_Register!$AJ$17+1)))^2-2*MIN(1,MAX(0,(Assumptions!O$96-Project_Register!$AJ$17)/(Project_Register!$AK$17-Project_Register!$AJ$17+1)))^3</f>
        <v>0</v>
      </c>
      <c r="P437" s="104" t="n">
        <f aca="false">3*MIN(1,MAX(0,(Assumptions!P$96-Project_Register!$AJ$17)/(Project_Register!$AK$17-Project_Register!$AJ$17+1)))^2-2*MIN(1,MAX(0,(Assumptions!P$96-Project_Register!$AJ$17)/(Project_Register!$AK$17-Project_Register!$AJ$17+1)))^3</f>
        <v>0</v>
      </c>
      <c r="Q437" s="104" t="n">
        <f aca="false">3*MIN(1,MAX(0,(Assumptions!Q$96-Project_Register!$AJ$17)/(Project_Register!$AK$17-Project_Register!$AJ$17+1)))^2-2*MIN(1,MAX(0,(Assumptions!Q$96-Project_Register!$AJ$17)/(Project_Register!$AK$17-Project_Register!$AJ$17+1)))^3</f>
        <v>0</v>
      </c>
      <c r="R437" s="104" t="n">
        <f aca="false">3*MIN(1,MAX(0,(Assumptions!R$96-Project_Register!$AJ$17)/(Project_Register!$AK$17-Project_Register!$AJ$17+1)))^2-2*MIN(1,MAX(0,(Assumptions!R$96-Project_Register!$AJ$17)/(Project_Register!$AK$17-Project_Register!$AJ$17+1)))^3</f>
        <v>0</v>
      </c>
      <c r="S437" s="104" t="n">
        <f aca="false">3*MIN(1,MAX(0,(Assumptions!S$96-Project_Register!$AJ$17)/(Project_Register!$AK$17-Project_Register!$AJ$17+1)))^2-2*MIN(1,MAX(0,(Assumptions!S$96-Project_Register!$AJ$17)/(Project_Register!$AK$17-Project_Register!$AJ$17+1)))^3</f>
        <v>0</v>
      </c>
      <c r="T437" s="104" t="n">
        <f aca="false">3*MIN(1,MAX(0,(Assumptions!T$96-Project_Register!$AJ$17)/(Project_Register!$AK$17-Project_Register!$AJ$17+1)))^2-2*MIN(1,MAX(0,(Assumptions!T$96-Project_Register!$AJ$17)/(Project_Register!$AK$17-Project_Register!$AJ$17+1)))^3</f>
        <v>0</v>
      </c>
      <c r="U437" s="104" t="n">
        <f aca="false">3*MIN(1,MAX(0,(Assumptions!U$96-Project_Register!$AJ$17)/(Project_Register!$AK$17-Project_Register!$AJ$17+1)))^2-2*MIN(1,MAX(0,(Assumptions!U$96-Project_Register!$AJ$17)/(Project_Register!$AK$17-Project_Register!$AJ$17+1)))^3</f>
        <v>0.0740740740740741</v>
      </c>
      <c r="V437" s="104" t="n">
        <f aca="false">3*MIN(1,MAX(0,(Assumptions!V$96-Project_Register!$AJ$17)/(Project_Register!$AK$17-Project_Register!$AJ$17+1)))^2-2*MIN(1,MAX(0,(Assumptions!V$96-Project_Register!$AJ$17)/(Project_Register!$AK$17-Project_Register!$AJ$17+1)))^3</f>
        <v>0.259259259259259</v>
      </c>
      <c r="W437" s="104" t="n">
        <f aca="false">3*MIN(1,MAX(0,(Assumptions!W$96-Project_Register!$AJ$17)/(Project_Register!$AK$17-Project_Register!$AJ$17+1)))^2-2*MIN(1,MAX(0,(Assumptions!W$96-Project_Register!$AJ$17)/(Project_Register!$AK$17-Project_Register!$AJ$17+1)))^3</f>
        <v>0.5</v>
      </c>
      <c r="X437" s="104" t="n">
        <f aca="false">3*MIN(1,MAX(0,(Assumptions!X$96-Project_Register!$AJ$17)/(Project_Register!$AK$17-Project_Register!$AJ$17+1)))^2-2*MIN(1,MAX(0,(Assumptions!X$96-Project_Register!$AJ$17)/(Project_Register!$AK$17-Project_Register!$AJ$17+1)))^3</f>
        <v>0.740740740740741</v>
      </c>
      <c r="Y437" s="104" t="n">
        <f aca="false">3*MIN(1,MAX(0,(Assumptions!Y$96-Project_Register!$AJ$17)/(Project_Register!$AK$17-Project_Register!$AJ$17+1)))^2-2*MIN(1,MAX(0,(Assumptions!Y$96-Project_Register!$AJ$17)/(Project_Register!$AK$17-Project_Register!$AJ$17+1)))^3</f>
        <v>0.925925925925926</v>
      </c>
      <c r="Z437" s="104" t="n">
        <f aca="false">3*MIN(1,MAX(0,(Assumptions!Z$96-Project_Register!$AJ$17)/(Project_Register!$AK$17-Project_Register!$AJ$17+1)))^2-2*MIN(1,MAX(0,(Assumptions!Z$96-Project_Register!$AJ$17)/(Project_Register!$AK$17-Project_Register!$AJ$17+1)))^3</f>
        <v>1</v>
      </c>
      <c r="AA437" s="104" t="n">
        <f aca="false">3*MIN(1,MAX(0,(Assumptions!AA$96-Project_Register!$AJ$17)/(Project_Register!$AK$17-Project_Register!$AJ$17+1)))^2-2*MIN(1,MAX(0,(Assumptions!AA$96-Project_Register!$AJ$17)/(Project_Register!$AK$17-Project_Register!$AJ$17+1)))^3</f>
        <v>1</v>
      </c>
      <c r="AB437" s="104" t="n">
        <f aca="false">3*MIN(1,MAX(0,(Assumptions!AB$96-Project_Register!$AJ$17)/(Project_Register!$AK$17-Project_Register!$AJ$17+1)))^2-2*MIN(1,MAX(0,(Assumptions!AB$96-Project_Register!$AJ$17)/(Project_Register!$AK$17-Project_Register!$AJ$17+1)))^3</f>
        <v>1</v>
      </c>
    </row>
    <row r="438" customFormat="false" ht="15" hidden="false" customHeight="false" outlineLevel="0" collapsed="false">
      <c r="A438" s="27" t="s">
        <v>721</v>
      </c>
      <c r="B438" s="56" t="s">
        <v>722</v>
      </c>
      <c r="C438" s="57" t="n">
        <f aca="false">SUM(E438:P438)</f>
        <v>0</v>
      </c>
      <c r="D438" s="57" t="n">
        <f aca="false">SUM(Q438:AB438)</f>
        <v>53920</v>
      </c>
      <c r="E438" s="58" t="n">
        <f aca="false">IF(E$5="A",0,IF((Project_Register!$AT$17-Project_Register!$AQ$17)&lt;=0,0,IF(1-Project_Register!$AV$17&lt;=0.000001,IF(Assumptions!E$96=Assumptions!$C$10+1,(Project_Register!$AT$17-Project_Register!$AQ$17),0),(Project_Register!$AT$17-Project_Register!$AQ$17)*(E436-E437)/(1-Project_Register!$AV$17)))*Project_Register!$X$17)</f>
        <v>0</v>
      </c>
      <c r="F438" s="58" t="n">
        <f aca="false">IF(F$5="A",0,IF((Project_Register!$AT$17-Project_Register!$AQ$17)&lt;=0,0,IF(1-Project_Register!$AV$17&lt;=0.000001,IF(Assumptions!F$96=Assumptions!$C$10+1,(Project_Register!$AT$17-Project_Register!$AQ$17),0),(Project_Register!$AT$17-Project_Register!$AQ$17)*(F436-F437)/(1-Project_Register!$AV$17)))*Project_Register!$X$17)</f>
        <v>0</v>
      </c>
      <c r="G438" s="58" t="n">
        <f aca="false">IF(G$5="A",0,IF((Project_Register!$AT$17-Project_Register!$AQ$17)&lt;=0,0,IF(1-Project_Register!$AV$17&lt;=0.000001,IF(Assumptions!G$96=Assumptions!$C$10+1,(Project_Register!$AT$17-Project_Register!$AQ$17),0),(Project_Register!$AT$17-Project_Register!$AQ$17)*(G436-G437)/(1-Project_Register!$AV$17)))*Project_Register!$X$17)</f>
        <v>0</v>
      </c>
      <c r="H438" s="58" t="n">
        <f aca="false">IF(H$5="A",0,IF((Project_Register!$AT$17-Project_Register!$AQ$17)&lt;=0,0,IF(1-Project_Register!$AV$17&lt;=0.000001,IF(Assumptions!H$96=Assumptions!$C$10+1,(Project_Register!$AT$17-Project_Register!$AQ$17),0),(Project_Register!$AT$17-Project_Register!$AQ$17)*(H436-H437)/(1-Project_Register!$AV$17)))*Project_Register!$X$17)</f>
        <v>0</v>
      </c>
      <c r="I438" s="58" t="n">
        <f aca="false">IF(I$5="A",0,IF((Project_Register!$AT$17-Project_Register!$AQ$17)&lt;=0,0,IF(1-Project_Register!$AV$17&lt;=0.000001,IF(Assumptions!I$96=Assumptions!$C$10+1,(Project_Register!$AT$17-Project_Register!$AQ$17),0),(Project_Register!$AT$17-Project_Register!$AQ$17)*(I436-I437)/(1-Project_Register!$AV$17)))*Project_Register!$X$17)</f>
        <v>0</v>
      </c>
      <c r="J438" s="58" t="n">
        <f aca="false">IF(J$5="A",0,IF((Project_Register!$AT$17-Project_Register!$AQ$17)&lt;=0,0,IF(1-Project_Register!$AV$17&lt;=0.000001,IF(Assumptions!J$96=Assumptions!$C$10+1,(Project_Register!$AT$17-Project_Register!$AQ$17),0),(Project_Register!$AT$17-Project_Register!$AQ$17)*(J436-J437)/(1-Project_Register!$AV$17)))*Project_Register!$X$17)</f>
        <v>0</v>
      </c>
      <c r="K438" s="58" t="n">
        <f aca="false">IF(K$5="A",0,IF((Project_Register!$AT$17-Project_Register!$AQ$17)&lt;=0,0,IF(1-Project_Register!$AV$17&lt;=0.000001,IF(Assumptions!K$96=Assumptions!$C$10+1,(Project_Register!$AT$17-Project_Register!$AQ$17),0),(Project_Register!$AT$17-Project_Register!$AQ$17)*(K436-K437)/(1-Project_Register!$AV$17)))*Project_Register!$X$17)</f>
        <v>0</v>
      </c>
      <c r="L438" s="58" t="n">
        <f aca="false">IF(L$5="A",0,IF((Project_Register!$AT$17-Project_Register!$AQ$17)&lt;=0,0,IF(1-Project_Register!$AV$17&lt;=0.000001,IF(Assumptions!L$96=Assumptions!$C$10+1,(Project_Register!$AT$17-Project_Register!$AQ$17),0),(Project_Register!$AT$17-Project_Register!$AQ$17)*(L436-L437)/(1-Project_Register!$AV$17)))*Project_Register!$X$17)</f>
        <v>0</v>
      </c>
      <c r="M438" s="58" t="n">
        <f aca="false">IF(M$5="A",0,IF((Project_Register!$AT$17-Project_Register!$AQ$17)&lt;=0,0,IF(1-Project_Register!$AV$17&lt;=0.000001,IF(Assumptions!M$96=Assumptions!$C$10+1,(Project_Register!$AT$17-Project_Register!$AQ$17),0),(Project_Register!$AT$17-Project_Register!$AQ$17)*(M436-M437)/(1-Project_Register!$AV$17)))*Project_Register!$X$17)</f>
        <v>0</v>
      </c>
      <c r="N438" s="58" t="n">
        <f aca="false">IF(N$5="A",0,IF((Project_Register!$AT$17-Project_Register!$AQ$17)&lt;=0,0,IF(1-Project_Register!$AV$17&lt;=0.000001,IF(Assumptions!N$96=Assumptions!$C$10+1,(Project_Register!$AT$17-Project_Register!$AQ$17),0),(Project_Register!$AT$17-Project_Register!$AQ$17)*(N436-N437)/(1-Project_Register!$AV$17)))*Project_Register!$X$17)</f>
        <v>0</v>
      </c>
      <c r="O438" s="58" t="n">
        <f aca="false">IF(O$5="A",0,IF((Project_Register!$AT$17-Project_Register!$AQ$17)&lt;=0,0,IF(1-Project_Register!$AV$17&lt;=0.000001,IF(Assumptions!O$96=Assumptions!$C$10+1,(Project_Register!$AT$17-Project_Register!$AQ$17),0),(Project_Register!$AT$17-Project_Register!$AQ$17)*(O436-O437)/(1-Project_Register!$AV$17)))*Project_Register!$X$17)</f>
        <v>0</v>
      </c>
      <c r="P438" s="58" t="n">
        <f aca="false">IF(P$5="A",0,IF((Project_Register!$AT$17-Project_Register!$AQ$17)&lt;=0,0,IF(1-Project_Register!$AV$17&lt;=0.000001,IF(Assumptions!P$96=Assumptions!$C$10+1,(Project_Register!$AT$17-Project_Register!$AQ$17),0),(Project_Register!$AT$17-Project_Register!$AQ$17)*(P436-P437)/(1-Project_Register!$AV$17)))*Project_Register!$X$17)</f>
        <v>0</v>
      </c>
      <c r="Q438" s="58" t="n">
        <f aca="false">IF(Q$5="A",0,IF((Project_Register!$AT$17-Project_Register!$AQ$17)&lt;=0,0,IF(1-Project_Register!$AV$17&lt;=0.000001,IF(Assumptions!Q$96=Assumptions!$C$10+1,(Project_Register!$AT$17-Project_Register!$AQ$17),0),(Project_Register!$AT$17-Project_Register!$AQ$17)*(Q436-Q437)/(1-Project_Register!$AV$17)))*Project_Register!$X$17)</f>
        <v>0</v>
      </c>
      <c r="R438" s="58" t="n">
        <f aca="false">IF(R$5="A",0,IF((Project_Register!$AT$17-Project_Register!$AQ$17)&lt;=0,0,IF(1-Project_Register!$AV$17&lt;=0.000001,IF(Assumptions!R$96=Assumptions!$C$10+1,(Project_Register!$AT$17-Project_Register!$AQ$17),0),(Project_Register!$AT$17-Project_Register!$AQ$17)*(R436-R437)/(1-Project_Register!$AV$17)))*Project_Register!$X$17)</f>
        <v>0</v>
      </c>
      <c r="S438" s="58" t="n">
        <f aca="false">IF(S$5="A",0,IF((Project_Register!$AT$17-Project_Register!$AQ$17)&lt;=0,0,IF(1-Project_Register!$AV$17&lt;=0.000001,IF(Assumptions!S$96=Assumptions!$C$10+1,(Project_Register!$AT$17-Project_Register!$AQ$17),0),(Project_Register!$AT$17-Project_Register!$AQ$17)*(S436-S437)/(1-Project_Register!$AV$17)))*Project_Register!$X$17)</f>
        <v>0</v>
      </c>
      <c r="T438" s="58" t="n">
        <f aca="false">IF(T$5="A",0,IF((Project_Register!$AT$17-Project_Register!$AQ$17)&lt;=0,0,IF(1-Project_Register!$AV$17&lt;=0.000001,IF(Assumptions!T$96=Assumptions!$C$10+1,(Project_Register!$AT$17-Project_Register!$AQ$17),0),(Project_Register!$AT$17-Project_Register!$AQ$17)*(T436-T437)/(1-Project_Register!$AV$17)))*Project_Register!$X$17)</f>
        <v>3994.07407407407</v>
      </c>
      <c r="U438" s="58" t="n">
        <f aca="false">IF(U$5="A",0,IF((Project_Register!$AT$17-Project_Register!$AQ$17)&lt;=0,0,IF(1-Project_Register!$AV$17&lt;=0.000001,IF(Assumptions!U$96=Assumptions!$C$10+1,(Project_Register!$AT$17-Project_Register!$AQ$17),0),(Project_Register!$AT$17-Project_Register!$AQ$17)*(U436-U437)/(1-Project_Register!$AV$17)))*Project_Register!$X$17)</f>
        <v>9985.18518518518</v>
      </c>
      <c r="V438" s="58" t="n">
        <f aca="false">IF(V$5="A",0,IF((Project_Register!$AT$17-Project_Register!$AQ$17)&lt;=0,0,IF(1-Project_Register!$AV$17&lt;=0.000001,IF(Assumptions!V$96=Assumptions!$C$10+1,(Project_Register!$AT$17-Project_Register!$AQ$17),0),(Project_Register!$AT$17-Project_Register!$AQ$17)*(V436-V437)/(1-Project_Register!$AV$17)))*Project_Register!$X$17)</f>
        <v>12980.7407407407</v>
      </c>
      <c r="W438" s="58" t="n">
        <f aca="false">IF(W$5="A",0,IF((Project_Register!$AT$17-Project_Register!$AQ$17)&lt;=0,0,IF(1-Project_Register!$AV$17&lt;=0.000001,IF(Assumptions!W$96=Assumptions!$C$10+1,(Project_Register!$AT$17-Project_Register!$AQ$17),0),(Project_Register!$AT$17-Project_Register!$AQ$17)*(W436-W437)/(1-Project_Register!$AV$17)))*Project_Register!$X$17)</f>
        <v>12980.7407407407</v>
      </c>
      <c r="X438" s="58" t="n">
        <f aca="false">IF(X$5="A",0,IF((Project_Register!$AT$17-Project_Register!$AQ$17)&lt;=0,0,IF(1-Project_Register!$AV$17&lt;=0.000001,IF(Assumptions!X$96=Assumptions!$C$10+1,(Project_Register!$AT$17-Project_Register!$AQ$17),0),(Project_Register!$AT$17-Project_Register!$AQ$17)*(X436-X437)/(1-Project_Register!$AV$17)))*Project_Register!$X$17)</f>
        <v>9985.18518518518</v>
      </c>
      <c r="Y438" s="58" t="n">
        <f aca="false">IF(Y$5="A",0,IF((Project_Register!$AT$17-Project_Register!$AQ$17)&lt;=0,0,IF(1-Project_Register!$AV$17&lt;=0.000001,IF(Assumptions!Y$96=Assumptions!$C$10+1,(Project_Register!$AT$17-Project_Register!$AQ$17),0),(Project_Register!$AT$17-Project_Register!$AQ$17)*(Y436-Y437)/(1-Project_Register!$AV$17)))*Project_Register!$X$17)</f>
        <v>3994.07407407408</v>
      </c>
      <c r="Z438" s="58" t="n">
        <f aca="false">IF(Z$5="A",0,IF((Project_Register!$AT$17-Project_Register!$AQ$17)&lt;=0,0,IF(1-Project_Register!$AV$17&lt;=0.000001,IF(Assumptions!Z$96=Assumptions!$C$10+1,(Project_Register!$AT$17-Project_Register!$AQ$17),0),(Project_Register!$AT$17-Project_Register!$AQ$17)*(Z436-Z437)/(1-Project_Register!$AV$17)))*Project_Register!$X$17)</f>
        <v>0</v>
      </c>
      <c r="AA438" s="58" t="n">
        <f aca="false">IF(AA$5="A",0,IF((Project_Register!$AT$17-Project_Register!$AQ$17)&lt;=0,0,IF(1-Project_Register!$AV$17&lt;=0.000001,IF(Assumptions!AA$96=Assumptions!$C$10+1,(Project_Register!$AT$17-Project_Register!$AQ$17),0),(Project_Register!$AT$17-Project_Register!$AQ$17)*(AA436-AA437)/(1-Project_Register!$AV$17)))*Project_Register!$X$17)</f>
        <v>0</v>
      </c>
      <c r="AB438" s="58" t="n">
        <f aca="false">IF(AB$5="A",0,IF((Project_Register!$AT$17-Project_Register!$AQ$17)&lt;=0,0,IF(1-Project_Register!$AV$17&lt;=0.000001,IF(Assumptions!AB$96=Assumptions!$C$10+1,(Project_Register!$AT$17-Project_Register!$AQ$17),0),(Project_Register!$AT$17-Project_Register!$AQ$17)*(AB436-AB437)/(1-Project_Register!$AV$17)))*Project_Register!$X$17)</f>
        <v>0</v>
      </c>
    </row>
    <row r="439" customFormat="false" ht="15" hidden="false" customHeight="false" outlineLevel="0" collapsed="false">
      <c r="A439" s="27" t="s">
        <v>723</v>
      </c>
      <c r="B439" s="56" t="s">
        <v>722</v>
      </c>
      <c r="C439" s="57" t="n">
        <f aca="false">SUM(E439:P439)</f>
        <v>0</v>
      </c>
      <c r="D439" s="57" t="n">
        <f aca="false">SUM(Q439:AB439)</f>
        <v>168500</v>
      </c>
      <c r="E439" s="58" t="n">
        <f aca="false">IF(E$5="A",0,IF((Project_Register!$AT$17-Project_Register!$AQ$17)&lt;=0,0,IF(1-Project_Register!$AV$17&lt;=0.000001,IF(Assumptions!E$96=Assumptions!$C$10+1,(Project_Register!$AT$17-Project_Register!$AQ$17),0),(Project_Register!$AT$17-Project_Register!$AQ$17)*(E436-E437)/(1-Project_Register!$AV$17)))*Project_Register!$Y$17)</f>
        <v>0</v>
      </c>
      <c r="F439" s="58" t="n">
        <f aca="false">IF(F$5="A",0,IF((Project_Register!$AT$17-Project_Register!$AQ$17)&lt;=0,0,IF(1-Project_Register!$AV$17&lt;=0.000001,IF(Assumptions!F$96=Assumptions!$C$10+1,(Project_Register!$AT$17-Project_Register!$AQ$17),0),(Project_Register!$AT$17-Project_Register!$AQ$17)*(F436-F437)/(1-Project_Register!$AV$17)))*Project_Register!$Y$17)</f>
        <v>0</v>
      </c>
      <c r="G439" s="58" t="n">
        <f aca="false">IF(G$5="A",0,IF((Project_Register!$AT$17-Project_Register!$AQ$17)&lt;=0,0,IF(1-Project_Register!$AV$17&lt;=0.000001,IF(Assumptions!G$96=Assumptions!$C$10+1,(Project_Register!$AT$17-Project_Register!$AQ$17),0),(Project_Register!$AT$17-Project_Register!$AQ$17)*(G436-G437)/(1-Project_Register!$AV$17)))*Project_Register!$Y$17)</f>
        <v>0</v>
      </c>
      <c r="H439" s="58" t="n">
        <f aca="false">IF(H$5="A",0,IF((Project_Register!$AT$17-Project_Register!$AQ$17)&lt;=0,0,IF(1-Project_Register!$AV$17&lt;=0.000001,IF(Assumptions!H$96=Assumptions!$C$10+1,(Project_Register!$AT$17-Project_Register!$AQ$17),0),(Project_Register!$AT$17-Project_Register!$AQ$17)*(H436-H437)/(1-Project_Register!$AV$17)))*Project_Register!$Y$17)</f>
        <v>0</v>
      </c>
      <c r="I439" s="58" t="n">
        <f aca="false">IF(I$5="A",0,IF((Project_Register!$AT$17-Project_Register!$AQ$17)&lt;=0,0,IF(1-Project_Register!$AV$17&lt;=0.000001,IF(Assumptions!I$96=Assumptions!$C$10+1,(Project_Register!$AT$17-Project_Register!$AQ$17),0),(Project_Register!$AT$17-Project_Register!$AQ$17)*(I436-I437)/(1-Project_Register!$AV$17)))*Project_Register!$Y$17)</f>
        <v>0</v>
      </c>
      <c r="J439" s="58" t="n">
        <f aca="false">IF(J$5="A",0,IF((Project_Register!$AT$17-Project_Register!$AQ$17)&lt;=0,0,IF(1-Project_Register!$AV$17&lt;=0.000001,IF(Assumptions!J$96=Assumptions!$C$10+1,(Project_Register!$AT$17-Project_Register!$AQ$17),0),(Project_Register!$AT$17-Project_Register!$AQ$17)*(J436-J437)/(1-Project_Register!$AV$17)))*Project_Register!$Y$17)</f>
        <v>0</v>
      </c>
      <c r="K439" s="58" t="n">
        <f aca="false">IF(K$5="A",0,IF((Project_Register!$AT$17-Project_Register!$AQ$17)&lt;=0,0,IF(1-Project_Register!$AV$17&lt;=0.000001,IF(Assumptions!K$96=Assumptions!$C$10+1,(Project_Register!$AT$17-Project_Register!$AQ$17),0),(Project_Register!$AT$17-Project_Register!$AQ$17)*(K436-K437)/(1-Project_Register!$AV$17)))*Project_Register!$Y$17)</f>
        <v>0</v>
      </c>
      <c r="L439" s="58" t="n">
        <f aca="false">IF(L$5="A",0,IF((Project_Register!$AT$17-Project_Register!$AQ$17)&lt;=0,0,IF(1-Project_Register!$AV$17&lt;=0.000001,IF(Assumptions!L$96=Assumptions!$C$10+1,(Project_Register!$AT$17-Project_Register!$AQ$17),0),(Project_Register!$AT$17-Project_Register!$AQ$17)*(L436-L437)/(1-Project_Register!$AV$17)))*Project_Register!$Y$17)</f>
        <v>0</v>
      </c>
      <c r="M439" s="58" t="n">
        <f aca="false">IF(M$5="A",0,IF((Project_Register!$AT$17-Project_Register!$AQ$17)&lt;=0,0,IF(1-Project_Register!$AV$17&lt;=0.000001,IF(Assumptions!M$96=Assumptions!$C$10+1,(Project_Register!$AT$17-Project_Register!$AQ$17),0),(Project_Register!$AT$17-Project_Register!$AQ$17)*(M436-M437)/(1-Project_Register!$AV$17)))*Project_Register!$Y$17)</f>
        <v>0</v>
      </c>
      <c r="N439" s="58" t="n">
        <f aca="false">IF(N$5="A",0,IF((Project_Register!$AT$17-Project_Register!$AQ$17)&lt;=0,0,IF(1-Project_Register!$AV$17&lt;=0.000001,IF(Assumptions!N$96=Assumptions!$C$10+1,(Project_Register!$AT$17-Project_Register!$AQ$17),0),(Project_Register!$AT$17-Project_Register!$AQ$17)*(N436-N437)/(1-Project_Register!$AV$17)))*Project_Register!$Y$17)</f>
        <v>0</v>
      </c>
      <c r="O439" s="58" t="n">
        <f aca="false">IF(O$5="A",0,IF((Project_Register!$AT$17-Project_Register!$AQ$17)&lt;=0,0,IF(1-Project_Register!$AV$17&lt;=0.000001,IF(Assumptions!O$96=Assumptions!$C$10+1,(Project_Register!$AT$17-Project_Register!$AQ$17),0),(Project_Register!$AT$17-Project_Register!$AQ$17)*(O436-O437)/(1-Project_Register!$AV$17)))*Project_Register!$Y$17)</f>
        <v>0</v>
      </c>
      <c r="P439" s="58" t="n">
        <f aca="false">IF(P$5="A",0,IF((Project_Register!$AT$17-Project_Register!$AQ$17)&lt;=0,0,IF(1-Project_Register!$AV$17&lt;=0.000001,IF(Assumptions!P$96=Assumptions!$C$10+1,(Project_Register!$AT$17-Project_Register!$AQ$17),0),(Project_Register!$AT$17-Project_Register!$AQ$17)*(P436-P437)/(1-Project_Register!$AV$17)))*Project_Register!$Y$17)</f>
        <v>0</v>
      </c>
      <c r="Q439" s="58" t="n">
        <f aca="false">IF(Q$5="A",0,IF((Project_Register!$AT$17-Project_Register!$AQ$17)&lt;=0,0,IF(1-Project_Register!$AV$17&lt;=0.000001,IF(Assumptions!Q$96=Assumptions!$C$10+1,(Project_Register!$AT$17-Project_Register!$AQ$17),0),(Project_Register!$AT$17-Project_Register!$AQ$17)*(Q436-Q437)/(1-Project_Register!$AV$17)))*Project_Register!$Y$17)</f>
        <v>0</v>
      </c>
      <c r="R439" s="58" t="n">
        <f aca="false">IF(R$5="A",0,IF((Project_Register!$AT$17-Project_Register!$AQ$17)&lt;=0,0,IF(1-Project_Register!$AV$17&lt;=0.000001,IF(Assumptions!R$96=Assumptions!$C$10+1,(Project_Register!$AT$17-Project_Register!$AQ$17),0),(Project_Register!$AT$17-Project_Register!$AQ$17)*(R436-R437)/(1-Project_Register!$AV$17)))*Project_Register!$Y$17)</f>
        <v>0</v>
      </c>
      <c r="S439" s="58" t="n">
        <f aca="false">IF(S$5="A",0,IF((Project_Register!$AT$17-Project_Register!$AQ$17)&lt;=0,0,IF(1-Project_Register!$AV$17&lt;=0.000001,IF(Assumptions!S$96=Assumptions!$C$10+1,(Project_Register!$AT$17-Project_Register!$AQ$17),0),(Project_Register!$AT$17-Project_Register!$AQ$17)*(S436-S437)/(1-Project_Register!$AV$17)))*Project_Register!$Y$17)</f>
        <v>0</v>
      </c>
      <c r="T439" s="58" t="n">
        <f aca="false">IF(T$5="A",0,IF((Project_Register!$AT$17-Project_Register!$AQ$17)&lt;=0,0,IF(1-Project_Register!$AV$17&lt;=0.000001,IF(Assumptions!T$96=Assumptions!$C$10+1,(Project_Register!$AT$17-Project_Register!$AQ$17),0),(Project_Register!$AT$17-Project_Register!$AQ$17)*(T436-T437)/(1-Project_Register!$AV$17)))*Project_Register!$Y$17)</f>
        <v>12481.4814814815</v>
      </c>
      <c r="U439" s="58" t="n">
        <f aca="false">IF(U$5="A",0,IF((Project_Register!$AT$17-Project_Register!$AQ$17)&lt;=0,0,IF(1-Project_Register!$AV$17&lt;=0.000001,IF(Assumptions!U$96=Assumptions!$C$10+1,(Project_Register!$AT$17-Project_Register!$AQ$17),0),(Project_Register!$AT$17-Project_Register!$AQ$17)*(U436-U437)/(1-Project_Register!$AV$17)))*Project_Register!$Y$17)</f>
        <v>31203.7037037037</v>
      </c>
      <c r="V439" s="58" t="n">
        <f aca="false">IF(V$5="A",0,IF((Project_Register!$AT$17-Project_Register!$AQ$17)&lt;=0,0,IF(1-Project_Register!$AV$17&lt;=0.000001,IF(Assumptions!V$96=Assumptions!$C$10+1,(Project_Register!$AT$17-Project_Register!$AQ$17),0),(Project_Register!$AT$17-Project_Register!$AQ$17)*(V436-V437)/(1-Project_Register!$AV$17)))*Project_Register!$Y$17)</f>
        <v>40564.8148148148</v>
      </c>
      <c r="W439" s="58" t="n">
        <f aca="false">IF(W$5="A",0,IF((Project_Register!$AT$17-Project_Register!$AQ$17)&lt;=0,0,IF(1-Project_Register!$AV$17&lt;=0.000001,IF(Assumptions!W$96=Assumptions!$C$10+1,(Project_Register!$AT$17-Project_Register!$AQ$17),0),(Project_Register!$AT$17-Project_Register!$AQ$17)*(W436-W437)/(1-Project_Register!$AV$17)))*Project_Register!$Y$17)</f>
        <v>40564.8148148148</v>
      </c>
      <c r="X439" s="58" t="n">
        <f aca="false">IF(X$5="A",0,IF((Project_Register!$AT$17-Project_Register!$AQ$17)&lt;=0,0,IF(1-Project_Register!$AV$17&lt;=0.000001,IF(Assumptions!X$96=Assumptions!$C$10+1,(Project_Register!$AT$17-Project_Register!$AQ$17),0),(Project_Register!$AT$17-Project_Register!$AQ$17)*(X436-X437)/(1-Project_Register!$AV$17)))*Project_Register!$Y$17)</f>
        <v>31203.7037037037</v>
      </c>
      <c r="Y439" s="58" t="n">
        <f aca="false">IF(Y$5="A",0,IF((Project_Register!$AT$17-Project_Register!$AQ$17)&lt;=0,0,IF(1-Project_Register!$AV$17&lt;=0.000001,IF(Assumptions!Y$96=Assumptions!$C$10+1,(Project_Register!$AT$17-Project_Register!$AQ$17),0),(Project_Register!$AT$17-Project_Register!$AQ$17)*(Y436-Y437)/(1-Project_Register!$AV$17)))*Project_Register!$Y$17)</f>
        <v>12481.4814814815</v>
      </c>
      <c r="Z439" s="58" t="n">
        <f aca="false">IF(Z$5="A",0,IF((Project_Register!$AT$17-Project_Register!$AQ$17)&lt;=0,0,IF(1-Project_Register!$AV$17&lt;=0.000001,IF(Assumptions!Z$96=Assumptions!$C$10+1,(Project_Register!$AT$17-Project_Register!$AQ$17),0),(Project_Register!$AT$17-Project_Register!$AQ$17)*(Z436-Z437)/(1-Project_Register!$AV$17)))*Project_Register!$Y$17)</f>
        <v>0</v>
      </c>
      <c r="AA439" s="58" t="n">
        <f aca="false">IF(AA$5="A",0,IF((Project_Register!$AT$17-Project_Register!$AQ$17)&lt;=0,0,IF(1-Project_Register!$AV$17&lt;=0.000001,IF(Assumptions!AA$96=Assumptions!$C$10+1,(Project_Register!$AT$17-Project_Register!$AQ$17),0),(Project_Register!$AT$17-Project_Register!$AQ$17)*(AA436-AA437)/(1-Project_Register!$AV$17)))*Project_Register!$Y$17)</f>
        <v>0</v>
      </c>
      <c r="AB439" s="58" t="n">
        <f aca="false">IF(AB$5="A",0,IF((Project_Register!$AT$17-Project_Register!$AQ$17)&lt;=0,0,IF(1-Project_Register!$AV$17&lt;=0.000001,IF(Assumptions!AB$96=Assumptions!$C$10+1,(Project_Register!$AT$17-Project_Register!$AQ$17),0),(Project_Register!$AT$17-Project_Register!$AQ$17)*(AB436-AB437)/(1-Project_Register!$AV$17)))*Project_Register!$Y$17)</f>
        <v>0</v>
      </c>
    </row>
    <row r="440" customFormat="false" ht="15" hidden="false" customHeight="false" outlineLevel="0" collapsed="false">
      <c r="A440" s="27" t="s">
        <v>724</v>
      </c>
      <c r="B440" s="56" t="s">
        <v>722</v>
      </c>
      <c r="C440" s="57" t="n">
        <f aca="false">SUM(E440:P440)</f>
        <v>0</v>
      </c>
      <c r="D440" s="57" t="n">
        <f aca="false">SUM(Q440:AB440)</f>
        <v>80880</v>
      </c>
      <c r="E440" s="58" t="n">
        <f aca="false">IF(E$5="A",0,IF((Project_Register!$AT$17-Project_Register!$AQ$17)&lt;=0,0,IF(1-Project_Register!$AV$17&lt;=0.000001,IF(Assumptions!E$96=Assumptions!$C$10+1,(Project_Register!$AT$17-Project_Register!$AQ$17),0),(Project_Register!$AT$17-Project_Register!$AQ$17)*(E436-E437)/(1-Project_Register!$AV$17)))*Project_Register!$Z$17)</f>
        <v>0</v>
      </c>
      <c r="F440" s="58" t="n">
        <f aca="false">IF(F$5="A",0,IF((Project_Register!$AT$17-Project_Register!$AQ$17)&lt;=0,0,IF(1-Project_Register!$AV$17&lt;=0.000001,IF(Assumptions!F$96=Assumptions!$C$10+1,(Project_Register!$AT$17-Project_Register!$AQ$17),0),(Project_Register!$AT$17-Project_Register!$AQ$17)*(F436-F437)/(1-Project_Register!$AV$17)))*Project_Register!$Z$17)</f>
        <v>0</v>
      </c>
      <c r="G440" s="58" t="n">
        <f aca="false">IF(G$5="A",0,IF((Project_Register!$AT$17-Project_Register!$AQ$17)&lt;=0,0,IF(1-Project_Register!$AV$17&lt;=0.000001,IF(Assumptions!G$96=Assumptions!$C$10+1,(Project_Register!$AT$17-Project_Register!$AQ$17),0),(Project_Register!$AT$17-Project_Register!$AQ$17)*(G436-G437)/(1-Project_Register!$AV$17)))*Project_Register!$Z$17)</f>
        <v>0</v>
      </c>
      <c r="H440" s="58" t="n">
        <f aca="false">IF(H$5="A",0,IF((Project_Register!$AT$17-Project_Register!$AQ$17)&lt;=0,0,IF(1-Project_Register!$AV$17&lt;=0.000001,IF(Assumptions!H$96=Assumptions!$C$10+1,(Project_Register!$AT$17-Project_Register!$AQ$17),0),(Project_Register!$AT$17-Project_Register!$AQ$17)*(H436-H437)/(1-Project_Register!$AV$17)))*Project_Register!$Z$17)</f>
        <v>0</v>
      </c>
      <c r="I440" s="58" t="n">
        <f aca="false">IF(I$5="A",0,IF((Project_Register!$AT$17-Project_Register!$AQ$17)&lt;=0,0,IF(1-Project_Register!$AV$17&lt;=0.000001,IF(Assumptions!I$96=Assumptions!$C$10+1,(Project_Register!$AT$17-Project_Register!$AQ$17),0),(Project_Register!$AT$17-Project_Register!$AQ$17)*(I436-I437)/(1-Project_Register!$AV$17)))*Project_Register!$Z$17)</f>
        <v>0</v>
      </c>
      <c r="J440" s="58" t="n">
        <f aca="false">IF(J$5="A",0,IF((Project_Register!$AT$17-Project_Register!$AQ$17)&lt;=0,0,IF(1-Project_Register!$AV$17&lt;=0.000001,IF(Assumptions!J$96=Assumptions!$C$10+1,(Project_Register!$AT$17-Project_Register!$AQ$17),0),(Project_Register!$AT$17-Project_Register!$AQ$17)*(J436-J437)/(1-Project_Register!$AV$17)))*Project_Register!$Z$17)</f>
        <v>0</v>
      </c>
      <c r="K440" s="58" t="n">
        <f aca="false">IF(K$5="A",0,IF((Project_Register!$AT$17-Project_Register!$AQ$17)&lt;=0,0,IF(1-Project_Register!$AV$17&lt;=0.000001,IF(Assumptions!K$96=Assumptions!$C$10+1,(Project_Register!$AT$17-Project_Register!$AQ$17),0),(Project_Register!$AT$17-Project_Register!$AQ$17)*(K436-K437)/(1-Project_Register!$AV$17)))*Project_Register!$Z$17)</f>
        <v>0</v>
      </c>
      <c r="L440" s="58" t="n">
        <f aca="false">IF(L$5="A",0,IF((Project_Register!$AT$17-Project_Register!$AQ$17)&lt;=0,0,IF(1-Project_Register!$AV$17&lt;=0.000001,IF(Assumptions!L$96=Assumptions!$C$10+1,(Project_Register!$AT$17-Project_Register!$AQ$17),0),(Project_Register!$AT$17-Project_Register!$AQ$17)*(L436-L437)/(1-Project_Register!$AV$17)))*Project_Register!$Z$17)</f>
        <v>0</v>
      </c>
      <c r="M440" s="58" t="n">
        <f aca="false">IF(M$5="A",0,IF((Project_Register!$AT$17-Project_Register!$AQ$17)&lt;=0,0,IF(1-Project_Register!$AV$17&lt;=0.000001,IF(Assumptions!M$96=Assumptions!$C$10+1,(Project_Register!$AT$17-Project_Register!$AQ$17),0),(Project_Register!$AT$17-Project_Register!$AQ$17)*(M436-M437)/(1-Project_Register!$AV$17)))*Project_Register!$Z$17)</f>
        <v>0</v>
      </c>
      <c r="N440" s="58" t="n">
        <f aca="false">IF(N$5="A",0,IF((Project_Register!$AT$17-Project_Register!$AQ$17)&lt;=0,0,IF(1-Project_Register!$AV$17&lt;=0.000001,IF(Assumptions!N$96=Assumptions!$C$10+1,(Project_Register!$AT$17-Project_Register!$AQ$17),0),(Project_Register!$AT$17-Project_Register!$AQ$17)*(N436-N437)/(1-Project_Register!$AV$17)))*Project_Register!$Z$17)</f>
        <v>0</v>
      </c>
      <c r="O440" s="58" t="n">
        <f aca="false">IF(O$5="A",0,IF((Project_Register!$AT$17-Project_Register!$AQ$17)&lt;=0,0,IF(1-Project_Register!$AV$17&lt;=0.000001,IF(Assumptions!O$96=Assumptions!$C$10+1,(Project_Register!$AT$17-Project_Register!$AQ$17),0),(Project_Register!$AT$17-Project_Register!$AQ$17)*(O436-O437)/(1-Project_Register!$AV$17)))*Project_Register!$Z$17)</f>
        <v>0</v>
      </c>
      <c r="P440" s="58" t="n">
        <f aca="false">IF(P$5="A",0,IF((Project_Register!$AT$17-Project_Register!$AQ$17)&lt;=0,0,IF(1-Project_Register!$AV$17&lt;=0.000001,IF(Assumptions!P$96=Assumptions!$C$10+1,(Project_Register!$AT$17-Project_Register!$AQ$17),0),(Project_Register!$AT$17-Project_Register!$AQ$17)*(P436-P437)/(1-Project_Register!$AV$17)))*Project_Register!$Z$17)</f>
        <v>0</v>
      </c>
      <c r="Q440" s="58" t="n">
        <f aca="false">IF(Q$5="A",0,IF((Project_Register!$AT$17-Project_Register!$AQ$17)&lt;=0,0,IF(1-Project_Register!$AV$17&lt;=0.000001,IF(Assumptions!Q$96=Assumptions!$C$10+1,(Project_Register!$AT$17-Project_Register!$AQ$17),0),(Project_Register!$AT$17-Project_Register!$AQ$17)*(Q436-Q437)/(1-Project_Register!$AV$17)))*Project_Register!$Z$17)</f>
        <v>0</v>
      </c>
      <c r="R440" s="58" t="n">
        <f aca="false">IF(R$5="A",0,IF((Project_Register!$AT$17-Project_Register!$AQ$17)&lt;=0,0,IF(1-Project_Register!$AV$17&lt;=0.000001,IF(Assumptions!R$96=Assumptions!$C$10+1,(Project_Register!$AT$17-Project_Register!$AQ$17),0),(Project_Register!$AT$17-Project_Register!$AQ$17)*(R436-R437)/(1-Project_Register!$AV$17)))*Project_Register!$Z$17)</f>
        <v>0</v>
      </c>
      <c r="S440" s="58" t="n">
        <f aca="false">IF(S$5="A",0,IF((Project_Register!$AT$17-Project_Register!$AQ$17)&lt;=0,0,IF(1-Project_Register!$AV$17&lt;=0.000001,IF(Assumptions!S$96=Assumptions!$C$10+1,(Project_Register!$AT$17-Project_Register!$AQ$17),0),(Project_Register!$AT$17-Project_Register!$AQ$17)*(S436-S437)/(1-Project_Register!$AV$17)))*Project_Register!$Z$17)</f>
        <v>0</v>
      </c>
      <c r="T440" s="58" t="n">
        <f aca="false">IF(T$5="A",0,IF((Project_Register!$AT$17-Project_Register!$AQ$17)&lt;=0,0,IF(1-Project_Register!$AV$17&lt;=0.000001,IF(Assumptions!T$96=Assumptions!$C$10+1,(Project_Register!$AT$17-Project_Register!$AQ$17),0),(Project_Register!$AT$17-Project_Register!$AQ$17)*(T436-T437)/(1-Project_Register!$AV$17)))*Project_Register!$Z$17)</f>
        <v>5991.11111111111</v>
      </c>
      <c r="U440" s="58" t="n">
        <f aca="false">IF(U$5="A",0,IF((Project_Register!$AT$17-Project_Register!$AQ$17)&lt;=0,0,IF(1-Project_Register!$AV$17&lt;=0.000001,IF(Assumptions!U$96=Assumptions!$C$10+1,(Project_Register!$AT$17-Project_Register!$AQ$17),0),(Project_Register!$AT$17-Project_Register!$AQ$17)*(U436-U437)/(1-Project_Register!$AV$17)))*Project_Register!$Z$17)</f>
        <v>14977.7777777778</v>
      </c>
      <c r="V440" s="58" t="n">
        <f aca="false">IF(V$5="A",0,IF((Project_Register!$AT$17-Project_Register!$AQ$17)&lt;=0,0,IF(1-Project_Register!$AV$17&lt;=0.000001,IF(Assumptions!V$96=Assumptions!$C$10+1,(Project_Register!$AT$17-Project_Register!$AQ$17),0),(Project_Register!$AT$17-Project_Register!$AQ$17)*(V436-V437)/(1-Project_Register!$AV$17)))*Project_Register!$Z$17)</f>
        <v>19471.1111111111</v>
      </c>
      <c r="W440" s="58" t="n">
        <f aca="false">IF(W$5="A",0,IF((Project_Register!$AT$17-Project_Register!$AQ$17)&lt;=0,0,IF(1-Project_Register!$AV$17&lt;=0.000001,IF(Assumptions!W$96=Assumptions!$C$10+1,(Project_Register!$AT$17-Project_Register!$AQ$17),0),(Project_Register!$AT$17-Project_Register!$AQ$17)*(W436-W437)/(1-Project_Register!$AV$17)))*Project_Register!$Z$17)</f>
        <v>19471.1111111111</v>
      </c>
      <c r="X440" s="58" t="n">
        <f aca="false">IF(X$5="A",0,IF((Project_Register!$AT$17-Project_Register!$AQ$17)&lt;=0,0,IF(1-Project_Register!$AV$17&lt;=0.000001,IF(Assumptions!X$96=Assumptions!$C$10+1,(Project_Register!$AT$17-Project_Register!$AQ$17),0),(Project_Register!$AT$17-Project_Register!$AQ$17)*(X436-X437)/(1-Project_Register!$AV$17)))*Project_Register!$Z$17)</f>
        <v>14977.7777777778</v>
      </c>
      <c r="Y440" s="58" t="n">
        <f aca="false">IF(Y$5="A",0,IF((Project_Register!$AT$17-Project_Register!$AQ$17)&lt;=0,0,IF(1-Project_Register!$AV$17&lt;=0.000001,IF(Assumptions!Y$96=Assumptions!$C$10+1,(Project_Register!$AT$17-Project_Register!$AQ$17),0),(Project_Register!$AT$17-Project_Register!$AQ$17)*(Y436-Y437)/(1-Project_Register!$AV$17)))*Project_Register!$Z$17)</f>
        <v>5991.11111111112</v>
      </c>
      <c r="Z440" s="58" t="n">
        <f aca="false">IF(Z$5="A",0,IF((Project_Register!$AT$17-Project_Register!$AQ$17)&lt;=0,0,IF(1-Project_Register!$AV$17&lt;=0.000001,IF(Assumptions!Z$96=Assumptions!$C$10+1,(Project_Register!$AT$17-Project_Register!$AQ$17),0),(Project_Register!$AT$17-Project_Register!$AQ$17)*(Z436-Z437)/(1-Project_Register!$AV$17)))*Project_Register!$Z$17)</f>
        <v>0</v>
      </c>
      <c r="AA440" s="58" t="n">
        <f aca="false">IF(AA$5="A",0,IF((Project_Register!$AT$17-Project_Register!$AQ$17)&lt;=0,0,IF(1-Project_Register!$AV$17&lt;=0.000001,IF(Assumptions!AA$96=Assumptions!$C$10+1,(Project_Register!$AT$17-Project_Register!$AQ$17),0),(Project_Register!$AT$17-Project_Register!$AQ$17)*(AA436-AA437)/(1-Project_Register!$AV$17)))*Project_Register!$Z$17)</f>
        <v>0</v>
      </c>
      <c r="AB440" s="58" t="n">
        <f aca="false">IF(AB$5="A",0,IF((Project_Register!$AT$17-Project_Register!$AQ$17)&lt;=0,0,IF(1-Project_Register!$AV$17&lt;=0.000001,IF(Assumptions!AB$96=Assumptions!$C$10+1,(Project_Register!$AT$17-Project_Register!$AQ$17),0),(Project_Register!$AT$17-Project_Register!$AQ$17)*(AB436-AB437)/(1-Project_Register!$AV$17)))*Project_Register!$Z$17)</f>
        <v>0</v>
      </c>
    </row>
    <row r="441" customFormat="false" ht="15" hidden="false" customHeight="false" outlineLevel="0" collapsed="false">
      <c r="A441" s="27" t="s">
        <v>725</v>
      </c>
      <c r="B441" s="56" t="s">
        <v>722</v>
      </c>
      <c r="C441" s="57" t="n">
        <f aca="false">SUM(E441:P441)</f>
        <v>0</v>
      </c>
      <c r="D441" s="57" t="n">
        <f aca="false">SUM(Q441:AB441)</f>
        <v>10110</v>
      </c>
      <c r="E441" s="58" t="n">
        <f aca="false">IF(E$5="A",0,IF((Project_Register!$AT$17-Project_Register!$AQ$17)&lt;=0,0,IF(1-Project_Register!$AV$17&lt;=0.000001,IF(Assumptions!E$96=Assumptions!$C$10+1,(Project_Register!$AT$17-Project_Register!$AQ$17),0),(Project_Register!$AT$17-Project_Register!$AQ$17)*(E436-E437)/(1-Project_Register!$AV$17)))*Project_Register!$AA$17)</f>
        <v>0</v>
      </c>
      <c r="F441" s="58" t="n">
        <f aca="false">IF(F$5="A",0,IF((Project_Register!$AT$17-Project_Register!$AQ$17)&lt;=0,0,IF(1-Project_Register!$AV$17&lt;=0.000001,IF(Assumptions!F$96=Assumptions!$C$10+1,(Project_Register!$AT$17-Project_Register!$AQ$17),0),(Project_Register!$AT$17-Project_Register!$AQ$17)*(F436-F437)/(1-Project_Register!$AV$17)))*Project_Register!$AA$17)</f>
        <v>0</v>
      </c>
      <c r="G441" s="58" t="n">
        <f aca="false">IF(G$5="A",0,IF((Project_Register!$AT$17-Project_Register!$AQ$17)&lt;=0,0,IF(1-Project_Register!$AV$17&lt;=0.000001,IF(Assumptions!G$96=Assumptions!$C$10+1,(Project_Register!$AT$17-Project_Register!$AQ$17),0),(Project_Register!$AT$17-Project_Register!$AQ$17)*(G436-G437)/(1-Project_Register!$AV$17)))*Project_Register!$AA$17)</f>
        <v>0</v>
      </c>
      <c r="H441" s="58" t="n">
        <f aca="false">IF(H$5="A",0,IF((Project_Register!$AT$17-Project_Register!$AQ$17)&lt;=0,0,IF(1-Project_Register!$AV$17&lt;=0.000001,IF(Assumptions!H$96=Assumptions!$C$10+1,(Project_Register!$AT$17-Project_Register!$AQ$17),0),(Project_Register!$AT$17-Project_Register!$AQ$17)*(H436-H437)/(1-Project_Register!$AV$17)))*Project_Register!$AA$17)</f>
        <v>0</v>
      </c>
      <c r="I441" s="58" t="n">
        <f aca="false">IF(I$5="A",0,IF((Project_Register!$AT$17-Project_Register!$AQ$17)&lt;=0,0,IF(1-Project_Register!$AV$17&lt;=0.000001,IF(Assumptions!I$96=Assumptions!$C$10+1,(Project_Register!$AT$17-Project_Register!$AQ$17),0),(Project_Register!$AT$17-Project_Register!$AQ$17)*(I436-I437)/(1-Project_Register!$AV$17)))*Project_Register!$AA$17)</f>
        <v>0</v>
      </c>
      <c r="J441" s="58" t="n">
        <f aca="false">IF(J$5="A",0,IF((Project_Register!$AT$17-Project_Register!$AQ$17)&lt;=0,0,IF(1-Project_Register!$AV$17&lt;=0.000001,IF(Assumptions!J$96=Assumptions!$C$10+1,(Project_Register!$AT$17-Project_Register!$AQ$17),0),(Project_Register!$AT$17-Project_Register!$AQ$17)*(J436-J437)/(1-Project_Register!$AV$17)))*Project_Register!$AA$17)</f>
        <v>0</v>
      </c>
      <c r="K441" s="58" t="n">
        <f aca="false">IF(K$5="A",0,IF((Project_Register!$AT$17-Project_Register!$AQ$17)&lt;=0,0,IF(1-Project_Register!$AV$17&lt;=0.000001,IF(Assumptions!K$96=Assumptions!$C$10+1,(Project_Register!$AT$17-Project_Register!$AQ$17),0),(Project_Register!$AT$17-Project_Register!$AQ$17)*(K436-K437)/(1-Project_Register!$AV$17)))*Project_Register!$AA$17)</f>
        <v>0</v>
      </c>
      <c r="L441" s="58" t="n">
        <f aca="false">IF(L$5="A",0,IF((Project_Register!$AT$17-Project_Register!$AQ$17)&lt;=0,0,IF(1-Project_Register!$AV$17&lt;=0.000001,IF(Assumptions!L$96=Assumptions!$C$10+1,(Project_Register!$AT$17-Project_Register!$AQ$17),0),(Project_Register!$AT$17-Project_Register!$AQ$17)*(L436-L437)/(1-Project_Register!$AV$17)))*Project_Register!$AA$17)</f>
        <v>0</v>
      </c>
      <c r="M441" s="58" t="n">
        <f aca="false">IF(M$5="A",0,IF((Project_Register!$AT$17-Project_Register!$AQ$17)&lt;=0,0,IF(1-Project_Register!$AV$17&lt;=0.000001,IF(Assumptions!M$96=Assumptions!$C$10+1,(Project_Register!$AT$17-Project_Register!$AQ$17),0),(Project_Register!$AT$17-Project_Register!$AQ$17)*(M436-M437)/(1-Project_Register!$AV$17)))*Project_Register!$AA$17)</f>
        <v>0</v>
      </c>
      <c r="N441" s="58" t="n">
        <f aca="false">IF(N$5="A",0,IF((Project_Register!$AT$17-Project_Register!$AQ$17)&lt;=0,0,IF(1-Project_Register!$AV$17&lt;=0.000001,IF(Assumptions!N$96=Assumptions!$C$10+1,(Project_Register!$AT$17-Project_Register!$AQ$17),0),(Project_Register!$AT$17-Project_Register!$AQ$17)*(N436-N437)/(1-Project_Register!$AV$17)))*Project_Register!$AA$17)</f>
        <v>0</v>
      </c>
      <c r="O441" s="58" t="n">
        <f aca="false">IF(O$5="A",0,IF((Project_Register!$AT$17-Project_Register!$AQ$17)&lt;=0,0,IF(1-Project_Register!$AV$17&lt;=0.000001,IF(Assumptions!O$96=Assumptions!$C$10+1,(Project_Register!$AT$17-Project_Register!$AQ$17),0),(Project_Register!$AT$17-Project_Register!$AQ$17)*(O436-O437)/(1-Project_Register!$AV$17)))*Project_Register!$AA$17)</f>
        <v>0</v>
      </c>
      <c r="P441" s="58" t="n">
        <f aca="false">IF(P$5="A",0,IF((Project_Register!$AT$17-Project_Register!$AQ$17)&lt;=0,0,IF(1-Project_Register!$AV$17&lt;=0.000001,IF(Assumptions!P$96=Assumptions!$C$10+1,(Project_Register!$AT$17-Project_Register!$AQ$17),0),(Project_Register!$AT$17-Project_Register!$AQ$17)*(P436-P437)/(1-Project_Register!$AV$17)))*Project_Register!$AA$17)</f>
        <v>0</v>
      </c>
      <c r="Q441" s="58" t="n">
        <f aca="false">IF(Q$5="A",0,IF((Project_Register!$AT$17-Project_Register!$AQ$17)&lt;=0,0,IF(1-Project_Register!$AV$17&lt;=0.000001,IF(Assumptions!Q$96=Assumptions!$C$10+1,(Project_Register!$AT$17-Project_Register!$AQ$17),0),(Project_Register!$AT$17-Project_Register!$AQ$17)*(Q436-Q437)/(1-Project_Register!$AV$17)))*Project_Register!$AA$17)</f>
        <v>0</v>
      </c>
      <c r="R441" s="58" t="n">
        <f aca="false">IF(R$5="A",0,IF((Project_Register!$AT$17-Project_Register!$AQ$17)&lt;=0,0,IF(1-Project_Register!$AV$17&lt;=0.000001,IF(Assumptions!R$96=Assumptions!$C$10+1,(Project_Register!$AT$17-Project_Register!$AQ$17),0),(Project_Register!$AT$17-Project_Register!$AQ$17)*(R436-R437)/(1-Project_Register!$AV$17)))*Project_Register!$AA$17)</f>
        <v>0</v>
      </c>
      <c r="S441" s="58" t="n">
        <f aca="false">IF(S$5="A",0,IF((Project_Register!$AT$17-Project_Register!$AQ$17)&lt;=0,0,IF(1-Project_Register!$AV$17&lt;=0.000001,IF(Assumptions!S$96=Assumptions!$C$10+1,(Project_Register!$AT$17-Project_Register!$AQ$17),0),(Project_Register!$AT$17-Project_Register!$AQ$17)*(S436-S437)/(1-Project_Register!$AV$17)))*Project_Register!$AA$17)</f>
        <v>0</v>
      </c>
      <c r="T441" s="58" t="n">
        <f aca="false">IF(T$5="A",0,IF((Project_Register!$AT$17-Project_Register!$AQ$17)&lt;=0,0,IF(1-Project_Register!$AV$17&lt;=0.000001,IF(Assumptions!T$96=Assumptions!$C$10+1,(Project_Register!$AT$17-Project_Register!$AQ$17),0),(Project_Register!$AT$17-Project_Register!$AQ$17)*(T436-T437)/(1-Project_Register!$AV$17)))*Project_Register!$AA$17)</f>
        <v>748.888888888889</v>
      </c>
      <c r="U441" s="58" t="n">
        <f aca="false">IF(U$5="A",0,IF((Project_Register!$AT$17-Project_Register!$AQ$17)&lt;=0,0,IF(1-Project_Register!$AV$17&lt;=0.000001,IF(Assumptions!U$96=Assumptions!$C$10+1,(Project_Register!$AT$17-Project_Register!$AQ$17),0),(Project_Register!$AT$17-Project_Register!$AQ$17)*(U436-U437)/(1-Project_Register!$AV$17)))*Project_Register!$AA$17)</f>
        <v>1872.22222222222</v>
      </c>
      <c r="V441" s="58" t="n">
        <f aca="false">IF(V$5="A",0,IF((Project_Register!$AT$17-Project_Register!$AQ$17)&lt;=0,0,IF(1-Project_Register!$AV$17&lt;=0.000001,IF(Assumptions!V$96=Assumptions!$C$10+1,(Project_Register!$AT$17-Project_Register!$AQ$17),0),(Project_Register!$AT$17-Project_Register!$AQ$17)*(V436-V437)/(1-Project_Register!$AV$17)))*Project_Register!$AA$17)</f>
        <v>2433.88888888889</v>
      </c>
      <c r="W441" s="58" t="n">
        <f aca="false">IF(W$5="A",0,IF((Project_Register!$AT$17-Project_Register!$AQ$17)&lt;=0,0,IF(1-Project_Register!$AV$17&lt;=0.000001,IF(Assumptions!W$96=Assumptions!$C$10+1,(Project_Register!$AT$17-Project_Register!$AQ$17),0),(Project_Register!$AT$17-Project_Register!$AQ$17)*(W436-W437)/(1-Project_Register!$AV$17)))*Project_Register!$AA$17)</f>
        <v>2433.88888888889</v>
      </c>
      <c r="X441" s="58" t="n">
        <f aca="false">IF(X$5="A",0,IF((Project_Register!$AT$17-Project_Register!$AQ$17)&lt;=0,0,IF(1-Project_Register!$AV$17&lt;=0.000001,IF(Assumptions!X$96=Assumptions!$C$10+1,(Project_Register!$AT$17-Project_Register!$AQ$17),0),(Project_Register!$AT$17-Project_Register!$AQ$17)*(X436-X437)/(1-Project_Register!$AV$17)))*Project_Register!$AA$17)</f>
        <v>1872.22222222222</v>
      </c>
      <c r="Y441" s="58" t="n">
        <f aca="false">IF(Y$5="A",0,IF((Project_Register!$AT$17-Project_Register!$AQ$17)&lt;=0,0,IF(1-Project_Register!$AV$17&lt;=0.000001,IF(Assumptions!Y$96=Assumptions!$C$10+1,(Project_Register!$AT$17-Project_Register!$AQ$17),0),(Project_Register!$AT$17-Project_Register!$AQ$17)*(Y436-Y437)/(1-Project_Register!$AV$17)))*Project_Register!$AA$17)</f>
        <v>748.88888888889</v>
      </c>
      <c r="Z441" s="58" t="n">
        <f aca="false">IF(Z$5="A",0,IF((Project_Register!$AT$17-Project_Register!$AQ$17)&lt;=0,0,IF(1-Project_Register!$AV$17&lt;=0.000001,IF(Assumptions!Z$96=Assumptions!$C$10+1,(Project_Register!$AT$17-Project_Register!$AQ$17),0),(Project_Register!$AT$17-Project_Register!$AQ$17)*(Z436-Z437)/(1-Project_Register!$AV$17)))*Project_Register!$AA$17)</f>
        <v>0</v>
      </c>
      <c r="AA441" s="58" t="n">
        <f aca="false">IF(AA$5="A",0,IF((Project_Register!$AT$17-Project_Register!$AQ$17)&lt;=0,0,IF(1-Project_Register!$AV$17&lt;=0.000001,IF(Assumptions!AA$96=Assumptions!$C$10+1,(Project_Register!$AT$17-Project_Register!$AQ$17),0),(Project_Register!$AT$17-Project_Register!$AQ$17)*(AA436-AA437)/(1-Project_Register!$AV$17)))*Project_Register!$AA$17)</f>
        <v>0</v>
      </c>
      <c r="AB441" s="58" t="n">
        <f aca="false">IF(AB$5="A",0,IF((Project_Register!$AT$17-Project_Register!$AQ$17)&lt;=0,0,IF(1-Project_Register!$AV$17&lt;=0.000001,IF(Assumptions!AB$96=Assumptions!$C$10+1,(Project_Register!$AT$17-Project_Register!$AQ$17),0),(Project_Register!$AT$17-Project_Register!$AQ$17)*(AB436-AB437)/(1-Project_Register!$AV$17)))*Project_Register!$AA$17)</f>
        <v>0</v>
      </c>
    </row>
    <row r="442" customFormat="false" ht="15" hidden="false" customHeight="false" outlineLevel="0" collapsed="false">
      <c r="A442" s="27" t="s">
        <v>726</v>
      </c>
      <c r="B442" s="56" t="s">
        <v>722</v>
      </c>
      <c r="C442" s="57" t="n">
        <f aca="false">SUM(E442:P442)</f>
        <v>0</v>
      </c>
      <c r="D442" s="57" t="n">
        <f aca="false">SUM(Q442:AB442)</f>
        <v>23590</v>
      </c>
      <c r="E442" s="58" t="n">
        <f aca="false">IF(E$5="A",0,IF((Project_Register!$AT$17-Project_Register!$AQ$17)&lt;=0,0,IF(1-Project_Register!$AV$17&lt;=0.000001,IF(Assumptions!E$96=Assumptions!$C$10+1,(Project_Register!$AT$17-Project_Register!$AQ$17),0),(Project_Register!$AT$17-Project_Register!$AQ$17)*(E436-E437)/(1-Project_Register!$AV$17)))*Project_Register!$AB$17)</f>
        <v>0</v>
      </c>
      <c r="F442" s="58" t="n">
        <f aca="false">IF(F$5="A",0,IF((Project_Register!$AT$17-Project_Register!$AQ$17)&lt;=0,0,IF(1-Project_Register!$AV$17&lt;=0.000001,IF(Assumptions!F$96=Assumptions!$C$10+1,(Project_Register!$AT$17-Project_Register!$AQ$17),0),(Project_Register!$AT$17-Project_Register!$AQ$17)*(F436-F437)/(1-Project_Register!$AV$17)))*Project_Register!$AB$17)</f>
        <v>0</v>
      </c>
      <c r="G442" s="58" t="n">
        <f aca="false">IF(G$5="A",0,IF((Project_Register!$AT$17-Project_Register!$AQ$17)&lt;=0,0,IF(1-Project_Register!$AV$17&lt;=0.000001,IF(Assumptions!G$96=Assumptions!$C$10+1,(Project_Register!$AT$17-Project_Register!$AQ$17),0),(Project_Register!$AT$17-Project_Register!$AQ$17)*(G436-G437)/(1-Project_Register!$AV$17)))*Project_Register!$AB$17)</f>
        <v>0</v>
      </c>
      <c r="H442" s="58" t="n">
        <f aca="false">IF(H$5="A",0,IF((Project_Register!$AT$17-Project_Register!$AQ$17)&lt;=0,0,IF(1-Project_Register!$AV$17&lt;=0.000001,IF(Assumptions!H$96=Assumptions!$C$10+1,(Project_Register!$AT$17-Project_Register!$AQ$17),0),(Project_Register!$AT$17-Project_Register!$AQ$17)*(H436-H437)/(1-Project_Register!$AV$17)))*Project_Register!$AB$17)</f>
        <v>0</v>
      </c>
      <c r="I442" s="58" t="n">
        <f aca="false">IF(I$5="A",0,IF((Project_Register!$AT$17-Project_Register!$AQ$17)&lt;=0,0,IF(1-Project_Register!$AV$17&lt;=0.000001,IF(Assumptions!I$96=Assumptions!$C$10+1,(Project_Register!$AT$17-Project_Register!$AQ$17),0),(Project_Register!$AT$17-Project_Register!$AQ$17)*(I436-I437)/(1-Project_Register!$AV$17)))*Project_Register!$AB$17)</f>
        <v>0</v>
      </c>
      <c r="J442" s="58" t="n">
        <f aca="false">IF(J$5="A",0,IF((Project_Register!$AT$17-Project_Register!$AQ$17)&lt;=0,0,IF(1-Project_Register!$AV$17&lt;=0.000001,IF(Assumptions!J$96=Assumptions!$C$10+1,(Project_Register!$AT$17-Project_Register!$AQ$17),0),(Project_Register!$AT$17-Project_Register!$AQ$17)*(J436-J437)/(1-Project_Register!$AV$17)))*Project_Register!$AB$17)</f>
        <v>0</v>
      </c>
      <c r="K442" s="58" t="n">
        <f aca="false">IF(K$5="A",0,IF((Project_Register!$AT$17-Project_Register!$AQ$17)&lt;=0,0,IF(1-Project_Register!$AV$17&lt;=0.000001,IF(Assumptions!K$96=Assumptions!$C$10+1,(Project_Register!$AT$17-Project_Register!$AQ$17),0),(Project_Register!$AT$17-Project_Register!$AQ$17)*(K436-K437)/(1-Project_Register!$AV$17)))*Project_Register!$AB$17)</f>
        <v>0</v>
      </c>
      <c r="L442" s="58" t="n">
        <f aca="false">IF(L$5="A",0,IF((Project_Register!$AT$17-Project_Register!$AQ$17)&lt;=0,0,IF(1-Project_Register!$AV$17&lt;=0.000001,IF(Assumptions!L$96=Assumptions!$C$10+1,(Project_Register!$AT$17-Project_Register!$AQ$17),0),(Project_Register!$AT$17-Project_Register!$AQ$17)*(L436-L437)/(1-Project_Register!$AV$17)))*Project_Register!$AB$17)</f>
        <v>0</v>
      </c>
      <c r="M442" s="58" t="n">
        <f aca="false">IF(M$5="A",0,IF((Project_Register!$AT$17-Project_Register!$AQ$17)&lt;=0,0,IF(1-Project_Register!$AV$17&lt;=0.000001,IF(Assumptions!M$96=Assumptions!$C$10+1,(Project_Register!$AT$17-Project_Register!$AQ$17),0),(Project_Register!$AT$17-Project_Register!$AQ$17)*(M436-M437)/(1-Project_Register!$AV$17)))*Project_Register!$AB$17)</f>
        <v>0</v>
      </c>
      <c r="N442" s="58" t="n">
        <f aca="false">IF(N$5="A",0,IF((Project_Register!$AT$17-Project_Register!$AQ$17)&lt;=0,0,IF(1-Project_Register!$AV$17&lt;=0.000001,IF(Assumptions!N$96=Assumptions!$C$10+1,(Project_Register!$AT$17-Project_Register!$AQ$17),0),(Project_Register!$AT$17-Project_Register!$AQ$17)*(N436-N437)/(1-Project_Register!$AV$17)))*Project_Register!$AB$17)</f>
        <v>0</v>
      </c>
      <c r="O442" s="58" t="n">
        <f aca="false">IF(O$5="A",0,IF((Project_Register!$AT$17-Project_Register!$AQ$17)&lt;=0,0,IF(1-Project_Register!$AV$17&lt;=0.000001,IF(Assumptions!O$96=Assumptions!$C$10+1,(Project_Register!$AT$17-Project_Register!$AQ$17),0),(Project_Register!$AT$17-Project_Register!$AQ$17)*(O436-O437)/(1-Project_Register!$AV$17)))*Project_Register!$AB$17)</f>
        <v>0</v>
      </c>
      <c r="P442" s="58" t="n">
        <f aca="false">IF(P$5="A",0,IF((Project_Register!$AT$17-Project_Register!$AQ$17)&lt;=0,0,IF(1-Project_Register!$AV$17&lt;=0.000001,IF(Assumptions!P$96=Assumptions!$C$10+1,(Project_Register!$AT$17-Project_Register!$AQ$17),0),(Project_Register!$AT$17-Project_Register!$AQ$17)*(P436-P437)/(1-Project_Register!$AV$17)))*Project_Register!$AB$17)</f>
        <v>0</v>
      </c>
      <c r="Q442" s="58" t="n">
        <f aca="false">IF(Q$5="A",0,IF((Project_Register!$AT$17-Project_Register!$AQ$17)&lt;=0,0,IF(1-Project_Register!$AV$17&lt;=0.000001,IF(Assumptions!Q$96=Assumptions!$C$10+1,(Project_Register!$AT$17-Project_Register!$AQ$17),0),(Project_Register!$AT$17-Project_Register!$AQ$17)*(Q436-Q437)/(1-Project_Register!$AV$17)))*Project_Register!$AB$17)</f>
        <v>0</v>
      </c>
      <c r="R442" s="58" t="n">
        <f aca="false">IF(R$5="A",0,IF((Project_Register!$AT$17-Project_Register!$AQ$17)&lt;=0,0,IF(1-Project_Register!$AV$17&lt;=0.000001,IF(Assumptions!R$96=Assumptions!$C$10+1,(Project_Register!$AT$17-Project_Register!$AQ$17),0),(Project_Register!$AT$17-Project_Register!$AQ$17)*(R436-R437)/(1-Project_Register!$AV$17)))*Project_Register!$AB$17)</f>
        <v>0</v>
      </c>
      <c r="S442" s="58" t="n">
        <f aca="false">IF(S$5="A",0,IF((Project_Register!$AT$17-Project_Register!$AQ$17)&lt;=0,0,IF(1-Project_Register!$AV$17&lt;=0.000001,IF(Assumptions!S$96=Assumptions!$C$10+1,(Project_Register!$AT$17-Project_Register!$AQ$17),0),(Project_Register!$AT$17-Project_Register!$AQ$17)*(S436-S437)/(1-Project_Register!$AV$17)))*Project_Register!$AB$17)</f>
        <v>0</v>
      </c>
      <c r="T442" s="58" t="n">
        <f aca="false">IF(T$5="A",0,IF((Project_Register!$AT$17-Project_Register!$AQ$17)&lt;=0,0,IF(1-Project_Register!$AV$17&lt;=0.000001,IF(Assumptions!T$96=Assumptions!$C$10+1,(Project_Register!$AT$17-Project_Register!$AQ$17),0),(Project_Register!$AT$17-Project_Register!$AQ$17)*(T436-T437)/(1-Project_Register!$AV$17)))*Project_Register!$AB$17)</f>
        <v>1747.40740740741</v>
      </c>
      <c r="U442" s="58" t="n">
        <f aca="false">IF(U$5="A",0,IF((Project_Register!$AT$17-Project_Register!$AQ$17)&lt;=0,0,IF(1-Project_Register!$AV$17&lt;=0.000001,IF(Assumptions!U$96=Assumptions!$C$10+1,(Project_Register!$AT$17-Project_Register!$AQ$17),0),(Project_Register!$AT$17-Project_Register!$AQ$17)*(U436-U437)/(1-Project_Register!$AV$17)))*Project_Register!$AB$17)</f>
        <v>4368.51851851852</v>
      </c>
      <c r="V442" s="58" t="n">
        <f aca="false">IF(V$5="A",0,IF((Project_Register!$AT$17-Project_Register!$AQ$17)&lt;=0,0,IF(1-Project_Register!$AV$17&lt;=0.000001,IF(Assumptions!V$96=Assumptions!$C$10+1,(Project_Register!$AT$17-Project_Register!$AQ$17),0),(Project_Register!$AT$17-Project_Register!$AQ$17)*(V436-V437)/(1-Project_Register!$AV$17)))*Project_Register!$AB$17)</f>
        <v>5679.07407407407</v>
      </c>
      <c r="W442" s="58" t="n">
        <f aca="false">IF(W$5="A",0,IF((Project_Register!$AT$17-Project_Register!$AQ$17)&lt;=0,0,IF(1-Project_Register!$AV$17&lt;=0.000001,IF(Assumptions!W$96=Assumptions!$C$10+1,(Project_Register!$AT$17-Project_Register!$AQ$17),0),(Project_Register!$AT$17-Project_Register!$AQ$17)*(W436-W437)/(1-Project_Register!$AV$17)))*Project_Register!$AB$17)</f>
        <v>5679.07407407407</v>
      </c>
      <c r="X442" s="58" t="n">
        <f aca="false">IF(X$5="A",0,IF((Project_Register!$AT$17-Project_Register!$AQ$17)&lt;=0,0,IF(1-Project_Register!$AV$17&lt;=0.000001,IF(Assumptions!X$96=Assumptions!$C$10+1,(Project_Register!$AT$17-Project_Register!$AQ$17),0),(Project_Register!$AT$17-Project_Register!$AQ$17)*(X436-X437)/(1-Project_Register!$AV$17)))*Project_Register!$AB$17)</f>
        <v>4368.51851851851</v>
      </c>
      <c r="Y442" s="58" t="n">
        <f aca="false">IF(Y$5="A",0,IF((Project_Register!$AT$17-Project_Register!$AQ$17)&lt;=0,0,IF(1-Project_Register!$AV$17&lt;=0.000001,IF(Assumptions!Y$96=Assumptions!$C$10+1,(Project_Register!$AT$17-Project_Register!$AQ$17),0),(Project_Register!$AT$17-Project_Register!$AQ$17)*(Y436-Y437)/(1-Project_Register!$AV$17)))*Project_Register!$AB$17)</f>
        <v>1747.40740740741</v>
      </c>
      <c r="Z442" s="58" t="n">
        <f aca="false">IF(Z$5="A",0,IF((Project_Register!$AT$17-Project_Register!$AQ$17)&lt;=0,0,IF(1-Project_Register!$AV$17&lt;=0.000001,IF(Assumptions!Z$96=Assumptions!$C$10+1,(Project_Register!$AT$17-Project_Register!$AQ$17),0),(Project_Register!$AT$17-Project_Register!$AQ$17)*(Z436-Z437)/(1-Project_Register!$AV$17)))*Project_Register!$AB$17)</f>
        <v>0</v>
      </c>
      <c r="AA442" s="58" t="n">
        <f aca="false">IF(AA$5="A",0,IF((Project_Register!$AT$17-Project_Register!$AQ$17)&lt;=0,0,IF(1-Project_Register!$AV$17&lt;=0.000001,IF(Assumptions!AA$96=Assumptions!$C$10+1,(Project_Register!$AT$17-Project_Register!$AQ$17),0),(Project_Register!$AT$17-Project_Register!$AQ$17)*(AA436-AA437)/(1-Project_Register!$AV$17)))*Project_Register!$AB$17)</f>
        <v>0</v>
      </c>
      <c r="AB442" s="58" t="n">
        <f aca="false">IF(AB$5="A",0,IF((Project_Register!$AT$17-Project_Register!$AQ$17)&lt;=0,0,IF(1-Project_Register!$AV$17&lt;=0.000001,IF(Assumptions!AB$96=Assumptions!$C$10+1,(Project_Register!$AT$17-Project_Register!$AQ$17),0),(Project_Register!$AT$17-Project_Register!$AQ$17)*(AB436-AB437)/(1-Project_Register!$AV$17)))*Project_Register!$AB$17)</f>
        <v>0</v>
      </c>
    </row>
    <row r="443" customFormat="false" ht="15" hidden="false" customHeight="false" outlineLevel="0" collapsed="false">
      <c r="A443" s="67" t="s">
        <v>727</v>
      </c>
      <c r="B443" s="68" t="s">
        <v>728</v>
      </c>
      <c r="C443" s="69" t="n">
        <f aca="false">SUM(E443:P443)</f>
        <v>0</v>
      </c>
      <c r="D443" s="69" t="n">
        <f aca="false">SUM(Q443:AB443)</f>
        <v>337000</v>
      </c>
      <c r="E443" s="69" t="n">
        <f aca="false">SUM(E438:E442)</f>
        <v>0</v>
      </c>
      <c r="F443" s="69" t="n">
        <f aca="false">SUM(F438:F442)</f>
        <v>0</v>
      </c>
      <c r="G443" s="69" t="n">
        <f aca="false">SUM(G438:G442)</f>
        <v>0</v>
      </c>
      <c r="H443" s="69" t="n">
        <f aca="false">SUM(H438:H442)</f>
        <v>0</v>
      </c>
      <c r="I443" s="69" t="n">
        <f aca="false">SUM(I438:I442)</f>
        <v>0</v>
      </c>
      <c r="J443" s="69" t="n">
        <f aca="false">SUM(J438:J442)</f>
        <v>0</v>
      </c>
      <c r="K443" s="69" t="n">
        <f aca="false">SUM(K438:K442)</f>
        <v>0</v>
      </c>
      <c r="L443" s="69" t="n">
        <f aca="false">SUM(L438:L442)</f>
        <v>0</v>
      </c>
      <c r="M443" s="69" t="n">
        <f aca="false">SUM(M438:M442)</f>
        <v>0</v>
      </c>
      <c r="N443" s="69" t="n">
        <f aca="false">SUM(N438:N442)</f>
        <v>0</v>
      </c>
      <c r="O443" s="69" t="n">
        <f aca="false">SUM(O438:O442)</f>
        <v>0</v>
      </c>
      <c r="P443" s="69" t="n">
        <f aca="false">SUM(P438:P442)</f>
        <v>0</v>
      </c>
      <c r="Q443" s="69" t="n">
        <f aca="false">SUM(Q438:Q442)</f>
        <v>0</v>
      </c>
      <c r="R443" s="69" t="n">
        <f aca="false">SUM(R438:R442)</f>
        <v>0</v>
      </c>
      <c r="S443" s="69" t="n">
        <f aca="false">SUM(S438:S442)</f>
        <v>0</v>
      </c>
      <c r="T443" s="69" t="n">
        <f aca="false">SUM(T438:T442)</f>
        <v>24962.962962963</v>
      </c>
      <c r="U443" s="69" t="n">
        <f aca="false">SUM(U438:U442)</f>
        <v>62407.4074074074</v>
      </c>
      <c r="V443" s="69" t="n">
        <f aca="false">SUM(V438:V442)</f>
        <v>81129.6296296296</v>
      </c>
      <c r="W443" s="69" t="n">
        <f aca="false">SUM(W438:W442)</f>
        <v>81129.6296296297</v>
      </c>
      <c r="X443" s="69" t="n">
        <f aca="false">SUM(X438:X442)</f>
        <v>62407.4074074073</v>
      </c>
      <c r="Y443" s="69" t="n">
        <f aca="false">SUM(Y438:Y442)</f>
        <v>24962.962962963</v>
      </c>
      <c r="Z443" s="69" t="n">
        <f aca="false">SUM(Z438:Z442)</f>
        <v>0</v>
      </c>
      <c r="AA443" s="69" t="n">
        <f aca="false">SUM(AA438:AA442)</f>
        <v>0</v>
      </c>
      <c r="AB443" s="69" t="n">
        <f aca="false">SUM(AB438:AB442)</f>
        <v>0</v>
      </c>
    </row>
    <row r="444" customFormat="false" ht="15" hidden="false" customHeight="false" outlineLevel="0" collapsed="false">
      <c r="A444" s="27" t="s">
        <v>729</v>
      </c>
      <c r="B444" s="56" t="s">
        <v>730</v>
      </c>
      <c r="C444" s="57" t="n">
        <f aca="false">P444</f>
        <v>0</v>
      </c>
      <c r="D444" s="57" t="n">
        <f aca="false">AB444</f>
        <v>337000</v>
      </c>
      <c r="E444" s="58" t="n">
        <f aca="false">Project_Register!$AC$17+E443</f>
        <v>0</v>
      </c>
      <c r="F444" s="70" t="n">
        <f aca="false">E444+F443</f>
        <v>0</v>
      </c>
      <c r="G444" s="70" t="n">
        <f aca="false">F444+G443</f>
        <v>0</v>
      </c>
      <c r="H444" s="70" t="n">
        <f aca="false">G444+H443</f>
        <v>0</v>
      </c>
      <c r="I444" s="70" t="n">
        <f aca="false">H444+I443</f>
        <v>0</v>
      </c>
      <c r="J444" s="70" t="n">
        <f aca="false">I444+J443</f>
        <v>0</v>
      </c>
      <c r="K444" s="70" t="n">
        <f aca="false">J444+K443</f>
        <v>0</v>
      </c>
      <c r="L444" s="70" t="n">
        <f aca="false">K444+L443</f>
        <v>0</v>
      </c>
      <c r="M444" s="70" t="n">
        <f aca="false">L444+M443</f>
        <v>0</v>
      </c>
      <c r="N444" s="70" t="n">
        <f aca="false">M444+N443</f>
        <v>0</v>
      </c>
      <c r="O444" s="70" t="n">
        <f aca="false">N444+O443</f>
        <v>0</v>
      </c>
      <c r="P444" s="70" t="n">
        <f aca="false">O444+P443</f>
        <v>0</v>
      </c>
      <c r="Q444" s="70" t="n">
        <f aca="false">P444+Q443</f>
        <v>0</v>
      </c>
      <c r="R444" s="70" t="n">
        <f aca="false">Q444+R443</f>
        <v>0</v>
      </c>
      <c r="S444" s="70" t="n">
        <f aca="false">R444+S443</f>
        <v>0</v>
      </c>
      <c r="T444" s="70" t="n">
        <f aca="false">S444+T443</f>
        <v>24962.962962963</v>
      </c>
      <c r="U444" s="70" t="n">
        <f aca="false">T444+U443</f>
        <v>87370.3703703704</v>
      </c>
      <c r="V444" s="70" t="n">
        <f aca="false">U444+V443</f>
        <v>168500</v>
      </c>
      <c r="W444" s="70" t="n">
        <f aca="false">V444+W443</f>
        <v>249629.62962963</v>
      </c>
      <c r="X444" s="70" t="n">
        <f aca="false">W444+X443</f>
        <v>312037.037037037</v>
      </c>
      <c r="Y444" s="70" t="n">
        <f aca="false">X444+Y443</f>
        <v>337000</v>
      </c>
      <c r="Z444" s="70" t="n">
        <f aca="false">Y444+Z443</f>
        <v>337000</v>
      </c>
      <c r="AA444" s="70" t="n">
        <f aca="false">Z444+AA443</f>
        <v>337000</v>
      </c>
      <c r="AB444" s="70" t="n">
        <f aca="false">AA444+AB443</f>
        <v>337000</v>
      </c>
    </row>
    <row r="445" customFormat="false" ht="15" hidden="false" customHeight="false" outlineLevel="0" collapsed="false">
      <c r="A445" s="27" t="s">
        <v>731</v>
      </c>
      <c r="B445" s="56" t="s">
        <v>732</v>
      </c>
      <c r="C445" s="57" t="n">
        <f aca="false">P445</f>
        <v>337000</v>
      </c>
      <c r="D445" s="57" t="n">
        <f aca="false">AB445</f>
        <v>337000</v>
      </c>
      <c r="E445" s="58" t="n">
        <f aca="false">IF(E$5="A",IF(E444+Project_Register!$AP$17&lt;=0,Project_Register!$AP$17,E444+Project_Register!$AP$17),Project_Register!$AT$17)</f>
        <v>337000</v>
      </c>
      <c r="F445" s="58" t="n">
        <f aca="false">IF(F$5="A",IF(F444+Project_Register!$AP$17&lt;=0,Project_Register!$AP$17,F444+Project_Register!$AP$17),Project_Register!$AT$17)</f>
        <v>337000</v>
      </c>
      <c r="G445" s="58" t="n">
        <f aca="false">IF(G$5="A",IF(G444+Project_Register!$AP$17&lt;=0,Project_Register!$AP$17,G444+Project_Register!$AP$17),Project_Register!$AT$17)</f>
        <v>337000</v>
      </c>
      <c r="H445" s="58" t="n">
        <f aca="false">IF(H$5="A",IF(H444+Project_Register!$AP$17&lt;=0,Project_Register!$AP$17,H444+Project_Register!$AP$17),Project_Register!$AT$17)</f>
        <v>337000</v>
      </c>
      <c r="I445" s="58" t="n">
        <f aca="false">IF(I$5="A",IF(I444+Project_Register!$AP$17&lt;=0,Project_Register!$AP$17,I444+Project_Register!$AP$17),Project_Register!$AT$17)</f>
        <v>337000</v>
      </c>
      <c r="J445" s="58" t="n">
        <f aca="false">IF(J$5="A",IF(J444+Project_Register!$AP$17&lt;=0,Project_Register!$AP$17,J444+Project_Register!$AP$17),Project_Register!$AT$17)</f>
        <v>337000</v>
      </c>
      <c r="K445" s="58" t="n">
        <f aca="false">IF(K$5="A",IF(K444+Project_Register!$AP$17&lt;=0,Project_Register!$AP$17,K444+Project_Register!$AP$17),Project_Register!$AT$17)</f>
        <v>337000</v>
      </c>
      <c r="L445" s="58" t="n">
        <f aca="false">IF(L$5="A",IF(L444+Project_Register!$AP$17&lt;=0,Project_Register!$AP$17,L444+Project_Register!$AP$17),Project_Register!$AT$17)</f>
        <v>337000</v>
      </c>
      <c r="M445" s="58" t="n">
        <f aca="false">IF(M$5="A",IF(M444+Project_Register!$AP$17&lt;=0,Project_Register!$AP$17,M444+Project_Register!$AP$17),Project_Register!$AT$17)</f>
        <v>337000</v>
      </c>
      <c r="N445" s="58" t="n">
        <f aca="false">IF(N$5="A",IF(N444+Project_Register!$AP$17&lt;=0,Project_Register!$AP$17,N444+Project_Register!$AP$17),Project_Register!$AT$17)</f>
        <v>337000</v>
      </c>
      <c r="O445" s="58" t="n">
        <f aca="false">IF(O$5="A",IF(O444+Project_Register!$AP$17&lt;=0,Project_Register!$AP$17,O444+Project_Register!$AP$17),Project_Register!$AT$17)</f>
        <v>337000</v>
      </c>
      <c r="P445" s="58" t="n">
        <f aca="false">IF(P$5="A",IF(P444+Project_Register!$AP$17&lt;=0,Project_Register!$AP$17,P444+Project_Register!$AP$17),Project_Register!$AT$17)</f>
        <v>337000</v>
      </c>
      <c r="Q445" s="58" t="n">
        <f aca="false">IF(Q$5="A",IF(Q444+Project_Register!$AP$17&lt;=0,Project_Register!$AP$17,Q444+Project_Register!$AP$17),Project_Register!$AT$17)</f>
        <v>337000</v>
      </c>
      <c r="R445" s="58" t="n">
        <f aca="false">IF(R$5="A",IF(R444+Project_Register!$AP$17&lt;=0,Project_Register!$AP$17,R444+Project_Register!$AP$17),Project_Register!$AT$17)</f>
        <v>337000</v>
      </c>
      <c r="S445" s="58" t="n">
        <f aca="false">IF(S$5="A",IF(S444+Project_Register!$AP$17&lt;=0,Project_Register!$AP$17,S444+Project_Register!$AP$17),Project_Register!$AT$17)</f>
        <v>337000</v>
      </c>
      <c r="T445" s="58" t="n">
        <f aca="false">IF(T$5="A",IF(T444+Project_Register!$AP$17&lt;=0,Project_Register!$AP$17,T444+Project_Register!$AP$17),Project_Register!$AT$17)</f>
        <v>337000</v>
      </c>
      <c r="U445" s="58" t="n">
        <f aca="false">IF(U$5="A",IF(U444+Project_Register!$AP$17&lt;=0,Project_Register!$AP$17,U444+Project_Register!$AP$17),Project_Register!$AT$17)</f>
        <v>337000</v>
      </c>
      <c r="V445" s="58" t="n">
        <f aca="false">IF(V$5="A",IF(V444+Project_Register!$AP$17&lt;=0,Project_Register!$AP$17,V444+Project_Register!$AP$17),Project_Register!$AT$17)</f>
        <v>337000</v>
      </c>
      <c r="W445" s="58" t="n">
        <f aca="false">IF(W$5="A",IF(W444+Project_Register!$AP$17&lt;=0,Project_Register!$AP$17,W444+Project_Register!$AP$17),Project_Register!$AT$17)</f>
        <v>337000</v>
      </c>
      <c r="X445" s="58" t="n">
        <f aca="false">IF(X$5="A",IF(X444+Project_Register!$AP$17&lt;=0,Project_Register!$AP$17,X444+Project_Register!$AP$17),Project_Register!$AT$17)</f>
        <v>337000</v>
      </c>
      <c r="Y445" s="58" t="n">
        <f aca="false">IF(Y$5="A",IF(Y444+Project_Register!$AP$17&lt;=0,Project_Register!$AP$17,Y444+Project_Register!$AP$17),Project_Register!$AT$17)</f>
        <v>337000</v>
      </c>
      <c r="Z445" s="58" t="n">
        <f aca="false">IF(Z$5="A",IF(Z444+Project_Register!$AP$17&lt;=0,Project_Register!$AP$17,Z444+Project_Register!$AP$17),Project_Register!$AT$17)</f>
        <v>337000</v>
      </c>
      <c r="AA445" s="58" t="n">
        <f aca="false">IF(AA$5="A",IF(AA444+Project_Register!$AP$17&lt;=0,Project_Register!$AP$17,AA444+Project_Register!$AP$17),Project_Register!$AT$17)</f>
        <v>337000</v>
      </c>
      <c r="AB445" s="58" t="n">
        <f aca="false">IF(AB$5="A",IF(AB444+Project_Register!$AP$17&lt;=0,Project_Register!$AP$17,AB444+Project_Register!$AP$17),Project_Register!$AT$17)</f>
        <v>337000</v>
      </c>
    </row>
    <row r="446" customFormat="false" ht="15" hidden="false" customHeight="false" outlineLevel="0" collapsed="false">
      <c r="A446" s="27" t="s">
        <v>733</v>
      </c>
      <c r="B446" s="56" t="s">
        <v>734</v>
      </c>
      <c r="C446" s="59" t="n">
        <f aca="false">P446</f>
        <v>0</v>
      </c>
      <c r="D446" s="59" t="n">
        <f aca="false">AB446</f>
        <v>1</v>
      </c>
      <c r="E446" s="60" t="n">
        <f aca="false">IF(E445&lt;=0,0,MIN(1,E444/E445))</f>
        <v>0</v>
      </c>
      <c r="F446" s="60" t="n">
        <f aca="false">IF(F445&lt;=0,0,MIN(1,F444/F445))</f>
        <v>0</v>
      </c>
      <c r="G446" s="60" t="n">
        <f aca="false">IF(G445&lt;=0,0,MIN(1,G444/G445))</f>
        <v>0</v>
      </c>
      <c r="H446" s="60" t="n">
        <f aca="false">IF(H445&lt;=0,0,MIN(1,H444/H445))</f>
        <v>0</v>
      </c>
      <c r="I446" s="60" t="n">
        <f aca="false">IF(I445&lt;=0,0,MIN(1,I444/I445))</f>
        <v>0</v>
      </c>
      <c r="J446" s="60" t="n">
        <f aca="false">IF(J445&lt;=0,0,MIN(1,J444/J445))</f>
        <v>0</v>
      </c>
      <c r="K446" s="60" t="n">
        <f aca="false">IF(K445&lt;=0,0,MIN(1,K444/K445))</f>
        <v>0</v>
      </c>
      <c r="L446" s="60" t="n">
        <f aca="false">IF(L445&lt;=0,0,MIN(1,L444/L445))</f>
        <v>0</v>
      </c>
      <c r="M446" s="60" t="n">
        <f aca="false">IF(M445&lt;=0,0,MIN(1,M444/M445))</f>
        <v>0</v>
      </c>
      <c r="N446" s="60" t="n">
        <f aca="false">IF(N445&lt;=0,0,MIN(1,N444/N445))</f>
        <v>0</v>
      </c>
      <c r="O446" s="60" t="n">
        <f aca="false">IF(O445&lt;=0,0,MIN(1,O444/O445))</f>
        <v>0</v>
      </c>
      <c r="P446" s="60" t="n">
        <f aca="false">IF(P445&lt;=0,0,MIN(1,P444/P445))</f>
        <v>0</v>
      </c>
      <c r="Q446" s="60" t="n">
        <f aca="false">IF(Q445&lt;=0,0,MIN(1,Q444/Q445))</f>
        <v>0</v>
      </c>
      <c r="R446" s="60" t="n">
        <f aca="false">IF(R445&lt;=0,0,MIN(1,R444/R445))</f>
        <v>0</v>
      </c>
      <c r="S446" s="60" t="n">
        <f aca="false">IF(S445&lt;=0,0,MIN(1,S444/S445))</f>
        <v>0</v>
      </c>
      <c r="T446" s="60" t="n">
        <f aca="false">IF(T445&lt;=0,0,MIN(1,T444/T445))</f>
        <v>0.0740740740740741</v>
      </c>
      <c r="U446" s="60" t="n">
        <f aca="false">IF(U445&lt;=0,0,MIN(1,U444/U445))</f>
        <v>0.259259259259259</v>
      </c>
      <c r="V446" s="60" t="n">
        <f aca="false">IF(V445&lt;=0,0,MIN(1,V444/V445))</f>
        <v>0.5</v>
      </c>
      <c r="W446" s="60" t="n">
        <f aca="false">IF(W445&lt;=0,0,MIN(1,W444/W445))</f>
        <v>0.740740740740741</v>
      </c>
      <c r="X446" s="60" t="n">
        <f aca="false">IF(X445&lt;=0,0,MIN(1,X444/X445))</f>
        <v>0.925925925925926</v>
      </c>
      <c r="Y446" s="60" t="n">
        <f aca="false">IF(Y445&lt;=0,0,MIN(1,Y444/Y445))</f>
        <v>1</v>
      </c>
      <c r="Z446" s="60" t="n">
        <f aca="false">IF(Z445&lt;=0,0,MIN(1,Z444/Z445))</f>
        <v>1</v>
      </c>
      <c r="AA446" s="60" t="n">
        <f aca="false">IF(AA445&lt;=0,0,MIN(1,AA444/AA445))</f>
        <v>1</v>
      </c>
      <c r="AB446" s="60" t="n">
        <f aca="false">IF(AB445&lt;=0,0,MIN(1,AB444/AB445))</f>
        <v>1</v>
      </c>
    </row>
    <row r="447" customFormat="false" ht="15" hidden="false" customHeight="false" outlineLevel="0" collapsed="false">
      <c r="A447" s="27" t="s">
        <v>735</v>
      </c>
      <c r="B447" s="56" t="s">
        <v>736</v>
      </c>
      <c r="C447" s="57" t="n">
        <f aca="false">P447</f>
        <v>0</v>
      </c>
      <c r="D447" s="57" t="n">
        <f aca="false">AB447</f>
        <v>0</v>
      </c>
      <c r="E447" s="58" t="n">
        <f aca="false">SUMIFS(Variations!$H$6:$H$21,Variations!$B$6:$B$21,"CF-P03",Variations!$F$6:$F$21,"Approved",Variations!$G$6:$G$21,"&lt;="&amp;Assumptions!E$95)</f>
        <v>0</v>
      </c>
      <c r="F447" s="58" t="n">
        <f aca="false">SUMIFS(Variations!$H$6:$H$21,Variations!$B$6:$B$21,"CF-P03",Variations!$F$6:$F$21,"Approved",Variations!$G$6:$G$21,"&lt;="&amp;Assumptions!F$95)</f>
        <v>0</v>
      </c>
      <c r="G447" s="58" t="n">
        <f aca="false">SUMIFS(Variations!$H$6:$H$21,Variations!$B$6:$B$21,"CF-P03",Variations!$F$6:$F$21,"Approved",Variations!$G$6:$G$21,"&lt;="&amp;Assumptions!G$95)</f>
        <v>0</v>
      </c>
      <c r="H447" s="58" t="n">
        <f aca="false">SUMIFS(Variations!$H$6:$H$21,Variations!$B$6:$B$21,"CF-P03",Variations!$F$6:$F$21,"Approved",Variations!$G$6:$G$21,"&lt;="&amp;Assumptions!H$95)</f>
        <v>0</v>
      </c>
      <c r="I447" s="58" t="n">
        <f aca="false">SUMIFS(Variations!$H$6:$H$21,Variations!$B$6:$B$21,"CF-P03",Variations!$F$6:$F$21,"Approved",Variations!$G$6:$G$21,"&lt;="&amp;Assumptions!I$95)</f>
        <v>0</v>
      </c>
      <c r="J447" s="58" t="n">
        <f aca="false">SUMIFS(Variations!$H$6:$H$21,Variations!$B$6:$B$21,"CF-P03",Variations!$F$6:$F$21,"Approved",Variations!$G$6:$G$21,"&lt;="&amp;Assumptions!J$95)</f>
        <v>0</v>
      </c>
      <c r="K447" s="58" t="n">
        <f aca="false">SUMIFS(Variations!$H$6:$H$21,Variations!$B$6:$B$21,"CF-P03",Variations!$F$6:$F$21,"Approved",Variations!$G$6:$G$21,"&lt;="&amp;Assumptions!K$95)</f>
        <v>0</v>
      </c>
      <c r="L447" s="58" t="n">
        <f aca="false">SUMIFS(Variations!$H$6:$H$21,Variations!$B$6:$B$21,"CF-P03",Variations!$F$6:$F$21,"Approved",Variations!$G$6:$G$21,"&lt;="&amp;Assumptions!L$95)</f>
        <v>0</v>
      </c>
      <c r="M447" s="58" t="n">
        <f aca="false">SUMIFS(Variations!$H$6:$H$21,Variations!$B$6:$B$21,"CF-P03",Variations!$F$6:$F$21,"Approved",Variations!$G$6:$G$21,"&lt;="&amp;Assumptions!M$95)</f>
        <v>0</v>
      </c>
      <c r="N447" s="58" t="n">
        <f aca="false">SUMIFS(Variations!$H$6:$H$21,Variations!$B$6:$B$21,"CF-P03",Variations!$F$6:$F$21,"Approved",Variations!$G$6:$G$21,"&lt;="&amp;Assumptions!N$95)</f>
        <v>0</v>
      </c>
      <c r="O447" s="58" t="n">
        <f aca="false">SUMIFS(Variations!$H$6:$H$21,Variations!$B$6:$B$21,"CF-P03",Variations!$F$6:$F$21,"Approved",Variations!$G$6:$G$21,"&lt;="&amp;Assumptions!O$95)</f>
        <v>0</v>
      </c>
      <c r="P447" s="58" t="n">
        <f aca="false">SUMIFS(Variations!$H$6:$H$21,Variations!$B$6:$B$21,"CF-P03",Variations!$F$6:$F$21,"Approved",Variations!$G$6:$G$21,"&lt;="&amp;Assumptions!P$95)</f>
        <v>0</v>
      </c>
      <c r="Q447" s="58" t="n">
        <f aca="false">SUMIFS(Variations!$H$6:$H$21,Variations!$B$6:$B$21,"CF-P03",Variations!$F$6:$F$21,"Approved",Variations!$G$6:$G$21,"&lt;="&amp;Assumptions!Q$95)</f>
        <v>0</v>
      </c>
      <c r="R447" s="58" t="n">
        <f aca="false">SUMIFS(Variations!$H$6:$H$21,Variations!$B$6:$B$21,"CF-P03",Variations!$F$6:$F$21,"Approved",Variations!$G$6:$G$21,"&lt;="&amp;Assumptions!R$95)</f>
        <v>0</v>
      </c>
      <c r="S447" s="58" t="n">
        <f aca="false">SUMIFS(Variations!$H$6:$H$21,Variations!$B$6:$B$21,"CF-P03",Variations!$F$6:$F$21,"Approved",Variations!$G$6:$G$21,"&lt;="&amp;Assumptions!S$95)</f>
        <v>0</v>
      </c>
      <c r="T447" s="58" t="n">
        <f aca="false">SUMIFS(Variations!$H$6:$H$21,Variations!$B$6:$B$21,"CF-P03",Variations!$F$6:$F$21,"Approved",Variations!$G$6:$G$21,"&lt;="&amp;Assumptions!T$95)</f>
        <v>0</v>
      </c>
      <c r="U447" s="58" t="n">
        <f aca="false">SUMIFS(Variations!$H$6:$H$21,Variations!$B$6:$B$21,"CF-P03",Variations!$F$6:$F$21,"Approved",Variations!$G$6:$G$21,"&lt;="&amp;Assumptions!U$95)</f>
        <v>0</v>
      </c>
      <c r="V447" s="58" t="n">
        <f aca="false">SUMIFS(Variations!$H$6:$H$21,Variations!$B$6:$B$21,"CF-P03",Variations!$F$6:$F$21,"Approved",Variations!$G$6:$G$21,"&lt;="&amp;Assumptions!V$95)</f>
        <v>0</v>
      </c>
      <c r="W447" s="58" t="n">
        <f aca="false">SUMIFS(Variations!$H$6:$H$21,Variations!$B$6:$B$21,"CF-P03",Variations!$F$6:$F$21,"Approved",Variations!$G$6:$G$21,"&lt;="&amp;Assumptions!W$95)</f>
        <v>0</v>
      </c>
      <c r="X447" s="58" t="n">
        <f aca="false">SUMIFS(Variations!$H$6:$H$21,Variations!$B$6:$B$21,"CF-P03",Variations!$F$6:$F$21,"Approved",Variations!$G$6:$G$21,"&lt;="&amp;Assumptions!X$95)</f>
        <v>0</v>
      </c>
      <c r="Y447" s="58" t="n">
        <f aca="false">SUMIFS(Variations!$H$6:$H$21,Variations!$B$6:$B$21,"CF-P03",Variations!$F$6:$F$21,"Approved",Variations!$G$6:$G$21,"&lt;="&amp;Assumptions!Y$95)</f>
        <v>0</v>
      </c>
      <c r="Z447" s="58" t="n">
        <f aca="false">SUMIFS(Variations!$H$6:$H$21,Variations!$B$6:$B$21,"CF-P03",Variations!$F$6:$F$21,"Approved",Variations!$G$6:$G$21,"&lt;="&amp;Assumptions!Z$95)</f>
        <v>0</v>
      </c>
      <c r="AA447" s="58" t="n">
        <f aca="false">SUMIFS(Variations!$H$6:$H$21,Variations!$B$6:$B$21,"CF-P03",Variations!$F$6:$F$21,"Approved",Variations!$G$6:$G$21,"&lt;="&amp;Assumptions!AA$95)</f>
        <v>0</v>
      </c>
      <c r="AB447" s="58" t="n">
        <f aca="false">SUMIFS(Variations!$H$6:$H$21,Variations!$B$6:$B$21,"CF-P03",Variations!$F$6:$F$21,"Approved",Variations!$G$6:$G$21,"&lt;="&amp;Assumptions!AB$95)</f>
        <v>0</v>
      </c>
    </row>
    <row r="448" customFormat="false" ht="15" hidden="false" customHeight="false" outlineLevel="0" collapsed="false">
      <c r="A448" s="27" t="s">
        <v>737</v>
      </c>
      <c r="B448" s="56"/>
      <c r="C448" s="57" t="n">
        <f aca="false">P448</f>
        <v>0</v>
      </c>
      <c r="D448" s="57" t="n">
        <f aca="false">AB448</f>
        <v>0</v>
      </c>
      <c r="E448" s="58" t="n">
        <f aca="false">SUMIFS(Variations!$E$6:$E$21,Variations!$B$6:$B$21,"CF-P03",Variations!$D$6:$D$21,"&lt;="&amp;Assumptions!E$95,Variations!$G$6:$G$21,"&gt;"&amp;Assumptions!E$95)</f>
        <v>0</v>
      </c>
      <c r="F448" s="58" t="n">
        <f aca="false">SUMIFS(Variations!$E$6:$E$21,Variations!$B$6:$B$21,"CF-P03",Variations!$D$6:$D$21,"&lt;="&amp;Assumptions!F$95,Variations!$G$6:$G$21,"&gt;"&amp;Assumptions!F$95)</f>
        <v>0</v>
      </c>
      <c r="G448" s="58" t="n">
        <f aca="false">SUMIFS(Variations!$E$6:$E$21,Variations!$B$6:$B$21,"CF-P03",Variations!$D$6:$D$21,"&lt;="&amp;Assumptions!G$95,Variations!$G$6:$G$21,"&gt;"&amp;Assumptions!G$95)</f>
        <v>0</v>
      </c>
      <c r="H448" s="58" t="n">
        <f aca="false">SUMIFS(Variations!$E$6:$E$21,Variations!$B$6:$B$21,"CF-P03",Variations!$D$6:$D$21,"&lt;="&amp;Assumptions!H$95,Variations!$G$6:$G$21,"&gt;"&amp;Assumptions!H$95)</f>
        <v>0</v>
      </c>
      <c r="I448" s="58" t="n">
        <f aca="false">SUMIFS(Variations!$E$6:$E$21,Variations!$B$6:$B$21,"CF-P03",Variations!$D$6:$D$21,"&lt;="&amp;Assumptions!I$95,Variations!$G$6:$G$21,"&gt;"&amp;Assumptions!I$95)</f>
        <v>0</v>
      </c>
      <c r="J448" s="58" t="n">
        <f aca="false">SUMIFS(Variations!$E$6:$E$21,Variations!$B$6:$B$21,"CF-P03",Variations!$D$6:$D$21,"&lt;="&amp;Assumptions!J$95,Variations!$G$6:$G$21,"&gt;"&amp;Assumptions!J$95)</f>
        <v>0</v>
      </c>
      <c r="K448" s="58" t="n">
        <f aca="false">SUMIFS(Variations!$E$6:$E$21,Variations!$B$6:$B$21,"CF-P03",Variations!$D$6:$D$21,"&lt;="&amp;Assumptions!K$95,Variations!$G$6:$G$21,"&gt;"&amp;Assumptions!K$95)</f>
        <v>0</v>
      </c>
      <c r="L448" s="58" t="n">
        <f aca="false">SUMIFS(Variations!$E$6:$E$21,Variations!$B$6:$B$21,"CF-P03",Variations!$D$6:$D$21,"&lt;="&amp;Assumptions!L$95,Variations!$G$6:$G$21,"&gt;"&amp;Assumptions!L$95)</f>
        <v>0</v>
      </c>
      <c r="M448" s="58" t="n">
        <f aca="false">SUMIFS(Variations!$E$6:$E$21,Variations!$B$6:$B$21,"CF-P03",Variations!$D$6:$D$21,"&lt;="&amp;Assumptions!M$95,Variations!$G$6:$G$21,"&gt;"&amp;Assumptions!M$95)</f>
        <v>0</v>
      </c>
      <c r="N448" s="58" t="n">
        <f aca="false">SUMIFS(Variations!$E$6:$E$21,Variations!$B$6:$B$21,"CF-P03",Variations!$D$6:$D$21,"&lt;="&amp;Assumptions!N$95,Variations!$G$6:$G$21,"&gt;"&amp;Assumptions!N$95)</f>
        <v>0</v>
      </c>
      <c r="O448" s="58" t="n">
        <f aca="false">SUMIFS(Variations!$E$6:$E$21,Variations!$B$6:$B$21,"CF-P03",Variations!$D$6:$D$21,"&lt;="&amp;Assumptions!O$95,Variations!$G$6:$G$21,"&gt;"&amp;Assumptions!O$95)</f>
        <v>0</v>
      </c>
      <c r="P448" s="58" t="n">
        <f aca="false">SUMIFS(Variations!$E$6:$E$21,Variations!$B$6:$B$21,"CF-P03",Variations!$D$6:$D$21,"&lt;="&amp;Assumptions!P$95,Variations!$G$6:$G$21,"&gt;"&amp;Assumptions!P$95)</f>
        <v>0</v>
      </c>
      <c r="Q448" s="58" t="n">
        <f aca="false">SUMIFS(Variations!$E$6:$E$21,Variations!$B$6:$B$21,"CF-P03",Variations!$D$6:$D$21,"&lt;="&amp;Assumptions!Q$95,Variations!$G$6:$G$21,"&gt;"&amp;Assumptions!Q$95)</f>
        <v>0</v>
      </c>
      <c r="R448" s="58" t="n">
        <f aca="false">SUMIFS(Variations!$E$6:$E$21,Variations!$B$6:$B$21,"CF-P03",Variations!$D$6:$D$21,"&lt;="&amp;Assumptions!R$95,Variations!$G$6:$G$21,"&gt;"&amp;Assumptions!R$95)</f>
        <v>0</v>
      </c>
      <c r="S448" s="58" t="n">
        <f aca="false">SUMIFS(Variations!$E$6:$E$21,Variations!$B$6:$B$21,"CF-P03",Variations!$D$6:$D$21,"&lt;="&amp;Assumptions!S$95,Variations!$G$6:$G$21,"&gt;"&amp;Assumptions!S$95)</f>
        <v>0</v>
      </c>
      <c r="T448" s="58" t="n">
        <f aca="false">SUMIFS(Variations!$E$6:$E$21,Variations!$B$6:$B$21,"CF-P03",Variations!$D$6:$D$21,"&lt;="&amp;Assumptions!T$95,Variations!$G$6:$G$21,"&gt;"&amp;Assumptions!T$95)</f>
        <v>0</v>
      </c>
      <c r="U448" s="58" t="n">
        <f aca="false">SUMIFS(Variations!$E$6:$E$21,Variations!$B$6:$B$21,"CF-P03",Variations!$D$6:$D$21,"&lt;="&amp;Assumptions!U$95,Variations!$G$6:$G$21,"&gt;"&amp;Assumptions!U$95)</f>
        <v>0</v>
      </c>
      <c r="V448" s="58" t="n">
        <f aca="false">SUMIFS(Variations!$E$6:$E$21,Variations!$B$6:$B$21,"CF-P03",Variations!$D$6:$D$21,"&lt;="&amp;Assumptions!V$95,Variations!$G$6:$G$21,"&gt;"&amp;Assumptions!V$95)</f>
        <v>0</v>
      </c>
      <c r="W448" s="58" t="n">
        <f aca="false">SUMIFS(Variations!$E$6:$E$21,Variations!$B$6:$B$21,"CF-P03",Variations!$D$6:$D$21,"&lt;="&amp;Assumptions!W$95,Variations!$G$6:$G$21,"&gt;"&amp;Assumptions!W$95)</f>
        <v>0</v>
      </c>
      <c r="X448" s="58" t="n">
        <f aca="false">SUMIFS(Variations!$E$6:$E$21,Variations!$B$6:$B$21,"CF-P03",Variations!$D$6:$D$21,"&lt;="&amp;Assumptions!X$95,Variations!$G$6:$G$21,"&gt;"&amp;Assumptions!X$95)</f>
        <v>0</v>
      </c>
      <c r="Y448" s="58" t="n">
        <f aca="false">SUMIFS(Variations!$E$6:$E$21,Variations!$B$6:$B$21,"CF-P03",Variations!$D$6:$D$21,"&lt;="&amp;Assumptions!Y$95,Variations!$G$6:$G$21,"&gt;"&amp;Assumptions!Y$95)</f>
        <v>0</v>
      </c>
      <c r="Z448" s="58" t="n">
        <f aca="false">SUMIFS(Variations!$E$6:$E$21,Variations!$B$6:$B$21,"CF-P03",Variations!$D$6:$D$21,"&lt;="&amp;Assumptions!Z$95,Variations!$G$6:$G$21,"&gt;"&amp;Assumptions!Z$95)</f>
        <v>0</v>
      </c>
      <c r="AA448" s="58" t="n">
        <f aca="false">SUMIFS(Variations!$E$6:$E$21,Variations!$B$6:$B$21,"CF-P03",Variations!$D$6:$D$21,"&lt;="&amp;Assumptions!AA$95,Variations!$G$6:$G$21,"&gt;"&amp;Assumptions!AA$95)</f>
        <v>0</v>
      </c>
      <c r="AB448" s="58" t="n">
        <f aca="false">SUMIFS(Variations!$E$6:$E$21,Variations!$B$6:$B$21,"CF-P03",Variations!$D$6:$D$21,"&lt;="&amp;Assumptions!AB$95,Variations!$G$6:$G$21,"&gt;"&amp;Assumptions!AB$95)</f>
        <v>0</v>
      </c>
    </row>
    <row r="449" customFormat="false" ht="15" hidden="false" customHeight="false" outlineLevel="0" collapsed="false">
      <c r="A449" s="27" t="s">
        <v>738</v>
      </c>
      <c r="B449" s="56"/>
      <c r="C449" s="57" t="n">
        <f aca="false">P449</f>
        <v>0</v>
      </c>
      <c r="D449" s="57" t="n">
        <f aca="false">AB449</f>
        <v>0</v>
      </c>
      <c r="E449" s="58" t="n">
        <f aca="false">SUMIFS(Variations!$E$6:$E$21,Variations!$B$6:$B$21,"CF-P03",Variations!$F$6:$F$21,"Pending",Variations!$G$6:$G$21,"&lt;="&amp;Assumptions!E$95)</f>
        <v>0</v>
      </c>
      <c r="F449" s="58" t="n">
        <f aca="false">SUMIFS(Variations!$E$6:$E$21,Variations!$B$6:$B$21,"CF-P03",Variations!$F$6:$F$21,"Pending",Variations!$G$6:$G$21,"&lt;="&amp;Assumptions!F$95)</f>
        <v>0</v>
      </c>
      <c r="G449" s="58" t="n">
        <f aca="false">SUMIFS(Variations!$E$6:$E$21,Variations!$B$6:$B$21,"CF-P03",Variations!$F$6:$F$21,"Pending",Variations!$G$6:$G$21,"&lt;="&amp;Assumptions!G$95)</f>
        <v>0</v>
      </c>
      <c r="H449" s="58" t="n">
        <f aca="false">SUMIFS(Variations!$E$6:$E$21,Variations!$B$6:$B$21,"CF-P03",Variations!$F$6:$F$21,"Pending",Variations!$G$6:$G$21,"&lt;="&amp;Assumptions!H$95)</f>
        <v>0</v>
      </c>
      <c r="I449" s="58" t="n">
        <f aca="false">SUMIFS(Variations!$E$6:$E$21,Variations!$B$6:$B$21,"CF-P03",Variations!$F$6:$F$21,"Pending",Variations!$G$6:$G$21,"&lt;="&amp;Assumptions!I$95)</f>
        <v>0</v>
      </c>
      <c r="J449" s="58" t="n">
        <f aca="false">SUMIFS(Variations!$E$6:$E$21,Variations!$B$6:$B$21,"CF-P03",Variations!$F$6:$F$21,"Pending",Variations!$G$6:$G$21,"&lt;="&amp;Assumptions!J$95)</f>
        <v>0</v>
      </c>
      <c r="K449" s="58" t="n">
        <f aca="false">SUMIFS(Variations!$E$6:$E$21,Variations!$B$6:$B$21,"CF-P03",Variations!$F$6:$F$21,"Pending",Variations!$G$6:$G$21,"&lt;="&amp;Assumptions!K$95)</f>
        <v>0</v>
      </c>
      <c r="L449" s="58" t="n">
        <f aca="false">SUMIFS(Variations!$E$6:$E$21,Variations!$B$6:$B$21,"CF-P03",Variations!$F$6:$F$21,"Pending",Variations!$G$6:$G$21,"&lt;="&amp;Assumptions!L$95)</f>
        <v>0</v>
      </c>
      <c r="M449" s="58" t="n">
        <f aca="false">SUMIFS(Variations!$E$6:$E$21,Variations!$B$6:$B$21,"CF-P03",Variations!$F$6:$F$21,"Pending",Variations!$G$6:$G$21,"&lt;="&amp;Assumptions!M$95)</f>
        <v>0</v>
      </c>
      <c r="N449" s="58" t="n">
        <f aca="false">SUMIFS(Variations!$E$6:$E$21,Variations!$B$6:$B$21,"CF-P03",Variations!$F$6:$F$21,"Pending",Variations!$G$6:$G$21,"&lt;="&amp;Assumptions!N$95)</f>
        <v>0</v>
      </c>
      <c r="O449" s="58" t="n">
        <f aca="false">SUMIFS(Variations!$E$6:$E$21,Variations!$B$6:$B$21,"CF-P03",Variations!$F$6:$F$21,"Pending",Variations!$G$6:$G$21,"&lt;="&amp;Assumptions!O$95)</f>
        <v>0</v>
      </c>
      <c r="P449" s="58" t="n">
        <f aca="false">SUMIFS(Variations!$E$6:$E$21,Variations!$B$6:$B$21,"CF-P03",Variations!$F$6:$F$21,"Pending",Variations!$G$6:$G$21,"&lt;="&amp;Assumptions!P$95)</f>
        <v>0</v>
      </c>
      <c r="Q449" s="58" t="n">
        <f aca="false">SUMIFS(Variations!$E$6:$E$21,Variations!$B$6:$B$21,"CF-P03",Variations!$F$6:$F$21,"Pending",Variations!$G$6:$G$21,"&lt;="&amp;Assumptions!Q$95)</f>
        <v>0</v>
      </c>
      <c r="R449" s="58" t="n">
        <f aca="false">SUMIFS(Variations!$E$6:$E$21,Variations!$B$6:$B$21,"CF-P03",Variations!$F$6:$F$21,"Pending",Variations!$G$6:$G$21,"&lt;="&amp;Assumptions!R$95)</f>
        <v>0</v>
      </c>
      <c r="S449" s="58" t="n">
        <f aca="false">SUMIFS(Variations!$E$6:$E$21,Variations!$B$6:$B$21,"CF-P03",Variations!$F$6:$F$21,"Pending",Variations!$G$6:$G$21,"&lt;="&amp;Assumptions!S$95)</f>
        <v>0</v>
      </c>
      <c r="T449" s="58" t="n">
        <f aca="false">SUMIFS(Variations!$E$6:$E$21,Variations!$B$6:$B$21,"CF-P03",Variations!$F$6:$F$21,"Pending",Variations!$G$6:$G$21,"&lt;="&amp;Assumptions!T$95)</f>
        <v>0</v>
      </c>
      <c r="U449" s="58" t="n">
        <f aca="false">SUMIFS(Variations!$E$6:$E$21,Variations!$B$6:$B$21,"CF-P03",Variations!$F$6:$F$21,"Pending",Variations!$G$6:$G$21,"&lt;="&amp;Assumptions!U$95)</f>
        <v>0</v>
      </c>
      <c r="V449" s="58" t="n">
        <f aca="false">SUMIFS(Variations!$E$6:$E$21,Variations!$B$6:$B$21,"CF-P03",Variations!$F$6:$F$21,"Pending",Variations!$G$6:$G$21,"&lt;="&amp;Assumptions!V$95)</f>
        <v>0</v>
      </c>
      <c r="W449" s="58" t="n">
        <f aca="false">SUMIFS(Variations!$E$6:$E$21,Variations!$B$6:$B$21,"CF-P03",Variations!$F$6:$F$21,"Pending",Variations!$G$6:$G$21,"&lt;="&amp;Assumptions!W$95)</f>
        <v>0</v>
      </c>
      <c r="X449" s="58" t="n">
        <f aca="false">SUMIFS(Variations!$E$6:$E$21,Variations!$B$6:$B$21,"CF-P03",Variations!$F$6:$F$21,"Pending",Variations!$G$6:$G$21,"&lt;="&amp;Assumptions!X$95)</f>
        <v>0</v>
      </c>
      <c r="Y449" s="58" t="n">
        <f aca="false">SUMIFS(Variations!$E$6:$E$21,Variations!$B$6:$B$21,"CF-P03",Variations!$F$6:$F$21,"Pending",Variations!$G$6:$G$21,"&lt;="&amp;Assumptions!Y$95)</f>
        <v>0</v>
      </c>
      <c r="Z449" s="58" t="n">
        <f aca="false">SUMIFS(Variations!$E$6:$E$21,Variations!$B$6:$B$21,"CF-P03",Variations!$F$6:$F$21,"Pending",Variations!$G$6:$G$21,"&lt;="&amp;Assumptions!Z$95)</f>
        <v>0</v>
      </c>
      <c r="AA449" s="58" t="n">
        <f aca="false">SUMIFS(Variations!$E$6:$E$21,Variations!$B$6:$B$21,"CF-P03",Variations!$F$6:$F$21,"Pending",Variations!$G$6:$G$21,"&lt;="&amp;Assumptions!AA$95)</f>
        <v>0</v>
      </c>
      <c r="AB449" s="58" t="n">
        <f aca="false">SUMIFS(Variations!$E$6:$E$21,Variations!$B$6:$B$21,"CF-P03",Variations!$F$6:$F$21,"Pending",Variations!$G$6:$G$21,"&lt;="&amp;Assumptions!AB$95)</f>
        <v>0</v>
      </c>
    </row>
    <row r="450" customFormat="false" ht="15" hidden="false" customHeight="false" outlineLevel="0" collapsed="false">
      <c r="A450" s="27" t="s">
        <v>739</v>
      </c>
      <c r="B450" s="56" t="s">
        <v>740</v>
      </c>
      <c r="C450" s="57" t="n">
        <f aca="false">P450</f>
        <v>390000</v>
      </c>
      <c r="D450" s="57" t="n">
        <f aca="false">AB450</f>
        <v>390000</v>
      </c>
      <c r="E450" s="58" t="n">
        <f aca="false">Project_Register!$AO$17+E447+Assumptions!$C$74*E448+Assumptions!$F$121*E449</f>
        <v>390000</v>
      </c>
      <c r="F450" s="58" t="n">
        <f aca="false">Project_Register!$AO$17+F447+Assumptions!$C$74*F448+Assumptions!$F$121*F449</f>
        <v>390000</v>
      </c>
      <c r="G450" s="58" t="n">
        <f aca="false">Project_Register!$AO$17+G447+Assumptions!$C$74*G448+Assumptions!$F$121*G449</f>
        <v>390000</v>
      </c>
      <c r="H450" s="58" t="n">
        <f aca="false">Project_Register!$AO$17+H447+Assumptions!$C$74*H448+Assumptions!$F$121*H449</f>
        <v>390000</v>
      </c>
      <c r="I450" s="58" t="n">
        <f aca="false">Project_Register!$AO$17+I447+Assumptions!$C$74*I448+Assumptions!$F$121*I449</f>
        <v>390000</v>
      </c>
      <c r="J450" s="58" t="n">
        <f aca="false">Project_Register!$AO$17+J447+Assumptions!$C$74*J448+Assumptions!$F$121*J449</f>
        <v>390000</v>
      </c>
      <c r="K450" s="58" t="n">
        <f aca="false">Project_Register!$AO$17+K447+Assumptions!$C$74*K448+Assumptions!$F$121*K449</f>
        <v>390000</v>
      </c>
      <c r="L450" s="58" t="n">
        <f aca="false">Project_Register!$AO$17+L447+Assumptions!$C$74*L448+Assumptions!$F$121*L449</f>
        <v>390000</v>
      </c>
      <c r="M450" s="58" t="n">
        <f aca="false">Project_Register!$AO$17+M447+Assumptions!$C$74*M448+Assumptions!$F$121*M449</f>
        <v>390000</v>
      </c>
      <c r="N450" s="58" t="n">
        <f aca="false">Project_Register!$AO$17+N447+Assumptions!$C$74*N448+Assumptions!$F$121*N449</f>
        <v>390000</v>
      </c>
      <c r="O450" s="58" t="n">
        <f aca="false">Project_Register!$AO$17+O447+Assumptions!$C$74*O448+Assumptions!$F$121*O449</f>
        <v>390000</v>
      </c>
      <c r="P450" s="58" t="n">
        <f aca="false">Project_Register!$AO$17+P447+Assumptions!$C$74*P448+Assumptions!$F$121*P449</f>
        <v>390000</v>
      </c>
      <c r="Q450" s="58" t="n">
        <f aca="false">Project_Register!$AO$17+Q447+Assumptions!$C$74*Q448+Assumptions!$F$121*Q449</f>
        <v>390000</v>
      </c>
      <c r="R450" s="58" t="n">
        <f aca="false">Project_Register!$AO$17+R447+Assumptions!$C$74*R448+Assumptions!$F$121*R449</f>
        <v>390000</v>
      </c>
      <c r="S450" s="58" t="n">
        <f aca="false">Project_Register!$AO$17+S447+Assumptions!$C$74*S448+Assumptions!$F$121*S449</f>
        <v>390000</v>
      </c>
      <c r="T450" s="58" t="n">
        <f aca="false">Project_Register!$AO$17+T447+Assumptions!$C$74*T448+Assumptions!$F$121*T449</f>
        <v>390000</v>
      </c>
      <c r="U450" s="58" t="n">
        <f aca="false">Project_Register!$AO$17+U447+Assumptions!$C$74*U448+Assumptions!$F$121*U449</f>
        <v>390000</v>
      </c>
      <c r="V450" s="58" t="n">
        <f aca="false">Project_Register!$AO$17+V447+Assumptions!$C$74*V448+Assumptions!$F$121*V449</f>
        <v>390000</v>
      </c>
      <c r="W450" s="58" t="n">
        <f aca="false">Project_Register!$AO$17+W447+Assumptions!$C$74*W448+Assumptions!$F$121*W449</f>
        <v>390000</v>
      </c>
      <c r="X450" s="58" t="n">
        <f aca="false">Project_Register!$AO$17+X447+Assumptions!$C$74*X448+Assumptions!$F$121*X449</f>
        <v>390000</v>
      </c>
      <c r="Y450" s="58" t="n">
        <f aca="false">Project_Register!$AO$17+Y447+Assumptions!$C$74*Y448+Assumptions!$F$121*Y449</f>
        <v>390000</v>
      </c>
      <c r="Z450" s="58" t="n">
        <f aca="false">Project_Register!$AO$17+Z447+Assumptions!$C$74*Z448+Assumptions!$F$121*Z449</f>
        <v>390000</v>
      </c>
      <c r="AA450" s="58" t="n">
        <f aca="false">Project_Register!$AO$17+AA447+Assumptions!$C$74*AA448+Assumptions!$F$121*AA449</f>
        <v>390000</v>
      </c>
      <c r="AB450" s="58" t="n">
        <f aca="false">Project_Register!$AO$17+AB447+Assumptions!$C$74*AB448+Assumptions!$F$121*AB449</f>
        <v>390000</v>
      </c>
    </row>
    <row r="451" customFormat="false" ht="15" hidden="false" customHeight="false" outlineLevel="0" collapsed="false">
      <c r="A451" s="27" t="s">
        <v>741</v>
      </c>
      <c r="B451" s="56" t="s">
        <v>742</v>
      </c>
      <c r="C451" s="57" t="n">
        <f aca="false">P451</f>
        <v>0</v>
      </c>
      <c r="D451" s="57" t="n">
        <f aca="false">AB451</f>
        <v>390000</v>
      </c>
      <c r="E451" s="58" t="n">
        <f aca="false">IF(E$5="A",Project_Register!$AD$17+0,E446*E450)</f>
        <v>0</v>
      </c>
      <c r="F451" s="70" t="n">
        <f aca="false">IF(F$5="A",E451+0,F446*F450)</f>
        <v>0</v>
      </c>
      <c r="G451" s="70" t="n">
        <f aca="false">IF(G$5="A",F451+0,G446*G450)</f>
        <v>0</v>
      </c>
      <c r="H451" s="70" t="n">
        <f aca="false">IF(H$5="A",G451+0,H446*H450)</f>
        <v>0</v>
      </c>
      <c r="I451" s="70" t="n">
        <f aca="false">IF(I$5="A",H451+0,I446*I450)</f>
        <v>0</v>
      </c>
      <c r="J451" s="70" t="n">
        <f aca="false">IF(J$5="A",I451+0,J446*J450)</f>
        <v>0</v>
      </c>
      <c r="K451" s="70" t="n">
        <f aca="false">IF(K$5="A",J451+0,K446*K450)</f>
        <v>0</v>
      </c>
      <c r="L451" s="70" t="n">
        <f aca="false">IF(L$5="A",K451+0,L446*L450)</f>
        <v>0</v>
      </c>
      <c r="M451" s="70" t="n">
        <f aca="false">IF(M$5="A",L451+0,M446*M450)</f>
        <v>0</v>
      </c>
      <c r="N451" s="70" t="n">
        <f aca="false">IF(N$5="A",M451+0,N446*N450)</f>
        <v>0</v>
      </c>
      <c r="O451" s="70" t="n">
        <f aca="false">IF(O$5="A",N451+0,O446*O450)</f>
        <v>0</v>
      </c>
      <c r="P451" s="70" t="n">
        <f aca="false">IF(P$5="A",O451+0,P446*P450)</f>
        <v>0</v>
      </c>
      <c r="Q451" s="70" t="n">
        <f aca="false">IF(Q$5="A",P451+0,Q446*Q450)</f>
        <v>0</v>
      </c>
      <c r="R451" s="70" t="n">
        <f aca="false">IF(R$5="A",Q451+0,R446*R450)</f>
        <v>0</v>
      </c>
      <c r="S451" s="70" t="n">
        <f aca="false">IF(S$5="A",R451+0,S446*S450)</f>
        <v>0</v>
      </c>
      <c r="T451" s="70" t="n">
        <f aca="false">IF(T$5="A",S451+0,T446*T450)</f>
        <v>28888.8888888889</v>
      </c>
      <c r="U451" s="70" t="n">
        <f aca="false">IF(U$5="A",T451+0,U446*U450)</f>
        <v>101111.111111111</v>
      </c>
      <c r="V451" s="70" t="n">
        <f aca="false">IF(V$5="A",U451+0,V446*V450)</f>
        <v>195000</v>
      </c>
      <c r="W451" s="70" t="n">
        <f aca="false">IF(W$5="A",V451+0,W446*W450)</f>
        <v>288888.888888889</v>
      </c>
      <c r="X451" s="70" t="n">
        <f aca="false">IF(X$5="A",W451+0,X446*X450)</f>
        <v>361111.111111111</v>
      </c>
      <c r="Y451" s="70" t="n">
        <f aca="false">IF(Y$5="A",X451+0,Y446*Y450)</f>
        <v>390000</v>
      </c>
      <c r="Z451" s="70" t="n">
        <f aca="false">IF(Z$5="A",Y451+0,Z446*Z450)</f>
        <v>390000</v>
      </c>
      <c r="AA451" s="70" t="n">
        <f aca="false">IF(AA$5="A",Z451+0,AA446*AA450)</f>
        <v>390000</v>
      </c>
      <c r="AB451" s="70" t="n">
        <f aca="false">IF(AB$5="A",AA451+0,AB446*AB450)</f>
        <v>390000</v>
      </c>
    </row>
    <row r="452" customFormat="false" ht="15" hidden="false" customHeight="false" outlineLevel="0" collapsed="false">
      <c r="A452" s="67" t="s">
        <v>743</v>
      </c>
      <c r="B452" s="68" t="s">
        <v>744</v>
      </c>
      <c r="C452" s="69" t="n">
        <f aca="false">SUM(E452:P452)</f>
        <v>0</v>
      </c>
      <c r="D452" s="69" t="n">
        <f aca="false">SUM(Q452:AB452)</f>
        <v>390000</v>
      </c>
      <c r="E452" s="74" t="n">
        <f aca="false">E451-Project_Register!$AD$17</f>
        <v>0</v>
      </c>
      <c r="F452" s="69" t="n">
        <f aca="false">F451-E451</f>
        <v>0</v>
      </c>
      <c r="G452" s="69" t="n">
        <f aca="false">G451-F451</f>
        <v>0</v>
      </c>
      <c r="H452" s="69" t="n">
        <f aca="false">H451-G451</f>
        <v>0</v>
      </c>
      <c r="I452" s="69" t="n">
        <f aca="false">I451-H451</f>
        <v>0</v>
      </c>
      <c r="J452" s="69" t="n">
        <f aca="false">J451-I451</f>
        <v>0</v>
      </c>
      <c r="K452" s="69" t="n">
        <f aca="false">K451-J451</f>
        <v>0</v>
      </c>
      <c r="L452" s="69" t="n">
        <f aca="false">L451-K451</f>
        <v>0</v>
      </c>
      <c r="M452" s="69" t="n">
        <f aca="false">M451-L451</f>
        <v>0</v>
      </c>
      <c r="N452" s="69" t="n">
        <f aca="false">N451-M451</f>
        <v>0</v>
      </c>
      <c r="O452" s="69" t="n">
        <f aca="false">O451-N451</f>
        <v>0</v>
      </c>
      <c r="P452" s="69" t="n">
        <f aca="false">P451-O451</f>
        <v>0</v>
      </c>
      <c r="Q452" s="69" t="n">
        <f aca="false">Q451-P451</f>
        <v>0</v>
      </c>
      <c r="R452" s="69" t="n">
        <f aca="false">R451-Q451</f>
        <v>0</v>
      </c>
      <c r="S452" s="69" t="n">
        <f aca="false">S451-R451</f>
        <v>0</v>
      </c>
      <c r="T452" s="69" t="n">
        <f aca="false">T451-S451</f>
        <v>28888.8888888889</v>
      </c>
      <c r="U452" s="69" t="n">
        <f aca="false">U451-T451</f>
        <v>72222.2222222222</v>
      </c>
      <c r="V452" s="69" t="n">
        <f aca="false">V451-U451</f>
        <v>93888.8888888889</v>
      </c>
      <c r="W452" s="69" t="n">
        <f aca="false">W451-V451</f>
        <v>93888.8888888889</v>
      </c>
      <c r="X452" s="69" t="n">
        <f aca="false">X451-W451</f>
        <v>72222.2222222222</v>
      </c>
      <c r="Y452" s="69" t="n">
        <f aca="false">Y451-X451</f>
        <v>28888.8888888889</v>
      </c>
      <c r="Z452" s="69" t="n">
        <f aca="false">Z451-Y451</f>
        <v>0</v>
      </c>
      <c r="AA452" s="69" t="n">
        <f aca="false">AA451-Z451</f>
        <v>0</v>
      </c>
      <c r="AB452" s="69" t="n">
        <f aca="false">AB451-AA451</f>
        <v>0</v>
      </c>
    </row>
    <row r="453" customFormat="false" ht="15" hidden="false" customHeight="false" outlineLevel="0" collapsed="false">
      <c r="A453" s="27" t="s">
        <v>745</v>
      </c>
      <c r="B453" s="56" t="s">
        <v>746</v>
      </c>
      <c r="C453" s="57" t="n">
        <f aca="false">P453</f>
        <v>0</v>
      </c>
      <c r="D453" s="57" t="n">
        <f aca="false">AB453</f>
        <v>0</v>
      </c>
      <c r="E453" s="70" t="n">
        <f aca="false">MAX(0,E445-E450)*(1-E446)</f>
        <v>0</v>
      </c>
      <c r="F453" s="70" t="n">
        <f aca="false">MAX(0,F445-F450)*(1-F446)</f>
        <v>0</v>
      </c>
      <c r="G453" s="70" t="n">
        <f aca="false">MAX(0,G445-G450)*(1-G446)</f>
        <v>0</v>
      </c>
      <c r="H453" s="70" t="n">
        <f aca="false">MAX(0,H445-H450)*(1-H446)</f>
        <v>0</v>
      </c>
      <c r="I453" s="70" t="n">
        <f aca="false">MAX(0,I445-I450)*(1-I446)</f>
        <v>0</v>
      </c>
      <c r="J453" s="70" t="n">
        <f aca="false">MAX(0,J445-J450)*(1-J446)</f>
        <v>0</v>
      </c>
      <c r="K453" s="70" t="n">
        <f aca="false">MAX(0,K445-K450)*(1-K446)</f>
        <v>0</v>
      </c>
      <c r="L453" s="70" t="n">
        <f aca="false">MAX(0,L445-L450)*(1-L446)</f>
        <v>0</v>
      </c>
      <c r="M453" s="70" t="n">
        <f aca="false">MAX(0,M445-M450)*(1-M446)</f>
        <v>0</v>
      </c>
      <c r="N453" s="70" t="n">
        <f aca="false">MAX(0,N445-N450)*(1-N446)</f>
        <v>0</v>
      </c>
      <c r="O453" s="70" t="n">
        <f aca="false">MAX(0,O445-O450)*(1-O446)</f>
        <v>0</v>
      </c>
      <c r="P453" s="70" t="n">
        <f aca="false">MAX(0,P445-P450)*(1-P446)</f>
        <v>0</v>
      </c>
      <c r="Q453" s="70" t="n">
        <f aca="false">MAX(0,Q445-Q450)*(1-Q446)</f>
        <v>0</v>
      </c>
      <c r="R453" s="70" t="n">
        <f aca="false">MAX(0,R445-R450)*(1-R446)</f>
        <v>0</v>
      </c>
      <c r="S453" s="70" t="n">
        <f aca="false">MAX(0,S445-S450)*(1-S446)</f>
        <v>0</v>
      </c>
      <c r="T453" s="70" t="n">
        <f aca="false">MAX(0,T445-T450)*(1-T446)</f>
        <v>0</v>
      </c>
      <c r="U453" s="70" t="n">
        <f aca="false">MAX(0,U445-U450)*(1-U446)</f>
        <v>0</v>
      </c>
      <c r="V453" s="70" t="n">
        <f aca="false">MAX(0,V445-V450)*(1-V446)</f>
        <v>0</v>
      </c>
      <c r="W453" s="70" t="n">
        <f aca="false">MAX(0,W445-W450)*(1-W446)</f>
        <v>0</v>
      </c>
      <c r="X453" s="70" t="n">
        <f aca="false">MAX(0,X445-X450)*(1-X446)</f>
        <v>0</v>
      </c>
      <c r="Y453" s="70" t="n">
        <f aca="false">MAX(0,Y445-Y450)*(1-Y446)</f>
        <v>0</v>
      </c>
      <c r="Z453" s="70" t="n">
        <f aca="false">MAX(0,Z445-Z450)*(1-Z446)</f>
        <v>0</v>
      </c>
      <c r="AA453" s="70" t="n">
        <f aca="false">MAX(0,AA445-AA450)*(1-AA446)</f>
        <v>0</v>
      </c>
      <c r="AB453" s="70" t="n">
        <f aca="false">MAX(0,AB445-AB450)*(1-AB446)</f>
        <v>0</v>
      </c>
    </row>
    <row r="454" customFormat="false" ht="15" hidden="false" customHeight="false" outlineLevel="0" collapsed="false">
      <c r="A454" s="27" t="s">
        <v>747</v>
      </c>
      <c r="B454" s="56"/>
      <c r="C454" s="57" t="n">
        <f aca="false">SUM(E454:P454)</f>
        <v>0</v>
      </c>
      <c r="D454" s="57" t="n">
        <f aca="false">SUM(Q454:AB454)</f>
        <v>0</v>
      </c>
      <c r="E454" s="70" t="n">
        <f aca="false">-(E453-0)</f>
        <v>-0</v>
      </c>
      <c r="F454" s="70" t="n">
        <f aca="false">-(F453-E453)</f>
        <v>-0</v>
      </c>
      <c r="G454" s="70" t="n">
        <f aca="false">-(G453-F453)</f>
        <v>-0</v>
      </c>
      <c r="H454" s="70" t="n">
        <f aca="false">-(H453-G453)</f>
        <v>-0</v>
      </c>
      <c r="I454" s="70" t="n">
        <f aca="false">-(I453-H453)</f>
        <v>-0</v>
      </c>
      <c r="J454" s="70" t="n">
        <f aca="false">-(J453-I453)</f>
        <v>-0</v>
      </c>
      <c r="K454" s="70" t="n">
        <f aca="false">-(K453-J453)</f>
        <v>-0</v>
      </c>
      <c r="L454" s="70" t="n">
        <f aca="false">-(L453-K453)</f>
        <v>-0</v>
      </c>
      <c r="M454" s="70" t="n">
        <f aca="false">-(M453-L453)</f>
        <v>-0</v>
      </c>
      <c r="N454" s="70" t="n">
        <f aca="false">-(N453-M453)</f>
        <v>-0</v>
      </c>
      <c r="O454" s="70" t="n">
        <f aca="false">-(O453-N453)</f>
        <v>-0</v>
      </c>
      <c r="P454" s="70" t="n">
        <f aca="false">-(P453-O453)</f>
        <v>-0</v>
      </c>
      <c r="Q454" s="70" t="n">
        <f aca="false">-(Q453-P453)</f>
        <v>-0</v>
      </c>
      <c r="R454" s="70" t="n">
        <f aca="false">-(R453-Q453)</f>
        <v>-0</v>
      </c>
      <c r="S454" s="70" t="n">
        <f aca="false">-(S453-R453)</f>
        <v>-0</v>
      </c>
      <c r="T454" s="70" t="n">
        <f aca="false">-(T453-S453)</f>
        <v>-0</v>
      </c>
      <c r="U454" s="70" t="n">
        <f aca="false">-(U453-T453)</f>
        <v>-0</v>
      </c>
      <c r="V454" s="70" t="n">
        <f aca="false">-(V453-U453)</f>
        <v>-0</v>
      </c>
      <c r="W454" s="70" t="n">
        <f aca="false">-(W453-V453)</f>
        <v>-0</v>
      </c>
      <c r="X454" s="70" t="n">
        <f aca="false">-(X453-W453)</f>
        <v>-0</v>
      </c>
      <c r="Y454" s="70" t="n">
        <f aca="false">-(Y453-X453)</f>
        <v>-0</v>
      </c>
      <c r="Z454" s="70" t="n">
        <f aca="false">-(Z453-Y453)</f>
        <v>-0</v>
      </c>
      <c r="AA454" s="70" t="n">
        <f aca="false">-(AA453-Z453)</f>
        <v>-0</v>
      </c>
      <c r="AB454" s="70" t="n">
        <f aca="false">-(AB453-AA453)</f>
        <v>-0</v>
      </c>
    </row>
    <row r="455" customFormat="false" ht="15" hidden="false" customHeight="false" outlineLevel="0" collapsed="false">
      <c r="A455" s="67" t="s">
        <v>748</v>
      </c>
      <c r="B455" s="68" t="s">
        <v>749</v>
      </c>
      <c r="C455" s="69" t="n">
        <f aca="false">SUM(E455:P455)</f>
        <v>0</v>
      </c>
      <c r="D455" s="69" t="n">
        <f aca="false">SUM(Q455:AB455)</f>
        <v>53000</v>
      </c>
      <c r="E455" s="69" t="n">
        <f aca="false">E452-E443+E454</f>
        <v>0</v>
      </c>
      <c r="F455" s="69" t="n">
        <f aca="false">F452-F443+F454</f>
        <v>0</v>
      </c>
      <c r="G455" s="69" t="n">
        <f aca="false">G452-G443+G454</f>
        <v>0</v>
      </c>
      <c r="H455" s="69" t="n">
        <f aca="false">H452-H443+H454</f>
        <v>0</v>
      </c>
      <c r="I455" s="69" t="n">
        <f aca="false">I452-I443+I454</f>
        <v>0</v>
      </c>
      <c r="J455" s="69" t="n">
        <f aca="false">J452-J443+J454</f>
        <v>0</v>
      </c>
      <c r="K455" s="69" t="n">
        <f aca="false">K452-K443+K454</f>
        <v>0</v>
      </c>
      <c r="L455" s="69" t="n">
        <f aca="false">L452-L443+L454</f>
        <v>0</v>
      </c>
      <c r="M455" s="69" t="n">
        <f aca="false">M452-M443+M454</f>
        <v>0</v>
      </c>
      <c r="N455" s="69" t="n">
        <f aca="false">N452-N443+N454</f>
        <v>0</v>
      </c>
      <c r="O455" s="69" t="n">
        <f aca="false">O452-O443+O454</f>
        <v>0</v>
      </c>
      <c r="P455" s="69" t="n">
        <f aca="false">P452-P443+P454</f>
        <v>0</v>
      </c>
      <c r="Q455" s="69" t="n">
        <f aca="false">Q452-Q443+Q454</f>
        <v>0</v>
      </c>
      <c r="R455" s="69" t="n">
        <f aca="false">R452-R443+R454</f>
        <v>0</v>
      </c>
      <c r="S455" s="69" t="n">
        <f aca="false">S452-S443+S454</f>
        <v>0</v>
      </c>
      <c r="T455" s="69" t="n">
        <f aca="false">T452-T443+T454</f>
        <v>3925.92592592593</v>
      </c>
      <c r="U455" s="69" t="n">
        <f aca="false">U452-U443+U454</f>
        <v>9814.81481481482</v>
      </c>
      <c r="V455" s="69" t="n">
        <f aca="false">V452-V443+V454</f>
        <v>12759.2592592593</v>
      </c>
      <c r="W455" s="69" t="n">
        <f aca="false">W452-W443+W454</f>
        <v>12759.2592592593</v>
      </c>
      <c r="X455" s="69" t="n">
        <f aca="false">X452-X443+X454</f>
        <v>9814.81481481485</v>
      </c>
      <c r="Y455" s="69" t="n">
        <f aca="false">Y452-Y443+Y454</f>
        <v>3925.92592592588</v>
      </c>
      <c r="Z455" s="69" t="n">
        <f aca="false">Z452-Z443+Z454</f>
        <v>0</v>
      </c>
      <c r="AA455" s="69" t="n">
        <f aca="false">AA452-AA443+AA454</f>
        <v>0</v>
      </c>
      <c r="AB455" s="69" t="n">
        <f aca="false">AB452-AB443+AB454</f>
        <v>0</v>
      </c>
    </row>
    <row r="456" customFormat="false" ht="15" hidden="false" customHeight="false" outlineLevel="0" collapsed="false">
      <c r="A456" s="27" t="s">
        <v>750</v>
      </c>
      <c r="B456" s="56"/>
      <c r="C456" s="57" t="n">
        <f aca="false">P456</f>
        <v>390000</v>
      </c>
      <c r="D456" s="57" t="n">
        <f aca="false">AB456</f>
        <v>390000</v>
      </c>
      <c r="E456" s="58" t="n">
        <f aca="false">Project_Register!$AO$17+E447+Assumptions!$F$121*E449</f>
        <v>390000</v>
      </c>
      <c r="F456" s="58" t="n">
        <f aca="false">Project_Register!$AO$17+F447+Assumptions!$F$121*F449</f>
        <v>390000</v>
      </c>
      <c r="G456" s="58" t="n">
        <f aca="false">Project_Register!$AO$17+G447+Assumptions!$F$121*G449</f>
        <v>390000</v>
      </c>
      <c r="H456" s="58" t="n">
        <f aca="false">Project_Register!$AO$17+H447+Assumptions!$F$121*H449</f>
        <v>390000</v>
      </c>
      <c r="I456" s="58" t="n">
        <f aca="false">Project_Register!$AO$17+I447+Assumptions!$F$121*I449</f>
        <v>390000</v>
      </c>
      <c r="J456" s="58" t="n">
        <f aca="false">Project_Register!$AO$17+J447+Assumptions!$F$121*J449</f>
        <v>390000</v>
      </c>
      <c r="K456" s="58" t="n">
        <f aca="false">Project_Register!$AO$17+K447+Assumptions!$F$121*K449</f>
        <v>390000</v>
      </c>
      <c r="L456" s="58" t="n">
        <f aca="false">Project_Register!$AO$17+L447+Assumptions!$F$121*L449</f>
        <v>390000</v>
      </c>
      <c r="M456" s="58" t="n">
        <f aca="false">Project_Register!$AO$17+M447+Assumptions!$F$121*M449</f>
        <v>390000</v>
      </c>
      <c r="N456" s="58" t="n">
        <f aca="false">Project_Register!$AO$17+N447+Assumptions!$F$121*N449</f>
        <v>390000</v>
      </c>
      <c r="O456" s="58" t="n">
        <f aca="false">Project_Register!$AO$17+O447+Assumptions!$F$121*O449</f>
        <v>390000</v>
      </c>
      <c r="P456" s="58" t="n">
        <f aca="false">Project_Register!$AO$17+P447+Assumptions!$F$121*P449</f>
        <v>390000</v>
      </c>
      <c r="Q456" s="58" t="n">
        <f aca="false">Project_Register!$AO$17+Q447+Assumptions!$F$121*Q449</f>
        <v>390000</v>
      </c>
      <c r="R456" s="58" t="n">
        <f aca="false">Project_Register!$AO$17+R447+Assumptions!$F$121*R449</f>
        <v>390000</v>
      </c>
      <c r="S456" s="58" t="n">
        <f aca="false">Project_Register!$AO$17+S447+Assumptions!$F$121*S449</f>
        <v>390000</v>
      </c>
      <c r="T456" s="58" t="n">
        <f aca="false">Project_Register!$AO$17+T447+Assumptions!$F$121*T449</f>
        <v>390000</v>
      </c>
      <c r="U456" s="58" t="n">
        <f aca="false">Project_Register!$AO$17+U447+Assumptions!$F$121*U449</f>
        <v>390000</v>
      </c>
      <c r="V456" s="58" t="n">
        <f aca="false">Project_Register!$AO$17+V447+Assumptions!$F$121*V449</f>
        <v>390000</v>
      </c>
      <c r="W456" s="58" t="n">
        <f aca="false">Project_Register!$AO$17+W447+Assumptions!$F$121*W449</f>
        <v>390000</v>
      </c>
      <c r="X456" s="58" t="n">
        <f aca="false">Project_Register!$AO$17+X447+Assumptions!$F$121*X449</f>
        <v>390000</v>
      </c>
      <c r="Y456" s="58" t="n">
        <f aca="false">Project_Register!$AO$17+Y447+Assumptions!$F$121*Y449</f>
        <v>390000</v>
      </c>
      <c r="Z456" s="58" t="n">
        <f aca="false">Project_Register!$AO$17+Z447+Assumptions!$F$121*Z449</f>
        <v>390000</v>
      </c>
      <c r="AA456" s="58" t="n">
        <f aca="false">Project_Register!$AO$17+AA447+Assumptions!$F$121*AA449</f>
        <v>390000</v>
      </c>
      <c r="AB456" s="58" t="n">
        <f aca="false">Project_Register!$AO$17+AB447+Assumptions!$F$121*AB449</f>
        <v>390000</v>
      </c>
    </row>
    <row r="457" customFormat="false" ht="15" hidden="false" customHeight="false" outlineLevel="0" collapsed="false">
      <c r="A457" s="27" t="s">
        <v>751</v>
      </c>
      <c r="B457" s="56" t="s">
        <v>752</v>
      </c>
      <c r="C457" s="57" t="n">
        <f aca="false">P457</f>
        <v>0</v>
      </c>
      <c r="D457" s="57" t="n">
        <f aca="false">AB457</f>
        <v>390000</v>
      </c>
      <c r="E457" s="58" t="n">
        <f aca="false">IF(E$5="A",Project_Register!$AE$17+0,IF(Assumptions!E$96&gt;=Project_Register!$AM$17,E456,MIN(E456,MAX(Project_Register!$AE$17,0*E456))))</f>
        <v>0</v>
      </c>
      <c r="F457" s="58" t="n">
        <f aca="false">IF(F$5="A",E457+0,IF(Assumptions!F$96&gt;=Project_Register!$AM$17,F456,MIN(F456,MAX(E457,E446*F456))))</f>
        <v>0</v>
      </c>
      <c r="G457" s="58" t="n">
        <f aca="false">IF(G$5="A",F457+0,IF(Assumptions!G$96&gt;=Project_Register!$AM$17,G456,MIN(G456,MAX(F457,F446*G456))))</f>
        <v>0</v>
      </c>
      <c r="H457" s="58" t="n">
        <f aca="false">IF(H$5="A",G457+0,IF(Assumptions!H$96&gt;=Project_Register!$AM$17,H456,MIN(H456,MAX(G457,G446*H456))))</f>
        <v>0</v>
      </c>
      <c r="I457" s="58" t="n">
        <f aca="false">IF(I$5="A",H457+0,IF(Assumptions!I$96&gt;=Project_Register!$AM$17,I456,MIN(I456,MAX(H457,H446*I456))))</f>
        <v>0</v>
      </c>
      <c r="J457" s="58" t="n">
        <f aca="false">IF(J$5="A",I457+0,IF(Assumptions!J$96&gt;=Project_Register!$AM$17,J456,MIN(J456,MAX(I457,I446*J456))))</f>
        <v>0</v>
      </c>
      <c r="K457" s="58" t="n">
        <f aca="false">IF(K$5="A",J457+0,IF(Assumptions!K$96&gt;=Project_Register!$AM$17,K456,MIN(K456,MAX(J457,J446*K456))))</f>
        <v>0</v>
      </c>
      <c r="L457" s="58" t="n">
        <f aca="false">IF(L$5="A",K457+0,IF(Assumptions!L$96&gt;=Project_Register!$AM$17,L456,MIN(L456,MAX(K457,K446*L456))))</f>
        <v>0</v>
      </c>
      <c r="M457" s="58" t="n">
        <f aca="false">IF(M$5="A",L457+0,IF(Assumptions!M$96&gt;=Project_Register!$AM$17,M456,MIN(M456,MAX(L457,L446*M456))))</f>
        <v>0</v>
      </c>
      <c r="N457" s="58" t="n">
        <f aca="false">IF(N$5="A",M457+0,IF(Assumptions!N$96&gt;=Project_Register!$AM$17,N456,MIN(N456,MAX(M457,M446*N456))))</f>
        <v>0</v>
      </c>
      <c r="O457" s="58" t="n">
        <f aca="false">IF(O$5="A",N457+0,IF(Assumptions!O$96&gt;=Project_Register!$AM$17,O456,MIN(O456,MAX(N457,N446*O456))))</f>
        <v>0</v>
      </c>
      <c r="P457" s="58" t="n">
        <f aca="false">IF(P$5="A",O457+0,IF(Assumptions!P$96&gt;=Project_Register!$AM$17,P456,MIN(P456,MAX(O457,O446*P456))))</f>
        <v>0</v>
      </c>
      <c r="Q457" s="58" t="n">
        <f aca="false">IF(Q$5="A",P457+0,IF(Assumptions!Q$96&gt;=Project_Register!$AM$17,Q456,MIN(Q456,MAX(P457,P446*Q456))))</f>
        <v>0</v>
      </c>
      <c r="R457" s="58" t="n">
        <f aca="false">IF(R$5="A",Q457+0,IF(Assumptions!R$96&gt;=Project_Register!$AM$17,R456,MIN(R456,MAX(Q457,Q446*R456))))</f>
        <v>0</v>
      </c>
      <c r="S457" s="58" t="n">
        <f aca="false">IF(S$5="A",R457+0,IF(Assumptions!S$96&gt;=Project_Register!$AM$17,S456,MIN(S456,MAX(R457,R446*S456))))</f>
        <v>0</v>
      </c>
      <c r="T457" s="58" t="n">
        <f aca="false">IF(T$5="A",S457+0,IF(Assumptions!T$96&gt;=Project_Register!$AM$17,T456,MIN(T456,MAX(S457,S446*T456))))</f>
        <v>0</v>
      </c>
      <c r="U457" s="58" t="n">
        <f aca="false">IF(U$5="A",T457+0,IF(Assumptions!U$96&gt;=Project_Register!$AM$17,U456,MIN(U456,MAX(T457,T446*U456))))</f>
        <v>28888.8888888889</v>
      </c>
      <c r="V457" s="58" t="n">
        <f aca="false">IF(V$5="A",U457+0,IF(Assumptions!V$96&gt;=Project_Register!$AM$17,V456,MIN(V456,MAX(U457,U446*V456))))</f>
        <v>101111.111111111</v>
      </c>
      <c r="W457" s="58" t="n">
        <f aca="false">IF(W$5="A",V457+0,IF(Assumptions!W$96&gt;=Project_Register!$AM$17,W456,MIN(W456,MAX(V457,V446*W456))))</f>
        <v>195000</v>
      </c>
      <c r="X457" s="58" t="n">
        <f aca="false">IF(X$5="A",W457+0,IF(Assumptions!X$96&gt;=Project_Register!$AM$17,X456,MIN(X456,MAX(W457,W446*X456))))</f>
        <v>288888.888888889</v>
      </c>
      <c r="Y457" s="58" t="n">
        <f aca="false">IF(Y$5="A",X457+0,IF(Assumptions!Y$96&gt;=Project_Register!$AM$17,Y456,MIN(Y456,MAX(X457,X446*Y456))))</f>
        <v>361111.111111111</v>
      </c>
      <c r="Z457" s="58" t="n">
        <f aca="false">IF(Z$5="A",Y457+0,IF(Assumptions!Z$96&gt;=Project_Register!$AM$17,Z456,MIN(Z456,MAX(Y457,Y446*Z456))))</f>
        <v>390000</v>
      </c>
      <c r="AA457" s="58" t="n">
        <f aca="false">IF(AA$5="A",Z457+0,IF(Assumptions!AA$96&gt;=Project_Register!$AM$17,AA456,MIN(AA456,MAX(Z457,Z446*AA456))))</f>
        <v>390000</v>
      </c>
      <c r="AB457" s="58" t="n">
        <f aca="false">IF(AB$5="A",AA457+0,IF(Assumptions!AB$96&gt;=Project_Register!$AM$17,AB456,MIN(AB456,MAX(AA457,AA446*AB456))))</f>
        <v>390000</v>
      </c>
    </row>
    <row r="458" customFormat="false" ht="15" hidden="false" customHeight="false" outlineLevel="0" collapsed="false">
      <c r="A458" s="27" t="s">
        <v>753</v>
      </c>
      <c r="B458" s="56"/>
      <c r="C458" s="57" t="n">
        <f aca="false">SUM(E458:P458)</f>
        <v>0</v>
      </c>
      <c r="D458" s="57" t="n">
        <f aca="false">SUM(Q458:AB458)</f>
        <v>390000</v>
      </c>
      <c r="E458" s="58" t="n">
        <f aca="false">E457-Project_Register!$AE$17</f>
        <v>0</v>
      </c>
      <c r="F458" s="70" t="n">
        <f aca="false">F457-E457</f>
        <v>0</v>
      </c>
      <c r="G458" s="70" t="n">
        <f aca="false">G457-F457</f>
        <v>0</v>
      </c>
      <c r="H458" s="70" t="n">
        <f aca="false">H457-G457</f>
        <v>0</v>
      </c>
      <c r="I458" s="70" t="n">
        <f aca="false">I457-H457</f>
        <v>0</v>
      </c>
      <c r="J458" s="70" t="n">
        <f aca="false">J457-I457</f>
        <v>0</v>
      </c>
      <c r="K458" s="70" t="n">
        <f aca="false">K457-J457</f>
        <v>0</v>
      </c>
      <c r="L458" s="70" t="n">
        <f aca="false">L457-K457</f>
        <v>0</v>
      </c>
      <c r="M458" s="70" t="n">
        <f aca="false">M457-L457</f>
        <v>0</v>
      </c>
      <c r="N458" s="70" t="n">
        <f aca="false">N457-M457</f>
        <v>0</v>
      </c>
      <c r="O458" s="70" t="n">
        <f aca="false">O457-N457</f>
        <v>0</v>
      </c>
      <c r="P458" s="70" t="n">
        <f aca="false">P457-O457</f>
        <v>0</v>
      </c>
      <c r="Q458" s="70" t="n">
        <f aca="false">Q457-P457</f>
        <v>0</v>
      </c>
      <c r="R458" s="70" t="n">
        <f aca="false">R457-Q457</f>
        <v>0</v>
      </c>
      <c r="S458" s="70" t="n">
        <f aca="false">S457-R457</f>
        <v>0</v>
      </c>
      <c r="T458" s="70" t="n">
        <f aca="false">T457-S457</f>
        <v>0</v>
      </c>
      <c r="U458" s="70" t="n">
        <f aca="false">U457-T457</f>
        <v>28888.8888888889</v>
      </c>
      <c r="V458" s="70" t="n">
        <f aca="false">V457-U457</f>
        <v>72222.2222222222</v>
      </c>
      <c r="W458" s="70" t="n">
        <f aca="false">W457-V457</f>
        <v>93888.8888888889</v>
      </c>
      <c r="X458" s="70" t="n">
        <f aca="false">X457-W457</f>
        <v>93888.8888888889</v>
      </c>
      <c r="Y458" s="70" t="n">
        <f aca="false">Y457-X457</f>
        <v>72222.2222222222</v>
      </c>
      <c r="Z458" s="70" t="n">
        <f aca="false">Z457-Y457</f>
        <v>28888.8888888889</v>
      </c>
      <c r="AA458" s="70" t="n">
        <f aca="false">AA457-Z457</f>
        <v>0</v>
      </c>
      <c r="AB458" s="70" t="n">
        <f aca="false">AB457-AA457</f>
        <v>0</v>
      </c>
    </row>
    <row r="459" customFormat="false" ht="15" hidden="false" customHeight="false" outlineLevel="0" collapsed="false">
      <c r="A459" s="27" t="s">
        <v>754</v>
      </c>
      <c r="B459" s="56" t="s">
        <v>755</v>
      </c>
      <c r="C459" s="57" t="n">
        <f aca="false">P459</f>
        <v>0</v>
      </c>
      <c r="D459" s="57" t="n">
        <f aca="false">AB459</f>
        <v>5850</v>
      </c>
      <c r="E459" s="58" t="n">
        <f aca="false">Project_Register!$Q$17*E457*(1-Project_Register!$R$17*(Assumptions!E$96&gt;=Project_Register!$AK$17+1)-(1-Project_Register!$R$17)*(Assumptions!E$96&gt;=Project_Register!$AN$17))</f>
        <v>0</v>
      </c>
      <c r="F459" s="58" t="n">
        <f aca="false">Project_Register!$Q$17*F457*(1-Project_Register!$R$17*(Assumptions!F$96&gt;=Project_Register!$AK$17+1)-(1-Project_Register!$R$17)*(Assumptions!F$96&gt;=Project_Register!$AN$17))</f>
        <v>0</v>
      </c>
      <c r="G459" s="58" t="n">
        <f aca="false">Project_Register!$Q$17*G457*(1-Project_Register!$R$17*(Assumptions!G$96&gt;=Project_Register!$AK$17+1)-(1-Project_Register!$R$17)*(Assumptions!G$96&gt;=Project_Register!$AN$17))</f>
        <v>0</v>
      </c>
      <c r="H459" s="58" t="n">
        <f aca="false">Project_Register!$Q$17*H457*(1-Project_Register!$R$17*(Assumptions!H$96&gt;=Project_Register!$AK$17+1)-(1-Project_Register!$R$17)*(Assumptions!H$96&gt;=Project_Register!$AN$17))</f>
        <v>0</v>
      </c>
      <c r="I459" s="58" t="n">
        <f aca="false">Project_Register!$Q$17*I457*(1-Project_Register!$R$17*(Assumptions!I$96&gt;=Project_Register!$AK$17+1)-(1-Project_Register!$R$17)*(Assumptions!I$96&gt;=Project_Register!$AN$17))</f>
        <v>0</v>
      </c>
      <c r="J459" s="58" t="n">
        <f aca="false">Project_Register!$Q$17*J457*(1-Project_Register!$R$17*(Assumptions!J$96&gt;=Project_Register!$AK$17+1)-(1-Project_Register!$R$17)*(Assumptions!J$96&gt;=Project_Register!$AN$17))</f>
        <v>0</v>
      </c>
      <c r="K459" s="58" t="n">
        <f aca="false">Project_Register!$Q$17*K457*(1-Project_Register!$R$17*(Assumptions!K$96&gt;=Project_Register!$AK$17+1)-(1-Project_Register!$R$17)*(Assumptions!K$96&gt;=Project_Register!$AN$17))</f>
        <v>0</v>
      </c>
      <c r="L459" s="58" t="n">
        <f aca="false">Project_Register!$Q$17*L457*(1-Project_Register!$R$17*(Assumptions!L$96&gt;=Project_Register!$AK$17+1)-(1-Project_Register!$R$17)*(Assumptions!L$96&gt;=Project_Register!$AN$17))</f>
        <v>0</v>
      </c>
      <c r="M459" s="58" t="n">
        <f aca="false">Project_Register!$Q$17*M457*(1-Project_Register!$R$17*(Assumptions!M$96&gt;=Project_Register!$AK$17+1)-(1-Project_Register!$R$17)*(Assumptions!M$96&gt;=Project_Register!$AN$17))</f>
        <v>0</v>
      </c>
      <c r="N459" s="58" t="n">
        <f aca="false">Project_Register!$Q$17*N457*(1-Project_Register!$R$17*(Assumptions!N$96&gt;=Project_Register!$AK$17+1)-(1-Project_Register!$R$17)*(Assumptions!N$96&gt;=Project_Register!$AN$17))</f>
        <v>0</v>
      </c>
      <c r="O459" s="58" t="n">
        <f aca="false">Project_Register!$Q$17*O457*(1-Project_Register!$R$17*(Assumptions!O$96&gt;=Project_Register!$AK$17+1)-(1-Project_Register!$R$17)*(Assumptions!O$96&gt;=Project_Register!$AN$17))</f>
        <v>0</v>
      </c>
      <c r="P459" s="58" t="n">
        <f aca="false">Project_Register!$Q$17*P457*(1-Project_Register!$R$17*(Assumptions!P$96&gt;=Project_Register!$AK$17+1)-(1-Project_Register!$R$17)*(Assumptions!P$96&gt;=Project_Register!$AN$17))</f>
        <v>0</v>
      </c>
      <c r="Q459" s="58" t="n">
        <f aca="false">Project_Register!$Q$17*Q457*(1-Project_Register!$R$17*(Assumptions!Q$96&gt;=Project_Register!$AK$17+1)-(1-Project_Register!$R$17)*(Assumptions!Q$96&gt;=Project_Register!$AN$17))</f>
        <v>0</v>
      </c>
      <c r="R459" s="58" t="n">
        <f aca="false">Project_Register!$Q$17*R457*(1-Project_Register!$R$17*(Assumptions!R$96&gt;=Project_Register!$AK$17+1)-(1-Project_Register!$R$17)*(Assumptions!R$96&gt;=Project_Register!$AN$17))</f>
        <v>0</v>
      </c>
      <c r="S459" s="58" t="n">
        <f aca="false">Project_Register!$Q$17*S457*(1-Project_Register!$R$17*(Assumptions!S$96&gt;=Project_Register!$AK$17+1)-(1-Project_Register!$R$17)*(Assumptions!S$96&gt;=Project_Register!$AN$17))</f>
        <v>0</v>
      </c>
      <c r="T459" s="58" t="n">
        <f aca="false">Project_Register!$Q$17*T457*(1-Project_Register!$R$17*(Assumptions!T$96&gt;=Project_Register!$AK$17+1)-(1-Project_Register!$R$17)*(Assumptions!T$96&gt;=Project_Register!$AN$17))</f>
        <v>0</v>
      </c>
      <c r="U459" s="58" t="n">
        <f aca="false">Project_Register!$Q$17*U457*(1-Project_Register!$R$17*(Assumptions!U$96&gt;=Project_Register!$AK$17+1)-(1-Project_Register!$R$17)*(Assumptions!U$96&gt;=Project_Register!$AN$17))</f>
        <v>866.666666666667</v>
      </c>
      <c r="V459" s="58" t="n">
        <f aca="false">Project_Register!$Q$17*V457*(1-Project_Register!$R$17*(Assumptions!V$96&gt;=Project_Register!$AK$17+1)-(1-Project_Register!$R$17)*(Assumptions!V$96&gt;=Project_Register!$AN$17))</f>
        <v>3033.33333333333</v>
      </c>
      <c r="W459" s="58" t="n">
        <f aca="false">Project_Register!$Q$17*W457*(1-Project_Register!$R$17*(Assumptions!W$96&gt;=Project_Register!$AK$17+1)-(1-Project_Register!$R$17)*(Assumptions!W$96&gt;=Project_Register!$AN$17))</f>
        <v>5850</v>
      </c>
      <c r="X459" s="58" t="n">
        <f aca="false">Project_Register!$Q$17*X457*(1-Project_Register!$R$17*(Assumptions!X$96&gt;=Project_Register!$AK$17+1)-(1-Project_Register!$R$17)*(Assumptions!X$96&gt;=Project_Register!$AN$17))</f>
        <v>8666.66666666667</v>
      </c>
      <c r="Y459" s="58" t="n">
        <f aca="false">Project_Register!$Q$17*Y457*(1-Project_Register!$R$17*(Assumptions!Y$96&gt;=Project_Register!$AK$17+1)-(1-Project_Register!$R$17)*(Assumptions!Y$96&gt;=Project_Register!$AN$17))</f>
        <v>10833.3333333333</v>
      </c>
      <c r="Z459" s="58" t="n">
        <f aca="false">Project_Register!$Q$17*Z457*(1-Project_Register!$R$17*(Assumptions!Z$96&gt;=Project_Register!$AK$17+1)-(1-Project_Register!$R$17)*(Assumptions!Z$96&gt;=Project_Register!$AN$17))</f>
        <v>5850</v>
      </c>
      <c r="AA459" s="58" t="n">
        <f aca="false">Project_Register!$Q$17*AA457*(1-Project_Register!$R$17*(Assumptions!AA$96&gt;=Project_Register!$AK$17+1)-(1-Project_Register!$R$17)*(Assumptions!AA$96&gt;=Project_Register!$AN$17))</f>
        <v>5850</v>
      </c>
      <c r="AB459" s="58" t="n">
        <f aca="false">Project_Register!$Q$17*AB457*(1-Project_Register!$R$17*(Assumptions!AB$96&gt;=Project_Register!$AK$17+1)-(1-Project_Register!$R$17)*(Assumptions!AB$96&gt;=Project_Register!$AN$17))</f>
        <v>5850</v>
      </c>
    </row>
    <row r="460" customFormat="false" ht="15" hidden="false" customHeight="false" outlineLevel="0" collapsed="false">
      <c r="A460" s="27" t="s">
        <v>756</v>
      </c>
      <c r="B460" s="56"/>
      <c r="C460" s="57" t="n">
        <f aca="false">SUM(E460:P460)</f>
        <v>0</v>
      </c>
      <c r="D460" s="57" t="n">
        <f aca="false">SUM(Q460:AB460)</f>
        <v>5850</v>
      </c>
      <c r="E460" s="58" t="n">
        <f aca="false">E459-Project_Register!$AW$17</f>
        <v>0</v>
      </c>
      <c r="F460" s="70" t="n">
        <f aca="false">F459-E459</f>
        <v>0</v>
      </c>
      <c r="G460" s="70" t="n">
        <f aca="false">G459-F459</f>
        <v>0</v>
      </c>
      <c r="H460" s="70" t="n">
        <f aca="false">H459-G459</f>
        <v>0</v>
      </c>
      <c r="I460" s="70" t="n">
        <f aca="false">I459-H459</f>
        <v>0</v>
      </c>
      <c r="J460" s="70" t="n">
        <f aca="false">J459-I459</f>
        <v>0</v>
      </c>
      <c r="K460" s="70" t="n">
        <f aca="false">K459-J459</f>
        <v>0</v>
      </c>
      <c r="L460" s="70" t="n">
        <f aca="false">L459-K459</f>
        <v>0</v>
      </c>
      <c r="M460" s="70" t="n">
        <f aca="false">M459-L459</f>
        <v>0</v>
      </c>
      <c r="N460" s="70" t="n">
        <f aca="false">N459-M459</f>
        <v>0</v>
      </c>
      <c r="O460" s="70" t="n">
        <f aca="false">O459-N459</f>
        <v>0</v>
      </c>
      <c r="P460" s="70" t="n">
        <f aca="false">P459-O459</f>
        <v>0</v>
      </c>
      <c r="Q460" s="70" t="n">
        <f aca="false">Q459-P459</f>
        <v>0</v>
      </c>
      <c r="R460" s="70" t="n">
        <f aca="false">R459-Q459</f>
        <v>0</v>
      </c>
      <c r="S460" s="70" t="n">
        <f aca="false">S459-R459</f>
        <v>0</v>
      </c>
      <c r="T460" s="70" t="n">
        <f aca="false">T459-S459</f>
        <v>0</v>
      </c>
      <c r="U460" s="70" t="n">
        <f aca="false">U459-T459</f>
        <v>866.666666666667</v>
      </c>
      <c r="V460" s="70" t="n">
        <f aca="false">V459-U459</f>
        <v>2166.66666666667</v>
      </c>
      <c r="W460" s="70" t="n">
        <f aca="false">W459-V459</f>
        <v>2816.66666666667</v>
      </c>
      <c r="X460" s="70" t="n">
        <f aca="false">X459-W459</f>
        <v>2816.66666666667</v>
      </c>
      <c r="Y460" s="70" t="n">
        <f aca="false">Y459-X459</f>
        <v>2166.66666666667</v>
      </c>
      <c r="Z460" s="70" t="n">
        <f aca="false">Z459-Y459</f>
        <v>-4983.33333333333</v>
      </c>
      <c r="AA460" s="70" t="n">
        <f aca="false">AA459-Z459</f>
        <v>0</v>
      </c>
      <c r="AB460" s="70" t="n">
        <f aca="false">AB459-AA459</f>
        <v>0</v>
      </c>
    </row>
    <row r="461" customFormat="false" ht="15" hidden="false" customHeight="false" outlineLevel="0" collapsed="false">
      <c r="A461" s="27" t="s">
        <v>757</v>
      </c>
      <c r="B461" s="56"/>
      <c r="C461" s="57" t="n">
        <f aca="false">SUM(E461:P461)</f>
        <v>0</v>
      </c>
      <c r="D461" s="57" t="n">
        <f aca="false">SUM(Q461:AB461)</f>
        <v>384150</v>
      </c>
      <c r="E461" s="70" t="n">
        <f aca="false">E458-E460</f>
        <v>0</v>
      </c>
      <c r="F461" s="70" t="n">
        <f aca="false">F458-F460</f>
        <v>0</v>
      </c>
      <c r="G461" s="70" t="n">
        <f aca="false">G458-G460</f>
        <v>0</v>
      </c>
      <c r="H461" s="70" t="n">
        <f aca="false">H458-H460</f>
        <v>0</v>
      </c>
      <c r="I461" s="70" t="n">
        <f aca="false">I458-I460</f>
        <v>0</v>
      </c>
      <c r="J461" s="70" t="n">
        <f aca="false">J458-J460</f>
        <v>0</v>
      </c>
      <c r="K461" s="70" t="n">
        <f aca="false">K458-K460</f>
        <v>0</v>
      </c>
      <c r="L461" s="70" t="n">
        <f aca="false">L458-L460</f>
        <v>0</v>
      </c>
      <c r="M461" s="70" t="n">
        <f aca="false">M458-M460</f>
        <v>0</v>
      </c>
      <c r="N461" s="70" t="n">
        <f aca="false">N458-N460</f>
        <v>0</v>
      </c>
      <c r="O461" s="70" t="n">
        <f aca="false">O458-O460</f>
        <v>0</v>
      </c>
      <c r="P461" s="70" t="n">
        <f aca="false">P458-P460</f>
        <v>0</v>
      </c>
      <c r="Q461" s="70" t="n">
        <f aca="false">Q458-Q460</f>
        <v>0</v>
      </c>
      <c r="R461" s="70" t="n">
        <f aca="false">R458-R460</f>
        <v>0</v>
      </c>
      <c r="S461" s="70" t="n">
        <f aca="false">S458-S460</f>
        <v>0</v>
      </c>
      <c r="T461" s="70" t="n">
        <f aca="false">T458-T460</f>
        <v>0</v>
      </c>
      <c r="U461" s="70" t="n">
        <f aca="false">U458-U460</f>
        <v>28022.2222222222</v>
      </c>
      <c r="V461" s="70" t="n">
        <f aca="false">V458-V460</f>
        <v>70055.5555555556</v>
      </c>
      <c r="W461" s="70" t="n">
        <f aca="false">W458-W460</f>
        <v>91072.2222222222</v>
      </c>
      <c r="X461" s="70" t="n">
        <f aca="false">X458-X460</f>
        <v>91072.2222222223</v>
      </c>
      <c r="Y461" s="70" t="n">
        <f aca="false">Y458-Y460</f>
        <v>70055.5555555555</v>
      </c>
      <c r="Z461" s="70" t="n">
        <f aca="false">Z458-Z460</f>
        <v>33872.2222222222</v>
      </c>
      <c r="AA461" s="70" t="n">
        <f aca="false">AA458-AA460</f>
        <v>0</v>
      </c>
      <c r="AB461" s="70" t="n">
        <f aca="false">AB458-AB460</f>
        <v>0</v>
      </c>
    </row>
    <row r="462" customFormat="false" ht="15" hidden="false" customHeight="false" outlineLevel="0" collapsed="false">
      <c r="A462" s="27" t="s">
        <v>758</v>
      </c>
      <c r="B462" s="56" t="s">
        <v>759</v>
      </c>
      <c r="C462" s="57" t="n">
        <f aca="false">SUM(E462:P462)</f>
        <v>0</v>
      </c>
      <c r="D462" s="57" t="n">
        <f aca="false">SUM(Q462:AB462)</f>
        <v>51860.25</v>
      </c>
      <c r="E462" s="58" t="n">
        <f aca="false">E461*Project_Register!$W$17</f>
        <v>0</v>
      </c>
      <c r="F462" s="58" t="n">
        <f aca="false">F461*Project_Register!$W$17</f>
        <v>0</v>
      </c>
      <c r="G462" s="58" t="n">
        <f aca="false">G461*Project_Register!$W$17</f>
        <v>0</v>
      </c>
      <c r="H462" s="58" t="n">
        <f aca="false">H461*Project_Register!$W$17</f>
        <v>0</v>
      </c>
      <c r="I462" s="58" t="n">
        <f aca="false">I461*Project_Register!$W$17</f>
        <v>0</v>
      </c>
      <c r="J462" s="58" t="n">
        <f aca="false">J461*Project_Register!$W$17</f>
        <v>0</v>
      </c>
      <c r="K462" s="58" t="n">
        <f aca="false">K461*Project_Register!$W$17</f>
        <v>0</v>
      </c>
      <c r="L462" s="58" t="n">
        <f aca="false">L461*Project_Register!$W$17</f>
        <v>0</v>
      </c>
      <c r="M462" s="58" t="n">
        <f aca="false">M461*Project_Register!$W$17</f>
        <v>0</v>
      </c>
      <c r="N462" s="58" t="n">
        <f aca="false">N461*Project_Register!$W$17</f>
        <v>0</v>
      </c>
      <c r="O462" s="58" t="n">
        <f aca="false">O461*Project_Register!$W$17</f>
        <v>0</v>
      </c>
      <c r="P462" s="58" t="n">
        <f aca="false">P461*Project_Register!$W$17</f>
        <v>0</v>
      </c>
      <c r="Q462" s="58" t="n">
        <f aca="false">Q461*Project_Register!$W$17</f>
        <v>0</v>
      </c>
      <c r="R462" s="58" t="n">
        <f aca="false">R461*Project_Register!$W$17</f>
        <v>0</v>
      </c>
      <c r="S462" s="58" t="n">
        <f aca="false">S461*Project_Register!$W$17</f>
        <v>0</v>
      </c>
      <c r="T462" s="58" t="n">
        <f aca="false">T461*Project_Register!$W$17</f>
        <v>0</v>
      </c>
      <c r="U462" s="58" t="n">
        <f aca="false">U461*Project_Register!$W$17</f>
        <v>3783</v>
      </c>
      <c r="V462" s="58" t="n">
        <f aca="false">V461*Project_Register!$W$17</f>
        <v>9457.5</v>
      </c>
      <c r="W462" s="58" t="n">
        <f aca="false">W461*Project_Register!$W$17</f>
        <v>12294.75</v>
      </c>
      <c r="X462" s="58" t="n">
        <f aca="false">X461*Project_Register!$W$17</f>
        <v>12294.75</v>
      </c>
      <c r="Y462" s="58" t="n">
        <f aca="false">Y461*Project_Register!$W$17</f>
        <v>9457.5</v>
      </c>
      <c r="Z462" s="58" t="n">
        <f aca="false">Z461*Project_Register!$W$17</f>
        <v>4572.75</v>
      </c>
      <c r="AA462" s="58" t="n">
        <f aca="false">AA461*Project_Register!$W$17</f>
        <v>0</v>
      </c>
      <c r="AB462" s="58" t="n">
        <f aca="false">AB461*Project_Register!$W$17</f>
        <v>0</v>
      </c>
    </row>
    <row r="463" customFormat="false" ht="15" hidden="false" customHeight="false" outlineLevel="0" collapsed="false">
      <c r="A463" s="27" t="s">
        <v>760</v>
      </c>
      <c r="B463" s="56"/>
      <c r="C463" s="57" t="n">
        <f aca="false">SUM(E463:P463)</f>
        <v>0</v>
      </c>
      <c r="D463" s="57" t="n">
        <f aca="false">SUM(Q463:AB463)</f>
        <v>436010.25</v>
      </c>
      <c r="E463" s="70" t="n">
        <f aca="false">E461+E462</f>
        <v>0</v>
      </c>
      <c r="F463" s="70" t="n">
        <f aca="false">F461+F462</f>
        <v>0</v>
      </c>
      <c r="G463" s="70" t="n">
        <f aca="false">G461+G462</f>
        <v>0</v>
      </c>
      <c r="H463" s="70" t="n">
        <f aca="false">H461+H462</f>
        <v>0</v>
      </c>
      <c r="I463" s="70" t="n">
        <f aca="false">I461+I462</f>
        <v>0</v>
      </c>
      <c r="J463" s="70" t="n">
        <f aca="false">J461+J462</f>
        <v>0</v>
      </c>
      <c r="K463" s="70" t="n">
        <f aca="false">K461+K462</f>
        <v>0</v>
      </c>
      <c r="L463" s="70" t="n">
        <f aca="false">L461+L462</f>
        <v>0</v>
      </c>
      <c r="M463" s="70" t="n">
        <f aca="false">M461+M462</f>
        <v>0</v>
      </c>
      <c r="N463" s="70" t="n">
        <f aca="false">N461+N462</f>
        <v>0</v>
      </c>
      <c r="O463" s="70" t="n">
        <f aca="false">O461+O462</f>
        <v>0</v>
      </c>
      <c r="P463" s="70" t="n">
        <f aca="false">P461+P462</f>
        <v>0</v>
      </c>
      <c r="Q463" s="70" t="n">
        <f aca="false">Q461+Q462</f>
        <v>0</v>
      </c>
      <c r="R463" s="70" t="n">
        <f aca="false">R461+R462</f>
        <v>0</v>
      </c>
      <c r="S463" s="70" t="n">
        <f aca="false">S461+S462</f>
        <v>0</v>
      </c>
      <c r="T463" s="70" t="n">
        <f aca="false">T461+T462</f>
        <v>0</v>
      </c>
      <c r="U463" s="70" t="n">
        <f aca="false">U461+U462</f>
        <v>31805.2222222222</v>
      </c>
      <c r="V463" s="70" t="n">
        <f aca="false">V461+V462</f>
        <v>79513.0555555556</v>
      </c>
      <c r="W463" s="70" t="n">
        <f aca="false">W461+W462</f>
        <v>103366.972222222</v>
      </c>
      <c r="X463" s="70" t="n">
        <f aca="false">X461+X462</f>
        <v>103366.972222222</v>
      </c>
      <c r="Y463" s="70" t="n">
        <f aca="false">Y461+Y462</f>
        <v>79513.0555555555</v>
      </c>
      <c r="Z463" s="70" t="n">
        <f aca="false">Z461+Z462</f>
        <v>38444.9722222222</v>
      </c>
      <c r="AA463" s="70" t="n">
        <f aca="false">AA461+AA462</f>
        <v>0</v>
      </c>
      <c r="AB463" s="70" t="n">
        <f aca="false">AB461+AB462</f>
        <v>0</v>
      </c>
    </row>
    <row r="464" customFormat="false" ht="15" hidden="false" customHeight="false" outlineLevel="0" collapsed="false">
      <c r="A464" s="27" t="s">
        <v>761</v>
      </c>
      <c r="B464" s="56" t="s">
        <v>762</v>
      </c>
      <c r="C464" s="57" t="n">
        <f aca="false">SUM(E464:P464)</f>
        <v>0</v>
      </c>
      <c r="D464" s="57" t="n">
        <f aca="false">SUM(Q464:AB464)</f>
        <v>436010.25</v>
      </c>
      <c r="E464" s="58" t="n">
        <f aca="false">IF(E$5="A",0,Project_Register!$AF$17+E463-(E463*MIN(1,Project_Register!$AY$17/30)+0*MIN(1,MAX(0,(Project_Register!$AY$17-30)/30))))</f>
        <v>0</v>
      </c>
      <c r="F464" s="58" t="n">
        <f aca="false">IF(F$5="A",0,E465+F463-(F463*MIN(1,Project_Register!$AY$17/30)+E463*MIN(1,MAX(0,(Project_Register!$AY$17-30)/30))))</f>
        <v>0</v>
      </c>
      <c r="G464" s="58" t="n">
        <f aca="false">IF(G$5="A",0,F465+G463-(G463*MIN(1,Project_Register!$AY$17/30)+F463*MIN(1,MAX(0,(Project_Register!$AY$17-30)/30))))</f>
        <v>0</v>
      </c>
      <c r="H464" s="58" t="n">
        <f aca="false">IF(H$5="A",0,G465+H463-(H463*MIN(1,Project_Register!$AY$17/30)+G463*MIN(1,MAX(0,(Project_Register!$AY$17-30)/30))))</f>
        <v>0</v>
      </c>
      <c r="I464" s="58" t="n">
        <f aca="false">IF(I$5="A",0,H465+I463-(I463*MIN(1,Project_Register!$AY$17/30)+H463*MIN(1,MAX(0,(Project_Register!$AY$17-30)/30))))</f>
        <v>0</v>
      </c>
      <c r="J464" s="58" t="n">
        <f aca="false">IF(J$5="A",0,I465+J463-(J463*MIN(1,Project_Register!$AY$17/30)+I463*MIN(1,MAX(0,(Project_Register!$AY$17-30)/30))))</f>
        <v>0</v>
      </c>
      <c r="K464" s="58" t="n">
        <f aca="false">IF(K$5="A",0,J465+K463-(K463*MIN(1,Project_Register!$AY$17/30)+J463*MIN(1,MAX(0,(Project_Register!$AY$17-30)/30))))</f>
        <v>0</v>
      </c>
      <c r="L464" s="58" t="n">
        <f aca="false">IF(L$5="A",0,K465+L463-(L463*MIN(1,Project_Register!$AY$17/30)+K463*MIN(1,MAX(0,(Project_Register!$AY$17-30)/30))))</f>
        <v>0</v>
      </c>
      <c r="M464" s="58" t="n">
        <f aca="false">IF(M$5="A",0,L465+M463-(M463*MIN(1,Project_Register!$AY$17/30)+L463*MIN(1,MAX(0,(Project_Register!$AY$17-30)/30))))</f>
        <v>0</v>
      </c>
      <c r="N464" s="58" t="n">
        <f aca="false">IF(N$5="A",0,M465+N463-(N463*MIN(1,Project_Register!$AY$17/30)+M463*MIN(1,MAX(0,(Project_Register!$AY$17-30)/30))))</f>
        <v>0</v>
      </c>
      <c r="O464" s="58" t="n">
        <f aca="false">IF(O$5="A",0,N465+O463-(O463*MIN(1,Project_Register!$AY$17/30)+N463*MIN(1,MAX(0,(Project_Register!$AY$17-30)/30))))</f>
        <v>0</v>
      </c>
      <c r="P464" s="58" t="n">
        <f aca="false">IF(P$5="A",0,O465+P463-(P463*MIN(1,Project_Register!$AY$17/30)+O463*MIN(1,MAX(0,(Project_Register!$AY$17-30)/30))))</f>
        <v>0</v>
      </c>
      <c r="Q464" s="58" t="n">
        <f aca="false">IF(Q$5="A",0,P465+Q463-(Q463*MIN(1,Project_Register!$AY$17/30)+P463*MIN(1,MAX(0,(Project_Register!$AY$17-30)/30))))</f>
        <v>0</v>
      </c>
      <c r="R464" s="58" t="n">
        <f aca="false">IF(R$5="A",0,Q465+R463-(R463*MIN(1,Project_Register!$AY$17/30)+Q463*MIN(1,MAX(0,(Project_Register!$AY$17-30)/30))))</f>
        <v>0</v>
      </c>
      <c r="S464" s="58" t="n">
        <f aca="false">IF(S$5="A",0,R465+S463-(S463*MIN(1,Project_Register!$AY$17/30)+R463*MIN(1,MAX(0,(Project_Register!$AY$17-30)/30))))</f>
        <v>0</v>
      </c>
      <c r="T464" s="58" t="n">
        <f aca="false">IF(T$5="A",0,S465+T463-(T463*MIN(1,Project_Register!$AY$17/30)+S463*MIN(1,MAX(0,(Project_Register!$AY$17-30)/30))))</f>
        <v>0</v>
      </c>
      <c r="U464" s="58" t="n">
        <f aca="false">IF(U$5="A",0,T465+U463-(U463*MIN(1,Project_Register!$AY$17/30)+T463*MIN(1,MAX(0,(Project_Register!$AY$17-30)/30))))</f>
        <v>0</v>
      </c>
      <c r="V464" s="58" t="n">
        <f aca="false">IF(V$5="A",0,U465+V463-(V463*MIN(1,Project_Register!$AY$17/30)+U463*MIN(1,MAX(0,(Project_Register!$AY$17-30)/30))))</f>
        <v>15902.6111111111</v>
      </c>
      <c r="W464" s="58" t="n">
        <f aca="false">IF(W$5="A",0,V465+W463-(W463*MIN(1,Project_Register!$AY$17/30)+V463*MIN(1,MAX(0,(Project_Register!$AY$17-30)/30))))</f>
        <v>55659.1388888889</v>
      </c>
      <c r="X464" s="58" t="n">
        <f aca="false">IF(X$5="A",0,W465+X463-(X463*MIN(1,Project_Register!$AY$17/30)+W463*MIN(1,MAX(0,(Project_Register!$AY$17-30)/30))))</f>
        <v>91440.0138888889</v>
      </c>
      <c r="Y464" s="58" t="n">
        <f aca="false">IF(Y$5="A",0,X465+Y463-(Y463*MIN(1,Project_Register!$AY$17/30)+X463*MIN(1,MAX(0,(Project_Register!$AY$17-30)/30))))</f>
        <v>103366.972222222</v>
      </c>
      <c r="Z464" s="58" t="n">
        <f aca="false">IF(Z$5="A",0,Y465+Z463-(Z463*MIN(1,Project_Register!$AY$17/30)+Y463*MIN(1,MAX(0,(Project_Register!$AY$17-30)/30))))</f>
        <v>91440.0138888889</v>
      </c>
      <c r="AA464" s="58" t="n">
        <f aca="false">IF(AA$5="A",0,Z465+AA463-(AA463*MIN(1,Project_Register!$AY$17/30)+Z463*MIN(1,MAX(0,(Project_Register!$AY$17-30)/30))))</f>
        <v>58979.0138888889</v>
      </c>
      <c r="AB464" s="58" t="n">
        <f aca="false">IF(AB$5="A",0,AA465+AB463-(AB463*MIN(1,Project_Register!$AY$17/30)+AA463*MIN(1,MAX(0,(Project_Register!$AY$17-30)/30))))</f>
        <v>19222.4861111111</v>
      </c>
    </row>
    <row r="465" customFormat="false" ht="15" hidden="false" customHeight="false" outlineLevel="0" collapsed="false">
      <c r="A465" s="27" t="s">
        <v>763</v>
      </c>
      <c r="B465" s="56" t="s">
        <v>764</v>
      </c>
      <c r="C465" s="57" t="n">
        <f aca="false">P465</f>
        <v>0</v>
      </c>
      <c r="D465" s="57" t="n">
        <f aca="false">AB465</f>
        <v>0</v>
      </c>
      <c r="E465" s="58" t="n">
        <f aca="false">Project_Register!$AF$17+E463-E464</f>
        <v>0</v>
      </c>
      <c r="F465" s="70" t="n">
        <f aca="false">E465+F463-F464</f>
        <v>0</v>
      </c>
      <c r="G465" s="70" t="n">
        <f aca="false">F465+G463-G464</f>
        <v>0</v>
      </c>
      <c r="H465" s="70" t="n">
        <f aca="false">G465+H463-H464</f>
        <v>0</v>
      </c>
      <c r="I465" s="70" t="n">
        <f aca="false">H465+I463-I464</f>
        <v>0</v>
      </c>
      <c r="J465" s="70" t="n">
        <f aca="false">I465+J463-J464</f>
        <v>0</v>
      </c>
      <c r="K465" s="70" t="n">
        <f aca="false">J465+K463-K464</f>
        <v>0</v>
      </c>
      <c r="L465" s="70" t="n">
        <f aca="false">K465+L463-L464</f>
        <v>0</v>
      </c>
      <c r="M465" s="70" t="n">
        <f aca="false">L465+M463-M464</f>
        <v>0</v>
      </c>
      <c r="N465" s="70" t="n">
        <f aca="false">M465+N463-N464</f>
        <v>0</v>
      </c>
      <c r="O465" s="70" t="n">
        <f aca="false">N465+O463-O464</f>
        <v>0</v>
      </c>
      <c r="P465" s="70" t="n">
        <f aca="false">O465+P463-P464</f>
        <v>0</v>
      </c>
      <c r="Q465" s="70" t="n">
        <f aca="false">P465+Q463-Q464</f>
        <v>0</v>
      </c>
      <c r="R465" s="70" t="n">
        <f aca="false">Q465+R463-R464</f>
        <v>0</v>
      </c>
      <c r="S465" s="70" t="n">
        <f aca="false">R465+S463-S464</f>
        <v>0</v>
      </c>
      <c r="T465" s="70" t="n">
        <f aca="false">S465+T463-T464</f>
        <v>0</v>
      </c>
      <c r="U465" s="70" t="n">
        <f aca="false">T465+U463-U464</f>
        <v>31805.2222222222</v>
      </c>
      <c r="V465" s="70" t="n">
        <f aca="false">U465+V463-V464</f>
        <v>95415.6666666667</v>
      </c>
      <c r="W465" s="70" t="n">
        <f aca="false">V465+W463-W464</f>
        <v>143123.5</v>
      </c>
      <c r="X465" s="70" t="n">
        <f aca="false">W465+X463-X464</f>
        <v>155050.458333333</v>
      </c>
      <c r="Y465" s="70" t="n">
        <f aca="false">X465+Y463-Y464</f>
        <v>131196.541666667</v>
      </c>
      <c r="Z465" s="70" t="n">
        <f aca="false">Y465+Z463-Z464</f>
        <v>78201.5</v>
      </c>
      <c r="AA465" s="70" t="n">
        <f aca="false">Z465+AA463-AA464</f>
        <v>19222.4861111111</v>
      </c>
      <c r="AB465" s="70" t="n">
        <f aca="false">AA465+AB463-AB464</f>
        <v>0</v>
      </c>
    </row>
    <row r="466" customFormat="false" ht="15" hidden="false" customHeight="false" outlineLevel="0" collapsed="false">
      <c r="A466" s="27" t="s">
        <v>765</v>
      </c>
      <c r="B466" s="56" t="s">
        <v>766</v>
      </c>
      <c r="C466" s="57" t="n">
        <f aca="false">P466</f>
        <v>0</v>
      </c>
      <c r="D466" s="57" t="n">
        <f aca="false">AB466</f>
        <v>0</v>
      </c>
      <c r="E466" s="70" t="n">
        <f aca="false">E451-E457</f>
        <v>0</v>
      </c>
      <c r="F466" s="70" t="n">
        <f aca="false">F451-F457</f>
        <v>0</v>
      </c>
      <c r="G466" s="70" t="n">
        <f aca="false">G451-G457</f>
        <v>0</v>
      </c>
      <c r="H466" s="70" t="n">
        <f aca="false">H451-H457</f>
        <v>0</v>
      </c>
      <c r="I466" s="70" t="n">
        <f aca="false">I451-I457</f>
        <v>0</v>
      </c>
      <c r="J466" s="70" t="n">
        <f aca="false">J451-J457</f>
        <v>0</v>
      </c>
      <c r="K466" s="70" t="n">
        <f aca="false">K451-K457</f>
        <v>0</v>
      </c>
      <c r="L466" s="70" t="n">
        <f aca="false">L451-L457</f>
        <v>0</v>
      </c>
      <c r="M466" s="70" t="n">
        <f aca="false">M451-M457</f>
        <v>0</v>
      </c>
      <c r="N466" s="70" t="n">
        <f aca="false">N451-N457</f>
        <v>0</v>
      </c>
      <c r="O466" s="70" t="n">
        <f aca="false">O451-O457</f>
        <v>0</v>
      </c>
      <c r="P466" s="70" t="n">
        <f aca="false">P451-P457</f>
        <v>0</v>
      </c>
      <c r="Q466" s="70" t="n">
        <f aca="false">Q451-Q457</f>
        <v>0</v>
      </c>
      <c r="R466" s="70" t="n">
        <f aca="false">R451-R457</f>
        <v>0</v>
      </c>
      <c r="S466" s="70" t="n">
        <f aca="false">S451-S457</f>
        <v>0</v>
      </c>
      <c r="T466" s="70" t="n">
        <f aca="false">T451-T457</f>
        <v>28888.8888888889</v>
      </c>
      <c r="U466" s="70" t="n">
        <f aca="false">U451-U457</f>
        <v>72222.2222222222</v>
      </c>
      <c r="V466" s="70" t="n">
        <f aca="false">V451-V457</f>
        <v>93888.8888888889</v>
      </c>
      <c r="W466" s="70" t="n">
        <f aca="false">W451-W457</f>
        <v>93888.8888888889</v>
      </c>
      <c r="X466" s="70" t="n">
        <f aca="false">X451-X457</f>
        <v>72222.2222222222</v>
      </c>
      <c r="Y466" s="70" t="n">
        <f aca="false">Y451-Y457</f>
        <v>28888.8888888889</v>
      </c>
      <c r="Z466" s="70" t="n">
        <f aca="false">Z451-Z457</f>
        <v>0</v>
      </c>
      <c r="AA466" s="70" t="n">
        <f aca="false">AA451-AA457</f>
        <v>0</v>
      </c>
      <c r="AB466" s="70" t="n">
        <f aca="false">AB451-AB457</f>
        <v>0</v>
      </c>
    </row>
    <row r="467" customFormat="false" ht="15" hidden="false" customHeight="false" outlineLevel="0" collapsed="false">
      <c r="A467" s="27" t="s">
        <v>767</v>
      </c>
      <c r="B467" s="56"/>
      <c r="C467" s="57" t="n">
        <f aca="false">P467</f>
        <v>0</v>
      </c>
      <c r="D467" s="57" t="n">
        <f aca="false">AB467</f>
        <v>0</v>
      </c>
      <c r="E467" s="70" t="n">
        <f aca="false">MAX(0,E466)</f>
        <v>0</v>
      </c>
      <c r="F467" s="70" t="n">
        <f aca="false">MAX(0,F466)</f>
        <v>0</v>
      </c>
      <c r="G467" s="70" t="n">
        <f aca="false">MAX(0,G466)</f>
        <v>0</v>
      </c>
      <c r="H467" s="70" t="n">
        <f aca="false">MAX(0,H466)</f>
        <v>0</v>
      </c>
      <c r="I467" s="70" t="n">
        <f aca="false">MAX(0,I466)</f>
        <v>0</v>
      </c>
      <c r="J467" s="70" t="n">
        <f aca="false">MAX(0,J466)</f>
        <v>0</v>
      </c>
      <c r="K467" s="70" t="n">
        <f aca="false">MAX(0,K466)</f>
        <v>0</v>
      </c>
      <c r="L467" s="70" t="n">
        <f aca="false">MAX(0,L466)</f>
        <v>0</v>
      </c>
      <c r="M467" s="70" t="n">
        <f aca="false">MAX(0,M466)</f>
        <v>0</v>
      </c>
      <c r="N467" s="70" t="n">
        <f aca="false">MAX(0,N466)</f>
        <v>0</v>
      </c>
      <c r="O467" s="70" t="n">
        <f aca="false">MAX(0,O466)</f>
        <v>0</v>
      </c>
      <c r="P467" s="70" t="n">
        <f aca="false">MAX(0,P466)</f>
        <v>0</v>
      </c>
      <c r="Q467" s="70" t="n">
        <f aca="false">MAX(0,Q466)</f>
        <v>0</v>
      </c>
      <c r="R467" s="70" t="n">
        <f aca="false">MAX(0,R466)</f>
        <v>0</v>
      </c>
      <c r="S467" s="70" t="n">
        <f aca="false">MAX(0,S466)</f>
        <v>0</v>
      </c>
      <c r="T467" s="70" t="n">
        <f aca="false">MAX(0,T466)</f>
        <v>28888.8888888889</v>
      </c>
      <c r="U467" s="70" t="n">
        <f aca="false">MAX(0,U466)</f>
        <v>72222.2222222222</v>
      </c>
      <c r="V467" s="70" t="n">
        <f aca="false">MAX(0,V466)</f>
        <v>93888.8888888889</v>
      </c>
      <c r="W467" s="70" t="n">
        <f aca="false">MAX(0,W466)</f>
        <v>93888.8888888889</v>
      </c>
      <c r="X467" s="70" t="n">
        <f aca="false">MAX(0,X466)</f>
        <v>72222.2222222222</v>
      </c>
      <c r="Y467" s="70" t="n">
        <f aca="false">MAX(0,Y466)</f>
        <v>28888.8888888889</v>
      </c>
      <c r="Z467" s="70" t="n">
        <f aca="false">MAX(0,Z466)</f>
        <v>0</v>
      </c>
      <c r="AA467" s="70" t="n">
        <f aca="false">MAX(0,AA466)</f>
        <v>0</v>
      </c>
      <c r="AB467" s="70" t="n">
        <f aca="false">MAX(0,AB466)</f>
        <v>0</v>
      </c>
    </row>
    <row r="468" customFormat="false" ht="15" hidden="false" customHeight="false" outlineLevel="0" collapsed="false">
      <c r="A468" s="27" t="s">
        <v>768</v>
      </c>
      <c r="B468" s="56"/>
      <c r="C468" s="57" t="n">
        <f aca="false">P468</f>
        <v>-0</v>
      </c>
      <c r="D468" s="57" t="n">
        <f aca="false">AB468</f>
        <v>-0</v>
      </c>
      <c r="E468" s="70" t="n">
        <f aca="false">MAX(0,-E466)</f>
        <v>-0</v>
      </c>
      <c r="F468" s="70" t="n">
        <f aca="false">MAX(0,-F466)</f>
        <v>-0</v>
      </c>
      <c r="G468" s="70" t="n">
        <f aca="false">MAX(0,-G466)</f>
        <v>-0</v>
      </c>
      <c r="H468" s="70" t="n">
        <f aca="false">MAX(0,-H466)</f>
        <v>-0</v>
      </c>
      <c r="I468" s="70" t="n">
        <f aca="false">MAX(0,-I466)</f>
        <v>-0</v>
      </c>
      <c r="J468" s="70" t="n">
        <f aca="false">MAX(0,-J466)</f>
        <v>-0</v>
      </c>
      <c r="K468" s="70" t="n">
        <f aca="false">MAX(0,-K466)</f>
        <v>-0</v>
      </c>
      <c r="L468" s="70" t="n">
        <f aca="false">MAX(0,-L466)</f>
        <v>-0</v>
      </c>
      <c r="M468" s="70" t="n">
        <f aca="false">MAX(0,-M466)</f>
        <v>-0</v>
      </c>
      <c r="N468" s="70" t="n">
        <f aca="false">MAX(0,-N466)</f>
        <v>-0</v>
      </c>
      <c r="O468" s="70" t="n">
        <f aca="false">MAX(0,-O466)</f>
        <v>-0</v>
      </c>
      <c r="P468" s="70" t="n">
        <f aca="false">MAX(0,-P466)</f>
        <v>-0</v>
      </c>
      <c r="Q468" s="70" t="n">
        <f aca="false">MAX(0,-Q466)</f>
        <v>-0</v>
      </c>
      <c r="R468" s="70" t="n">
        <f aca="false">MAX(0,-R466)</f>
        <v>-0</v>
      </c>
      <c r="S468" s="70" t="n">
        <f aca="false">MAX(0,-S466)</f>
        <v>-0</v>
      </c>
      <c r="T468" s="70" t="n">
        <f aca="false">MAX(0,-T466)</f>
        <v>0</v>
      </c>
      <c r="U468" s="70" t="n">
        <f aca="false">MAX(0,-U466)</f>
        <v>0</v>
      </c>
      <c r="V468" s="70" t="n">
        <f aca="false">MAX(0,-V466)</f>
        <v>0</v>
      </c>
      <c r="W468" s="70" t="n">
        <f aca="false">MAX(0,-W466)</f>
        <v>0</v>
      </c>
      <c r="X468" s="70" t="n">
        <f aca="false">MAX(0,-X466)</f>
        <v>0</v>
      </c>
      <c r="Y468" s="70" t="n">
        <f aca="false">MAX(0,-Y466)</f>
        <v>0</v>
      </c>
      <c r="Z468" s="70" t="n">
        <f aca="false">MAX(0,-Z466)</f>
        <v>-0</v>
      </c>
      <c r="AA468" s="70" t="n">
        <f aca="false">MAX(0,-AA466)</f>
        <v>-0</v>
      </c>
      <c r="AB468" s="70" t="n">
        <f aca="false">MAX(0,-AB466)</f>
        <v>-0</v>
      </c>
    </row>
    <row r="469" customFormat="false" ht="15" hidden="false" customHeight="false" outlineLevel="0" collapsed="false">
      <c r="A469" s="27" t="s">
        <v>769</v>
      </c>
      <c r="B469" s="56"/>
      <c r="C469" s="57" t="n">
        <f aca="false">P469</f>
        <v>0</v>
      </c>
      <c r="D469" s="57" t="n">
        <f aca="false">AB469</f>
        <v>168500</v>
      </c>
      <c r="E469" s="58" t="n">
        <f aca="false">Project_Register!$AG$17+E439</f>
        <v>0</v>
      </c>
      <c r="F469" s="70" t="n">
        <f aca="false">E469+F439</f>
        <v>0</v>
      </c>
      <c r="G469" s="70" t="n">
        <f aca="false">F469+G439</f>
        <v>0</v>
      </c>
      <c r="H469" s="70" t="n">
        <f aca="false">G469+H439</f>
        <v>0</v>
      </c>
      <c r="I469" s="70" t="n">
        <f aca="false">H469+I439</f>
        <v>0</v>
      </c>
      <c r="J469" s="70" t="n">
        <f aca="false">I469+J439</f>
        <v>0</v>
      </c>
      <c r="K469" s="70" t="n">
        <f aca="false">J469+K439</f>
        <v>0</v>
      </c>
      <c r="L469" s="70" t="n">
        <f aca="false">K469+L439</f>
        <v>0</v>
      </c>
      <c r="M469" s="70" t="n">
        <f aca="false">L469+M439</f>
        <v>0</v>
      </c>
      <c r="N469" s="70" t="n">
        <f aca="false">M469+N439</f>
        <v>0</v>
      </c>
      <c r="O469" s="70" t="n">
        <f aca="false">N469+O439</f>
        <v>0</v>
      </c>
      <c r="P469" s="70" t="n">
        <f aca="false">O469+P439</f>
        <v>0</v>
      </c>
      <c r="Q469" s="70" t="n">
        <f aca="false">P469+Q439</f>
        <v>0</v>
      </c>
      <c r="R469" s="70" t="n">
        <f aca="false">Q469+R439</f>
        <v>0</v>
      </c>
      <c r="S469" s="70" t="n">
        <f aca="false">R469+S439</f>
        <v>0</v>
      </c>
      <c r="T469" s="70" t="n">
        <f aca="false">S469+T439</f>
        <v>12481.4814814815</v>
      </c>
      <c r="U469" s="70" t="n">
        <f aca="false">T469+U439</f>
        <v>43685.1851851852</v>
      </c>
      <c r="V469" s="70" t="n">
        <f aca="false">U469+V439</f>
        <v>84250</v>
      </c>
      <c r="W469" s="70" t="n">
        <f aca="false">V469+W439</f>
        <v>124814.814814815</v>
      </c>
      <c r="X469" s="70" t="n">
        <f aca="false">W469+X439</f>
        <v>156018.518518519</v>
      </c>
      <c r="Y469" s="70" t="n">
        <f aca="false">X469+Y439</f>
        <v>168500</v>
      </c>
      <c r="Z469" s="70" t="n">
        <f aca="false">Y469+Z439</f>
        <v>168500</v>
      </c>
      <c r="AA469" s="70" t="n">
        <f aca="false">Z469+AA439</f>
        <v>168500</v>
      </c>
      <c r="AB469" s="70" t="n">
        <f aca="false">AA469+AB439</f>
        <v>168500</v>
      </c>
    </row>
    <row r="470" customFormat="false" ht="15" hidden="false" customHeight="false" outlineLevel="0" collapsed="false">
      <c r="A470" s="27" t="s">
        <v>770</v>
      </c>
      <c r="B470" s="56"/>
      <c r="C470" s="57" t="n">
        <f aca="false">P470</f>
        <v>0</v>
      </c>
      <c r="D470" s="57" t="n">
        <f aca="false">AB470</f>
        <v>4212.5</v>
      </c>
      <c r="E470" s="58" t="n">
        <f aca="false">Project_Register!$U$17*E469*(1-Project_Register!$R$17*(Assumptions!E$96&gt;=Project_Register!$AK$17+1)-(1-Project_Register!$R$17)*(Assumptions!E$96&gt;=Project_Register!$AN$17))</f>
        <v>0</v>
      </c>
      <c r="F470" s="58" t="n">
        <f aca="false">Project_Register!$U$17*F469*(1-Project_Register!$R$17*(Assumptions!F$96&gt;=Project_Register!$AK$17+1)-(1-Project_Register!$R$17)*(Assumptions!F$96&gt;=Project_Register!$AN$17))</f>
        <v>0</v>
      </c>
      <c r="G470" s="58" t="n">
        <f aca="false">Project_Register!$U$17*G469*(1-Project_Register!$R$17*(Assumptions!G$96&gt;=Project_Register!$AK$17+1)-(1-Project_Register!$R$17)*(Assumptions!G$96&gt;=Project_Register!$AN$17))</f>
        <v>0</v>
      </c>
      <c r="H470" s="58" t="n">
        <f aca="false">Project_Register!$U$17*H469*(1-Project_Register!$R$17*(Assumptions!H$96&gt;=Project_Register!$AK$17+1)-(1-Project_Register!$R$17)*(Assumptions!H$96&gt;=Project_Register!$AN$17))</f>
        <v>0</v>
      </c>
      <c r="I470" s="58" t="n">
        <f aca="false">Project_Register!$U$17*I469*(1-Project_Register!$R$17*(Assumptions!I$96&gt;=Project_Register!$AK$17+1)-(1-Project_Register!$R$17)*(Assumptions!I$96&gt;=Project_Register!$AN$17))</f>
        <v>0</v>
      </c>
      <c r="J470" s="58" t="n">
        <f aca="false">Project_Register!$U$17*J469*(1-Project_Register!$R$17*(Assumptions!J$96&gt;=Project_Register!$AK$17+1)-(1-Project_Register!$R$17)*(Assumptions!J$96&gt;=Project_Register!$AN$17))</f>
        <v>0</v>
      </c>
      <c r="K470" s="58" t="n">
        <f aca="false">Project_Register!$U$17*K469*(1-Project_Register!$R$17*(Assumptions!K$96&gt;=Project_Register!$AK$17+1)-(1-Project_Register!$R$17)*(Assumptions!K$96&gt;=Project_Register!$AN$17))</f>
        <v>0</v>
      </c>
      <c r="L470" s="58" t="n">
        <f aca="false">Project_Register!$U$17*L469*(1-Project_Register!$R$17*(Assumptions!L$96&gt;=Project_Register!$AK$17+1)-(1-Project_Register!$R$17)*(Assumptions!L$96&gt;=Project_Register!$AN$17))</f>
        <v>0</v>
      </c>
      <c r="M470" s="58" t="n">
        <f aca="false">Project_Register!$U$17*M469*(1-Project_Register!$R$17*(Assumptions!M$96&gt;=Project_Register!$AK$17+1)-(1-Project_Register!$R$17)*(Assumptions!M$96&gt;=Project_Register!$AN$17))</f>
        <v>0</v>
      </c>
      <c r="N470" s="58" t="n">
        <f aca="false">Project_Register!$U$17*N469*(1-Project_Register!$R$17*(Assumptions!N$96&gt;=Project_Register!$AK$17+1)-(1-Project_Register!$R$17)*(Assumptions!N$96&gt;=Project_Register!$AN$17))</f>
        <v>0</v>
      </c>
      <c r="O470" s="58" t="n">
        <f aca="false">Project_Register!$U$17*O469*(1-Project_Register!$R$17*(Assumptions!O$96&gt;=Project_Register!$AK$17+1)-(1-Project_Register!$R$17)*(Assumptions!O$96&gt;=Project_Register!$AN$17))</f>
        <v>0</v>
      </c>
      <c r="P470" s="58" t="n">
        <f aca="false">Project_Register!$U$17*P469*(1-Project_Register!$R$17*(Assumptions!P$96&gt;=Project_Register!$AK$17+1)-(1-Project_Register!$R$17)*(Assumptions!P$96&gt;=Project_Register!$AN$17))</f>
        <v>0</v>
      </c>
      <c r="Q470" s="58" t="n">
        <f aca="false">Project_Register!$U$17*Q469*(1-Project_Register!$R$17*(Assumptions!Q$96&gt;=Project_Register!$AK$17+1)-(1-Project_Register!$R$17)*(Assumptions!Q$96&gt;=Project_Register!$AN$17))</f>
        <v>0</v>
      </c>
      <c r="R470" s="58" t="n">
        <f aca="false">Project_Register!$U$17*R469*(1-Project_Register!$R$17*(Assumptions!R$96&gt;=Project_Register!$AK$17+1)-(1-Project_Register!$R$17)*(Assumptions!R$96&gt;=Project_Register!$AN$17))</f>
        <v>0</v>
      </c>
      <c r="S470" s="58" t="n">
        <f aca="false">Project_Register!$U$17*S469*(1-Project_Register!$R$17*(Assumptions!S$96&gt;=Project_Register!$AK$17+1)-(1-Project_Register!$R$17)*(Assumptions!S$96&gt;=Project_Register!$AN$17))</f>
        <v>0</v>
      </c>
      <c r="T470" s="58" t="n">
        <f aca="false">Project_Register!$U$17*T469*(1-Project_Register!$R$17*(Assumptions!T$96&gt;=Project_Register!$AK$17+1)-(1-Project_Register!$R$17)*(Assumptions!T$96&gt;=Project_Register!$AN$17))</f>
        <v>624.074074074074</v>
      </c>
      <c r="U470" s="58" t="n">
        <f aca="false">Project_Register!$U$17*U469*(1-Project_Register!$R$17*(Assumptions!U$96&gt;=Project_Register!$AK$17+1)-(1-Project_Register!$R$17)*(Assumptions!U$96&gt;=Project_Register!$AN$17))</f>
        <v>2184.25925925926</v>
      </c>
      <c r="V470" s="58" t="n">
        <f aca="false">Project_Register!$U$17*V469*(1-Project_Register!$R$17*(Assumptions!V$96&gt;=Project_Register!$AK$17+1)-(1-Project_Register!$R$17)*(Assumptions!V$96&gt;=Project_Register!$AN$17))</f>
        <v>4212.5</v>
      </c>
      <c r="W470" s="58" t="n">
        <f aca="false">Project_Register!$U$17*W469*(1-Project_Register!$R$17*(Assumptions!W$96&gt;=Project_Register!$AK$17+1)-(1-Project_Register!$R$17)*(Assumptions!W$96&gt;=Project_Register!$AN$17))</f>
        <v>6240.74074074074</v>
      </c>
      <c r="X470" s="58" t="n">
        <f aca="false">Project_Register!$U$17*X469*(1-Project_Register!$R$17*(Assumptions!X$96&gt;=Project_Register!$AK$17+1)-(1-Project_Register!$R$17)*(Assumptions!X$96&gt;=Project_Register!$AN$17))</f>
        <v>7800.92592592593</v>
      </c>
      <c r="Y470" s="58" t="n">
        <f aca="false">Project_Register!$U$17*Y469*(1-Project_Register!$R$17*(Assumptions!Y$96&gt;=Project_Register!$AK$17+1)-(1-Project_Register!$R$17)*(Assumptions!Y$96&gt;=Project_Register!$AN$17))</f>
        <v>8425</v>
      </c>
      <c r="Z470" s="58" t="n">
        <f aca="false">Project_Register!$U$17*Z469*(1-Project_Register!$R$17*(Assumptions!Z$96&gt;=Project_Register!$AK$17+1)-(1-Project_Register!$R$17)*(Assumptions!Z$96&gt;=Project_Register!$AN$17))</f>
        <v>4212.5</v>
      </c>
      <c r="AA470" s="58" t="n">
        <f aca="false">Project_Register!$U$17*AA469*(1-Project_Register!$R$17*(Assumptions!AA$96&gt;=Project_Register!$AK$17+1)-(1-Project_Register!$R$17)*(Assumptions!AA$96&gt;=Project_Register!$AN$17))</f>
        <v>4212.5</v>
      </c>
      <c r="AB470" s="58" t="n">
        <f aca="false">Project_Register!$U$17*AB469*(1-Project_Register!$R$17*(Assumptions!AB$96&gt;=Project_Register!$AK$17+1)-(1-Project_Register!$R$17)*(Assumptions!AB$96&gt;=Project_Register!$AN$17))</f>
        <v>4212.5</v>
      </c>
    </row>
    <row r="471" customFormat="false" ht="15" hidden="false" customHeight="false" outlineLevel="0" collapsed="false">
      <c r="A471" s="27" t="s">
        <v>771</v>
      </c>
      <c r="B471" s="56"/>
      <c r="C471" s="57" t="n">
        <f aca="false">SUM(E471:P471)</f>
        <v>0</v>
      </c>
      <c r="D471" s="57" t="n">
        <f aca="false">SUM(Q471:AB471)</f>
        <v>4212.5</v>
      </c>
      <c r="E471" s="58" t="n">
        <f aca="false">E470-Project_Register!$AX$17</f>
        <v>0</v>
      </c>
      <c r="F471" s="70" t="n">
        <f aca="false">F470-E470</f>
        <v>0</v>
      </c>
      <c r="G471" s="70" t="n">
        <f aca="false">G470-F470</f>
        <v>0</v>
      </c>
      <c r="H471" s="70" t="n">
        <f aca="false">H470-G470</f>
        <v>0</v>
      </c>
      <c r="I471" s="70" t="n">
        <f aca="false">I470-H470</f>
        <v>0</v>
      </c>
      <c r="J471" s="70" t="n">
        <f aca="false">J470-I470</f>
        <v>0</v>
      </c>
      <c r="K471" s="70" t="n">
        <f aca="false">K470-J470</f>
        <v>0</v>
      </c>
      <c r="L471" s="70" t="n">
        <f aca="false">L470-K470</f>
        <v>0</v>
      </c>
      <c r="M471" s="70" t="n">
        <f aca="false">M470-L470</f>
        <v>0</v>
      </c>
      <c r="N471" s="70" t="n">
        <f aca="false">N470-M470</f>
        <v>0</v>
      </c>
      <c r="O471" s="70" t="n">
        <f aca="false">O470-N470</f>
        <v>0</v>
      </c>
      <c r="P471" s="70" t="n">
        <f aca="false">P470-O470</f>
        <v>0</v>
      </c>
      <c r="Q471" s="70" t="n">
        <f aca="false">Q470-P470</f>
        <v>0</v>
      </c>
      <c r="R471" s="70" t="n">
        <f aca="false">R470-Q470</f>
        <v>0</v>
      </c>
      <c r="S471" s="70" t="n">
        <f aca="false">S470-R470</f>
        <v>0</v>
      </c>
      <c r="T471" s="70" t="n">
        <f aca="false">T470-S470</f>
        <v>624.074074074074</v>
      </c>
      <c r="U471" s="70" t="n">
        <f aca="false">U470-T470</f>
        <v>1560.18518518519</v>
      </c>
      <c r="V471" s="70" t="n">
        <f aca="false">V470-U470</f>
        <v>2028.24074074074</v>
      </c>
      <c r="W471" s="70" t="n">
        <f aca="false">W470-V470</f>
        <v>2028.24074074074</v>
      </c>
      <c r="X471" s="70" t="n">
        <f aca="false">X470-W470</f>
        <v>1560.18518518518</v>
      </c>
      <c r="Y471" s="70" t="n">
        <f aca="false">Y470-X470</f>
        <v>624.074074074074</v>
      </c>
      <c r="Z471" s="70" t="n">
        <f aca="false">Z470-Y470</f>
        <v>-4212.5</v>
      </c>
      <c r="AA471" s="70" t="n">
        <f aca="false">AA470-Z470</f>
        <v>0</v>
      </c>
      <c r="AB471" s="70" t="n">
        <f aca="false">AB470-AA470</f>
        <v>0</v>
      </c>
    </row>
    <row r="472" customFormat="false" ht="15" hidden="false" customHeight="false" outlineLevel="0" collapsed="false">
      <c r="A472" s="27" t="s">
        <v>772</v>
      </c>
      <c r="B472" s="56" t="s">
        <v>773</v>
      </c>
      <c r="C472" s="57" t="n">
        <f aca="false">P472</f>
        <v>0</v>
      </c>
      <c r="D472" s="57" t="n">
        <f aca="false">AB472</f>
        <v>0</v>
      </c>
      <c r="E472" s="58" t="n">
        <f aca="false">Project_Register!$V$17*Project_Register!$AO$17*(Assumptions!E$96&gt;=Project_Register!$AL$17)*(Assumptions!E$96&lt;=Project_Register!$AK$17)</f>
        <v>0</v>
      </c>
      <c r="F472" s="58" t="n">
        <f aca="false">Project_Register!$V$17*Project_Register!$AO$17*(Assumptions!F$96&gt;=Project_Register!$AL$17)*(Assumptions!F$96&lt;=Project_Register!$AK$17)</f>
        <v>0</v>
      </c>
      <c r="G472" s="58" t="n">
        <f aca="false">Project_Register!$V$17*Project_Register!$AO$17*(Assumptions!G$96&gt;=Project_Register!$AL$17)*(Assumptions!G$96&lt;=Project_Register!$AK$17)</f>
        <v>0</v>
      </c>
      <c r="H472" s="58" t="n">
        <f aca="false">Project_Register!$V$17*Project_Register!$AO$17*(Assumptions!H$96&gt;=Project_Register!$AL$17)*(Assumptions!H$96&lt;=Project_Register!$AK$17)</f>
        <v>0</v>
      </c>
      <c r="I472" s="58" t="n">
        <f aca="false">Project_Register!$V$17*Project_Register!$AO$17*(Assumptions!I$96&gt;=Project_Register!$AL$17)*(Assumptions!I$96&lt;=Project_Register!$AK$17)</f>
        <v>0</v>
      </c>
      <c r="J472" s="58" t="n">
        <f aca="false">Project_Register!$V$17*Project_Register!$AO$17*(Assumptions!J$96&gt;=Project_Register!$AL$17)*(Assumptions!J$96&lt;=Project_Register!$AK$17)</f>
        <v>0</v>
      </c>
      <c r="K472" s="58" t="n">
        <f aca="false">Project_Register!$V$17*Project_Register!$AO$17*(Assumptions!K$96&gt;=Project_Register!$AL$17)*(Assumptions!K$96&lt;=Project_Register!$AK$17)</f>
        <v>0</v>
      </c>
      <c r="L472" s="58" t="n">
        <f aca="false">Project_Register!$V$17*Project_Register!$AO$17*(Assumptions!L$96&gt;=Project_Register!$AL$17)*(Assumptions!L$96&lt;=Project_Register!$AK$17)</f>
        <v>0</v>
      </c>
      <c r="M472" s="58" t="n">
        <f aca="false">Project_Register!$V$17*Project_Register!$AO$17*(Assumptions!M$96&gt;=Project_Register!$AL$17)*(Assumptions!M$96&lt;=Project_Register!$AK$17)</f>
        <v>0</v>
      </c>
      <c r="N472" s="58" t="n">
        <f aca="false">Project_Register!$V$17*Project_Register!$AO$17*(Assumptions!N$96&gt;=Project_Register!$AL$17)*(Assumptions!N$96&lt;=Project_Register!$AK$17)</f>
        <v>0</v>
      </c>
      <c r="O472" s="58" t="n">
        <f aca="false">Project_Register!$V$17*Project_Register!$AO$17*(Assumptions!O$96&gt;=Project_Register!$AL$17)*(Assumptions!O$96&lt;=Project_Register!$AK$17)</f>
        <v>0</v>
      </c>
      <c r="P472" s="58" t="n">
        <f aca="false">Project_Register!$V$17*Project_Register!$AO$17*(Assumptions!P$96&gt;=Project_Register!$AL$17)*(Assumptions!P$96&lt;=Project_Register!$AK$17)</f>
        <v>0</v>
      </c>
      <c r="Q472" s="58" t="n">
        <f aca="false">Project_Register!$V$17*Project_Register!$AO$17*(Assumptions!Q$96&gt;=Project_Register!$AL$17)*(Assumptions!Q$96&lt;=Project_Register!$AK$17)</f>
        <v>0</v>
      </c>
      <c r="R472" s="58" t="n">
        <f aca="false">Project_Register!$V$17*Project_Register!$AO$17*(Assumptions!R$96&gt;=Project_Register!$AL$17)*(Assumptions!R$96&lt;=Project_Register!$AK$17)</f>
        <v>0</v>
      </c>
      <c r="S472" s="58" t="n">
        <f aca="false">Project_Register!$V$17*Project_Register!$AO$17*(Assumptions!S$96&gt;=Project_Register!$AL$17)*(Assumptions!S$96&lt;=Project_Register!$AK$17)</f>
        <v>39000</v>
      </c>
      <c r="T472" s="58" t="n">
        <f aca="false">Project_Register!$V$17*Project_Register!$AO$17*(Assumptions!T$96&gt;=Project_Register!$AL$17)*(Assumptions!T$96&lt;=Project_Register!$AK$17)</f>
        <v>39000</v>
      </c>
      <c r="U472" s="58" t="n">
        <f aca="false">Project_Register!$V$17*Project_Register!$AO$17*(Assumptions!U$96&gt;=Project_Register!$AL$17)*(Assumptions!U$96&lt;=Project_Register!$AK$17)</f>
        <v>39000</v>
      </c>
      <c r="V472" s="58" t="n">
        <f aca="false">Project_Register!$V$17*Project_Register!$AO$17*(Assumptions!V$96&gt;=Project_Register!$AL$17)*(Assumptions!V$96&lt;=Project_Register!$AK$17)</f>
        <v>39000</v>
      </c>
      <c r="W472" s="58" t="n">
        <f aca="false">Project_Register!$V$17*Project_Register!$AO$17*(Assumptions!W$96&gt;=Project_Register!$AL$17)*(Assumptions!W$96&lt;=Project_Register!$AK$17)</f>
        <v>39000</v>
      </c>
      <c r="X472" s="58" t="n">
        <f aca="false">Project_Register!$V$17*Project_Register!$AO$17*(Assumptions!X$96&gt;=Project_Register!$AL$17)*(Assumptions!X$96&lt;=Project_Register!$AK$17)</f>
        <v>39000</v>
      </c>
      <c r="Y472" s="58" t="n">
        <f aca="false">Project_Register!$V$17*Project_Register!$AO$17*(Assumptions!Y$96&gt;=Project_Register!$AL$17)*(Assumptions!Y$96&lt;=Project_Register!$AK$17)</f>
        <v>39000</v>
      </c>
      <c r="Z472" s="58" t="n">
        <f aca="false">Project_Register!$V$17*Project_Register!$AO$17*(Assumptions!Z$96&gt;=Project_Register!$AL$17)*(Assumptions!Z$96&lt;=Project_Register!$AK$17)</f>
        <v>0</v>
      </c>
      <c r="AA472" s="58" t="n">
        <f aca="false">Project_Register!$V$17*Project_Register!$AO$17*(Assumptions!AA$96&gt;=Project_Register!$AL$17)*(Assumptions!AA$96&lt;=Project_Register!$AK$17)</f>
        <v>0</v>
      </c>
      <c r="AB472" s="58" t="n">
        <f aca="false">Project_Register!$V$17*Project_Register!$AO$17*(Assumptions!AB$96&gt;=Project_Register!$AL$17)*(Assumptions!AB$96&lt;=Project_Register!$AK$17)</f>
        <v>0</v>
      </c>
    </row>
    <row r="473" customFormat="false" ht="15" hidden="false" customHeight="false" outlineLevel="0" collapsed="false">
      <c r="A473" s="27" t="s">
        <v>774</v>
      </c>
      <c r="B473" s="56"/>
      <c r="C473" s="57" t="n">
        <f aca="false">P473</f>
        <v>390000</v>
      </c>
      <c r="D473" s="57" t="n">
        <f aca="false">AB473</f>
        <v>0</v>
      </c>
      <c r="E473" s="58" t="n">
        <f aca="false">IF(OR(Project_Register!$E$17="Pipeline",Assumptions!E$96&gt;=Project_Register!$AL$17),MAX(0,E450-E451),0)</f>
        <v>390000</v>
      </c>
      <c r="F473" s="58" t="n">
        <f aca="false">IF(OR(Project_Register!$E$17="Pipeline",Assumptions!F$96&gt;=Project_Register!$AL$17),MAX(0,F450-F451),0)</f>
        <v>390000</v>
      </c>
      <c r="G473" s="58" t="n">
        <f aca="false">IF(OR(Project_Register!$E$17="Pipeline",Assumptions!G$96&gt;=Project_Register!$AL$17),MAX(0,G450-G451),0)</f>
        <v>390000</v>
      </c>
      <c r="H473" s="58" t="n">
        <f aca="false">IF(OR(Project_Register!$E$17="Pipeline",Assumptions!H$96&gt;=Project_Register!$AL$17),MAX(0,H450-H451),0)</f>
        <v>390000</v>
      </c>
      <c r="I473" s="58" t="n">
        <f aca="false">IF(OR(Project_Register!$E$17="Pipeline",Assumptions!I$96&gt;=Project_Register!$AL$17),MAX(0,I450-I451),0)</f>
        <v>390000</v>
      </c>
      <c r="J473" s="58" t="n">
        <f aca="false">IF(OR(Project_Register!$E$17="Pipeline",Assumptions!J$96&gt;=Project_Register!$AL$17),MAX(0,J450-J451),0)</f>
        <v>390000</v>
      </c>
      <c r="K473" s="58" t="n">
        <f aca="false">IF(OR(Project_Register!$E$17="Pipeline",Assumptions!K$96&gt;=Project_Register!$AL$17),MAX(0,K450-K451),0)</f>
        <v>390000</v>
      </c>
      <c r="L473" s="58" t="n">
        <f aca="false">IF(OR(Project_Register!$E$17="Pipeline",Assumptions!L$96&gt;=Project_Register!$AL$17),MAX(0,L450-L451),0)</f>
        <v>390000</v>
      </c>
      <c r="M473" s="58" t="n">
        <f aca="false">IF(OR(Project_Register!$E$17="Pipeline",Assumptions!M$96&gt;=Project_Register!$AL$17),MAX(0,M450-M451),0)</f>
        <v>390000</v>
      </c>
      <c r="N473" s="58" t="n">
        <f aca="false">IF(OR(Project_Register!$E$17="Pipeline",Assumptions!N$96&gt;=Project_Register!$AL$17),MAX(0,N450-N451),0)</f>
        <v>390000</v>
      </c>
      <c r="O473" s="58" t="n">
        <f aca="false">IF(OR(Project_Register!$E$17="Pipeline",Assumptions!O$96&gt;=Project_Register!$AL$17),MAX(0,O450-O451),0)</f>
        <v>390000</v>
      </c>
      <c r="P473" s="58" t="n">
        <f aca="false">IF(OR(Project_Register!$E$17="Pipeline",Assumptions!P$96&gt;=Project_Register!$AL$17),MAX(0,P450-P451),0)</f>
        <v>390000</v>
      </c>
      <c r="Q473" s="58" t="n">
        <f aca="false">IF(OR(Project_Register!$E$17="Pipeline",Assumptions!Q$96&gt;=Project_Register!$AL$17),MAX(0,Q450-Q451),0)</f>
        <v>390000</v>
      </c>
      <c r="R473" s="58" t="n">
        <f aca="false">IF(OR(Project_Register!$E$17="Pipeline",Assumptions!R$96&gt;=Project_Register!$AL$17),MAX(0,R450-R451),0)</f>
        <v>390000</v>
      </c>
      <c r="S473" s="58" t="n">
        <f aca="false">IF(OR(Project_Register!$E$17="Pipeline",Assumptions!S$96&gt;=Project_Register!$AL$17),MAX(0,S450-S451),0)</f>
        <v>390000</v>
      </c>
      <c r="T473" s="58" t="n">
        <f aca="false">IF(OR(Project_Register!$E$17="Pipeline",Assumptions!T$96&gt;=Project_Register!$AL$17),MAX(0,T450-T451),0)</f>
        <v>361111.111111111</v>
      </c>
      <c r="U473" s="58" t="n">
        <f aca="false">IF(OR(Project_Register!$E$17="Pipeline",Assumptions!U$96&gt;=Project_Register!$AL$17),MAX(0,U450-U451),0)</f>
        <v>288888.888888889</v>
      </c>
      <c r="V473" s="58" t="n">
        <f aca="false">IF(OR(Project_Register!$E$17="Pipeline",Assumptions!V$96&gt;=Project_Register!$AL$17),MAX(0,V450-V451),0)</f>
        <v>195000</v>
      </c>
      <c r="W473" s="58" t="n">
        <f aca="false">IF(OR(Project_Register!$E$17="Pipeline",Assumptions!W$96&gt;=Project_Register!$AL$17),MAX(0,W450-W451),0)</f>
        <v>101111.111111111</v>
      </c>
      <c r="X473" s="58" t="n">
        <f aca="false">IF(OR(Project_Register!$E$17="Pipeline",Assumptions!X$96&gt;=Project_Register!$AL$17),MAX(0,X450-X451),0)</f>
        <v>28888.8888888889</v>
      </c>
      <c r="Y473" s="58" t="n">
        <f aca="false">IF(OR(Project_Register!$E$17="Pipeline",Assumptions!Y$96&gt;=Project_Register!$AL$17),MAX(0,Y450-Y451),0)</f>
        <v>0</v>
      </c>
      <c r="Z473" s="58" t="n">
        <f aca="false">IF(OR(Project_Register!$E$17="Pipeline",Assumptions!Z$96&gt;=Project_Register!$AL$17),MAX(0,Z450-Z451),0)</f>
        <v>0</v>
      </c>
      <c r="AA473" s="58" t="n">
        <f aca="false">IF(OR(Project_Register!$E$17="Pipeline",Assumptions!AA$96&gt;=Project_Register!$AL$17),MAX(0,AA450-AA451),0)</f>
        <v>0</v>
      </c>
      <c r="AB473" s="58" t="n">
        <f aca="false">IF(OR(Project_Register!$E$17="Pipeline",Assumptions!AB$96&gt;=Project_Register!$AL$17),MAX(0,AB450-AB451),0)</f>
        <v>0</v>
      </c>
    </row>
    <row r="474" customFormat="false" ht="15" hidden="false" customHeight="false" outlineLevel="0" collapsed="false">
      <c r="A474" s="27" t="s">
        <v>775</v>
      </c>
      <c r="B474" s="56"/>
      <c r="C474" s="57" t="n">
        <f aca="false">SUM(E474:P474)</f>
        <v>0</v>
      </c>
      <c r="D474" s="57" t="n">
        <f aca="false">SUM(Q474:AB474)</f>
        <v>390000</v>
      </c>
      <c r="E474" s="58" t="n">
        <f aca="false">IF(Assumptions!E$96=Project_Register!$AL$17,Project_Register!$AO$17,0)</f>
        <v>0</v>
      </c>
      <c r="F474" s="58" t="n">
        <f aca="false">IF(Assumptions!F$96=Project_Register!$AL$17,Project_Register!$AO$17,0)</f>
        <v>0</v>
      </c>
      <c r="G474" s="58" t="n">
        <f aca="false">IF(Assumptions!G$96=Project_Register!$AL$17,Project_Register!$AO$17,0)</f>
        <v>0</v>
      </c>
      <c r="H474" s="58" t="n">
        <f aca="false">IF(Assumptions!H$96=Project_Register!$AL$17,Project_Register!$AO$17,0)</f>
        <v>0</v>
      </c>
      <c r="I474" s="58" t="n">
        <f aca="false">IF(Assumptions!I$96=Project_Register!$AL$17,Project_Register!$AO$17,0)</f>
        <v>0</v>
      </c>
      <c r="J474" s="58" t="n">
        <f aca="false">IF(Assumptions!J$96=Project_Register!$AL$17,Project_Register!$AO$17,0)</f>
        <v>0</v>
      </c>
      <c r="K474" s="58" t="n">
        <f aca="false">IF(Assumptions!K$96=Project_Register!$AL$17,Project_Register!$AO$17,0)</f>
        <v>0</v>
      </c>
      <c r="L474" s="58" t="n">
        <f aca="false">IF(Assumptions!L$96=Project_Register!$AL$17,Project_Register!$AO$17,0)</f>
        <v>0</v>
      </c>
      <c r="M474" s="58" t="n">
        <f aca="false">IF(Assumptions!M$96=Project_Register!$AL$17,Project_Register!$AO$17,0)</f>
        <v>0</v>
      </c>
      <c r="N474" s="58" t="n">
        <f aca="false">IF(Assumptions!N$96=Project_Register!$AL$17,Project_Register!$AO$17,0)</f>
        <v>0</v>
      </c>
      <c r="O474" s="58" t="n">
        <f aca="false">IF(Assumptions!O$96=Project_Register!$AL$17,Project_Register!$AO$17,0)</f>
        <v>0</v>
      </c>
      <c r="P474" s="58" t="n">
        <f aca="false">IF(Assumptions!P$96=Project_Register!$AL$17,Project_Register!$AO$17,0)</f>
        <v>0</v>
      </c>
      <c r="Q474" s="58" t="n">
        <f aca="false">IF(Assumptions!Q$96=Project_Register!$AL$17,Project_Register!$AO$17,0)</f>
        <v>0</v>
      </c>
      <c r="R474" s="58" t="n">
        <f aca="false">IF(Assumptions!R$96=Project_Register!$AL$17,Project_Register!$AO$17,0)</f>
        <v>0</v>
      </c>
      <c r="S474" s="58" t="n">
        <f aca="false">IF(Assumptions!S$96=Project_Register!$AL$17,Project_Register!$AO$17,0)</f>
        <v>390000</v>
      </c>
      <c r="T474" s="58" t="n">
        <f aca="false">IF(Assumptions!T$96=Project_Register!$AL$17,Project_Register!$AO$17,0)</f>
        <v>0</v>
      </c>
      <c r="U474" s="58" t="n">
        <f aca="false">IF(Assumptions!U$96=Project_Register!$AL$17,Project_Register!$AO$17,0)</f>
        <v>0</v>
      </c>
      <c r="V474" s="58" t="n">
        <f aca="false">IF(Assumptions!V$96=Project_Register!$AL$17,Project_Register!$AO$17,0)</f>
        <v>0</v>
      </c>
      <c r="W474" s="58" t="n">
        <f aca="false">IF(Assumptions!W$96=Project_Register!$AL$17,Project_Register!$AO$17,0)</f>
        <v>0</v>
      </c>
      <c r="X474" s="58" t="n">
        <f aca="false">IF(Assumptions!X$96=Project_Register!$AL$17,Project_Register!$AO$17,0)</f>
        <v>0</v>
      </c>
      <c r="Y474" s="58" t="n">
        <f aca="false">IF(Assumptions!Y$96=Project_Register!$AL$17,Project_Register!$AO$17,0)</f>
        <v>0</v>
      </c>
      <c r="Z474" s="58" t="n">
        <f aca="false">IF(Assumptions!Z$96=Project_Register!$AL$17,Project_Register!$AO$17,0)</f>
        <v>0</v>
      </c>
      <c r="AA474" s="58" t="n">
        <f aca="false">IF(Assumptions!AA$96=Project_Register!$AL$17,Project_Register!$AO$17,0)</f>
        <v>0</v>
      </c>
      <c r="AB474" s="58" t="n">
        <f aca="false">IF(Assumptions!AB$96=Project_Register!$AL$17,Project_Register!$AO$17,0)</f>
        <v>0</v>
      </c>
    </row>
    <row r="476" customFormat="false" ht="15" hidden="false" customHeight="false" outlineLevel="0" collapsed="false">
      <c r="A476" s="21" t="s">
        <v>788</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row>
    <row r="477" customFormat="false" ht="15" hidden="false" customHeight="false" outlineLevel="0" collapsed="false">
      <c r="A477" s="27" t="s">
        <v>716</v>
      </c>
      <c r="B477" s="56" t="s">
        <v>717</v>
      </c>
      <c r="E477" s="104" t="n">
        <f aca="false">MIN(1,MAX(0,(Assumptions!E$96-Project_Register!$AJ$18+1)/(Project_Register!$AK$18-Project_Register!$AJ$18+1)))</f>
        <v>0</v>
      </c>
      <c r="F477" s="104" t="n">
        <f aca="false">MIN(1,MAX(0,(Assumptions!F$96-Project_Register!$AJ$18+1)/(Project_Register!$AK$18-Project_Register!$AJ$18+1)))</f>
        <v>0</v>
      </c>
      <c r="G477" s="104" t="n">
        <f aca="false">MIN(1,MAX(0,(Assumptions!G$96-Project_Register!$AJ$18+1)/(Project_Register!$AK$18-Project_Register!$AJ$18+1)))</f>
        <v>0</v>
      </c>
      <c r="H477" s="104" t="n">
        <f aca="false">MIN(1,MAX(0,(Assumptions!H$96-Project_Register!$AJ$18+1)/(Project_Register!$AK$18-Project_Register!$AJ$18+1)))</f>
        <v>0</v>
      </c>
      <c r="I477" s="104" t="n">
        <f aca="false">MIN(1,MAX(0,(Assumptions!I$96-Project_Register!$AJ$18+1)/(Project_Register!$AK$18-Project_Register!$AJ$18+1)))</f>
        <v>0</v>
      </c>
      <c r="J477" s="104" t="n">
        <f aca="false">MIN(1,MAX(0,(Assumptions!J$96-Project_Register!$AJ$18+1)/(Project_Register!$AK$18-Project_Register!$AJ$18+1)))</f>
        <v>0</v>
      </c>
      <c r="K477" s="104" t="n">
        <f aca="false">MIN(1,MAX(0,(Assumptions!K$96-Project_Register!$AJ$18+1)/(Project_Register!$AK$18-Project_Register!$AJ$18+1)))</f>
        <v>0</v>
      </c>
      <c r="L477" s="104" t="n">
        <f aca="false">MIN(1,MAX(0,(Assumptions!L$96-Project_Register!$AJ$18+1)/(Project_Register!$AK$18-Project_Register!$AJ$18+1)))</f>
        <v>0</v>
      </c>
      <c r="M477" s="104" t="n">
        <f aca="false">MIN(1,MAX(0,(Assumptions!M$96-Project_Register!$AJ$18+1)/(Project_Register!$AK$18-Project_Register!$AJ$18+1)))</f>
        <v>0</v>
      </c>
      <c r="N477" s="104" t="n">
        <f aca="false">MIN(1,MAX(0,(Assumptions!N$96-Project_Register!$AJ$18+1)/(Project_Register!$AK$18-Project_Register!$AJ$18+1)))</f>
        <v>0</v>
      </c>
      <c r="O477" s="104" t="n">
        <f aca="false">MIN(1,MAX(0,(Assumptions!O$96-Project_Register!$AJ$18+1)/(Project_Register!$AK$18-Project_Register!$AJ$18+1)))</f>
        <v>0</v>
      </c>
      <c r="P477" s="104" t="n">
        <f aca="false">MIN(1,MAX(0,(Assumptions!P$96-Project_Register!$AJ$18+1)/(Project_Register!$AK$18-Project_Register!$AJ$18+1)))</f>
        <v>0</v>
      </c>
      <c r="Q477" s="104" t="n">
        <f aca="false">MIN(1,MAX(0,(Assumptions!Q$96-Project_Register!$AJ$18+1)/(Project_Register!$AK$18-Project_Register!$AJ$18+1)))</f>
        <v>0</v>
      </c>
      <c r="R477" s="104" t="n">
        <f aca="false">MIN(1,MAX(0,(Assumptions!R$96-Project_Register!$AJ$18+1)/(Project_Register!$AK$18-Project_Register!$AJ$18+1)))</f>
        <v>0</v>
      </c>
      <c r="S477" s="104" t="n">
        <f aca="false">MIN(1,MAX(0,(Assumptions!S$96-Project_Register!$AJ$18+1)/(Project_Register!$AK$18-Project_Register!$AJ$18+1)))</f>
        <v>0</v>
      </c>
      <c r="T477" s="104" t="n">
        <f aca="false">MIN(1,MAX(0,(Assumptions!T$96-Project_Register!$AJ$18+1)/(Project_Register!$AK$18-Project_Register!$AJ$18+1)))</f>
        <v>0</v>
      </c>
      <c r="U477" s="104" t="n">
        <f aca="false">MIN(1,MAX(0,(Assumptions!U$96-Project_Register!$AJ$18+1)/(Project_Register!$AK$18-Project_Register!$AJ$18+1)))</f>
        <v>0</v>
      </c>
      <c r="V477" s="104" t="n">
        <f aca="false">MIN(1,MAX(0,(Assumptions!V$96-Project_Register!$AJ$18+1)/(Project_Register!$AK$18-Project_Register!$AJ$18+1)))</f>
        <v>0</v>
      </c>
      <c r="W477" s="104" t="n">
        <f aca="false">MIN(1,MAX(0,(Assumptions!W$96-Project_Register!$AJ$18+1)/(Project_Register!$AK$18-Project_Register!$AJ$18+1)))</f>
        <v>0</v>
      </c>
      <c r="X477" s="104" t="n">
        <f aca="false">MIN(1,MAX(0,(Assumptions!X$96-Project_Register!$AJ$18+1)/(Project_Register!$AK$18-Project_Register!$AJ$18+1)))</f>
        <v>0</v>
      </c>
      <c r="Y477" s="104" t="n">
        <f aca="false">MIN(1,MAX(0,(Assumptions!Y$96-Project_Register!$AJ$18+1)/(Project_Register!$AK$18-Project_Register!$AJ$18+1)))</f>
        <v>0</v>
      </c>
      <c r="Z477" s="104" t="n">
        <f aca="false">MIN(1,MAX(0,(Assumptions!Z$96-Project_Register!$AJ$18+1)/(Project_Register!$AK$18-Project_Register!$AJ$18+1)))</f>
        <v>0.125</v>
      </c>
      <c r="AA477" s="104" t="n">
        <f aca="false">MIN(1,MAX(0,(Assumptions!AA$96-Project_Register!$AJ$18+1)/(Project_Register!$AK$18-Project_Register!$AJ$18+1)))</f>
        <v>0.25</v>
      </c>
      <c r="AB477" s="104" t="n">
        <f aca="false">MIN(1,MAX(0,(Assumptions!AB$96-Project_Register!$AJ$18+1)/(Project_Register!$AK$18-Project_Register!$AJ$18+1)))</f>
        <v>0.375</v>
      </c>
    </row>
    <row r="478" customFormat="false" ht="15" hidden="false" customHeight="false" outlineLevel="0" collapsed="false">
      <c r="A478" s="27" t="s">
        <v>718</v>
      </c>
      <c r="B478" s="56" t="s">
        <v>719</v>
      </c>
      <c r="E478" s="105" t="n">
        <f aca="false">3*E477^2-2*E477^3</f>
        <v>0</v>
      </c>
      <c r="F478" s="105" t="n">
        <f aca="false">3*F477^2-2*F477^3</f>
        <v>0</v>
      </c>
      <c r="G478" s="105" t="n">
        <f aca="false">3*G477^2-2*G477^3</f>
        <v>0</v>
      </c>
      <c r="H478" s="105" t="n">
        <f aca="false">3*H477^2-2*H477^3</f>
        <v>0</v>
      </c>
      <c r="I478" s="105" t="n">
        <f aca="false">3*I477^2-2*I477^3</f>
        <v>0</v>
      </c>
      <c r="J478" s="105" t="n">
        <f aca="false">3*J477^2-2*J477^3</f>
        <v>0</v>
      </c>
      <c r="K478" s="105" t="n">
        <f aca="false">3*K477^2-2*K477^3</f>
        <v>0</v>
      </c>
      <c r="L478" s="105" t="n">
        <f aca="false">3*L477^2-2*L477^3</f>
        <v>0</v>
      </c>
      <c r="M478" s="105" t="n">
        <f aca="false">3*M477^2-2*M477^3</f>
        <v>0</v>
      </c>
      <c r="N478" s="105" t="n">
        <f aca="false">3*N477^2-2*N477^3</f>
        <v>0</v>
      </c>
      <c r="O478" s="105" t="n">
        <f aca="false">3*O477^2-2*O477^3</f>
        <v>0</v>
      </c>
      <c r="P478" s="105" t="n">
        <f aca="false">3*P477^2-2*P477^3</f>
        <v>0</v>
      </c>
      <c r="Q478" s="105" t="n">
        <f aca="false">3*Q477^2-2*Q477^3</f>
        <v>0</v>
      </c>
      <c r="R478" s="105" t="n">
        <f aca="false">3*R477^2-2*R477^3</f>
        <v>0</v>
      </c>
      <c r="S478" s="105" t="n">
        <f aca="false">3*S477^2-2*S477^3</f>
        <v>0</v>
      </c>
      <c r="T478" s="105" t="n">
        <f aca="false">3*T477^2-2*T477^3</f>
        <v>0</v>
      </c>
      <c r="U478" s="105" t="n">
        <f aca="false">3*U477^2-2*U477^3</f>
        <v>0</v>
      </c>
      <c r="V478" s="105" t="n">
        <f aca="false">3*V477^2-2*V477^3</f>
        <v>0</v>
      </c>
      <c r="W478" s="105" t="n">
        <f aca="false">3*W477^2-2*W477^3</f>
        <v>0</v>
      </c>
      <c r="X478" s="105" t="n">
        <f aca="false">3*X477^2-2*X477^3</f>
        <v>0</v>
      </c>
      <c r="Y478" s="105" t="n">
        <f aca="false">3*Y477^2-2*Y477^3</f>
        <v>0</v>
      </c>
      <c r="Z478" s="105" t="n">
        <f aca="false">3*Z477^2-2*Z477^3</f>
        <v>0.04296875</v>
      </c>
      <c r="AA478" s="105" t="n">
        <f aca="false">3*AA477^2-2*AA477^3</f>
        <v>0.15625</v>
      </c>
      <c r="AB478" s="105" t="n">
        <f aca="false">3*AB477^2-2*AB477^3</f>
        <v>0.31640625</v>
      </c>
    </row>
    <row r="479" customFormat="false" ht="15" hidden="false" customHeight="false" outlineLevel="0" collapsed="false">
      <c r="A479" s="27" t="s">
        <v>720</v>
      </c>
      <c r="B479" s="56"/>
      <c r="E479" s="104" t="n">
        <f aca="false">3*MIN(1,MAX(0,(Assumptions!E$96-Project_Register!$AJ$18)/(Project_Register!$AK$18-Project_Register!$AJ$18+1)))^2-2*MIN(1,MAX(0,(Assumptions!E$96-Project_Register!$AJ$18)/(Project_Register!$AK$18-Project_Register!$AJ$18+1)))^3</f>
        <v>0</v>
      </c>
      <c r="F479" s="104" t="n">
        <f aca="false">3*MIN(1,MAX(0,(Assumptions!F$96-Project_Register!$AJ$18)/(Project_Register!$AK$18-Project_Register!$AJ$18+1)))^2-2*MIN(1,MAX(0,(Assumptions!F$96-Project_Register!$AJ$18)/(Project_Register!$AK$18-Project_Register!$AJ$18+1)))^3</f>
        <v>0</v>
      </c>
      <c r="G479" s="104" t="n">
        <f aca="false">3*MIN(1,MAX(0,(Assumptions!G$96-Project_Register!$AJ$18)/(Project_Register!$AK$18-Project_Register!$AJ$18+1)))^2-2*MIN(1,MAX(0,(Assumptions!G$96-Project_Register!$AJ$18)/(Project_Register!$AK$18-Project_Register!$AJ$18+1)))^3</f>
        <v>0</v>
      </c>
      <c r="H479" s="104" t="n">
        <f aca="false">3*MIN(1,MAX(0,(Assumptions!H$96-Project_Register!$AJ$18)/(Project_Register!$AK$18-Project_Register!$AJ$18+1)))^2-2*MIN(1,MAX(0,(Assumptions!H$96-Project_Register!$AJ$18)/(Project_Register!$AK$18-Project_Register!$AJ$18+1)))^3</f>
        <v>0</v>
      </c>
      <c r="I479" s="104" t="n">
        <f aca="false">3*MIN(1,MAX(0,(Assumptions!I$96-Project_Register!$AJ$18)/(Project_Register!$AK$18-Project_Register!$AJ$18+1)))^2-2*MIN(1,MAX(0,(Assumptions!I$96-Project_Register!$AJ$18)/(Project_Register!$AK$18-Project_Register!$AJ$18+1)))^3</f>
        <v>0</v>
      </c>
      <c r="J479" s="104" t="n">
        <f aca="false">3*MIN(1,MAX(0,(Assumptions!J$96-Project_Register!$AJ$18)/(Project_Register!$AK$18-Project_Register!$AJ$18+1)))^2-2*MIN(1,MAX(0,(Assumptions!J$96-Project_Register!$AJ$18)/(Project_Register!$AK$18-Project_Register!$AJ$18+1)))^3</f>
        <v>0</v>
      </c>
      <c r="K479" s="104" t="n">
        <f aca="false">3*MIN(1,MAX(0,(Assumptions!K$96-Project_Register!$AJ$18)/(Project_Register!$AK$18-Project_Register!$AJ$18+1)))^2-2*MIN(1,MAX(0,(Assumptions!K$96-Project_Register!$AJ$18)/(Project_Register!$AK$18-Project_Register!$AJ$18+1)))^3</f>
        <v>0</v>
      </c>
      <c r="L479" s="104" t="n">
        <f aca="false">3*MIN(1,MAX(0,(Assumptions!L$96-Project_Register!$AJ$18)/(Project_Register!$AK$18-Project_Register!$AJ$18+1)))^2-2*MIN(1,MAX(0,(Assumptions!L$96-Project_Register!$AJ$18)/(Project_Register!$AK$18-Project_Register!$AJ$18+1)))^3</f>
        <v>0</v>
      </c>
      <c r="M479" s="104" t="n">
        <f aca="false">3*MIN(1,MAX(0,(Assumptions!M$96-Project_Register!$AJ$18)/(Project_Register!$AK$18-Project_Register!$AJ$18+1)))^2-2*MIN(1,MAX(0,(Assumptions!M$96-Project_Register!$AJ$18)/(Project_Register!$AK$18-Project_Register!$AJ$18+1)))^3</f>
        <v>0</v>
      </c>
      <c r="N479" s="104" t="n">
        <f aca="false">3*MIN(1,MAX(0,(Assumptions!N$96-Project_Register!$AJ$18)/(Project_Register!$AK$18-Project_Register!$AJ$18+1)))^2-2*MIN(1,MAX(0,(Assumptions!N$96-Project_Register!$AJ$18)/(Project_Register!$AK$18-Project_Register!$AJ$18+1)))^3</f>
        <v>0</v>
      </c>
      <c r="O479" s="104" t="n">
        <f aca="false">3*MIN(1,MAX(0,(Assumptions!O$96-Project_Register!$AJ$18)/(Project_Register!$AK$18-Project_Register!$AJ$18+1)))^2-2*MIN(1,MAX(0,(Assumptions!O$96-Project_Register!$AJ$18)/(Project_Register!$AK$18-Project_Register!$AJ$18+1)))^3</f>
        <v>0</v>
      </c>
      <c r="P479" s="104" t="n">
        <f aca="false">3*MIN(1,MAX(0,(Assumptions!P$96-Project_Register!$AJ$18)/(Project_Register!$AK$18-Project_Register!$AJ$18+1)))^2-2*MIN(1,MAX(0,(Assumptions!P$96-Project_Register!$AJ$18)/(Project_Register!$AK$18-Project_Register!$AJ$18+1)))^3</f>
        <v>0</v>
      </c>
      <c r="Q479" s="104" t="n">
        <f aca="false">3*MIN(1,MAX(0,(Assumptions!Q$96-Project_Register!$AJ$18)/(Project_Register!$AK$18-Project_Register!$AJ$18+1)))^2-2*MIN(1,MAX(0,(Assumptions!Q$96-Project_Register!$AJ$18)/(Project_Register!$AK$18-Project_Register!$AJ$18+1)))^3</f>
        <v>0</v>
      </c>
      <c r="R479" s="104" t="n">
        <f aca="false">3*MIN(1,MAX(0,(Assumptions!R$96-Project_Register!$AJ$18)/(Project_Register!$AK$18-Project_Register!$AJ$18+1)))^2-2*MIN(1,MAX(0,(Assumptions!R$96-Project_Register!$AJ$18)/(Project_Register!$AK$18-Project_Register!$AJ$18+1)))^3</f>
        <v>0</v>
      </c>
      <c r="S479" s="104" t="n">
        <f aca="false">3*MIN(1,MAX(0,(Assumptions!S$96-Project_Register!$AJ$18)/(Project_Register!$AK$18-Project_Register!$AJ$18+1)))^2-2*MIN(1,MAX(0,(Assumptions!S$96-Project_Register!$AJ$18)/(Project_Register!$AK$18-Project_Register!$AJ$18+1)))^3</f>
        <v>0</v>
      </c>
      <c r="T479" s="104" t="n">
        <f aca="false">3*MIN(1,MAX(0,(Assumptions!T$96-Project_Register!$AJ$18)/(Project_Register!$AK$18-Project_Register!$AJ$18+1)))^2-2*MIN(1,MAX(0,(Assumptions!T$96-Project_Register!$AJ$18)/(Project_Register!$AK$18-Project_Register!$AJ$18+1)))^3</f>
        <v>0</v>
      </c>
      <c r="U479" s="104" t="n">
        <f aca="false">3*MIN(1,MAX(0,(Assumptions!U$96-Project_Register!$AJ$18)/(Project_Register!$AK$18-Project_Register!$AJ$18+1)))^2-2*MIN(1,MAX(0,(Assumptions!U$96-Project_Register!$AJ$18)/(Project_Register!$AK$18-Project_Register!$AJ$18+1)))^3</f>
        <v>0</v>
      </c>
      <c r="V479" s="104" t="n">
        <f aca="false">3*MIN(1,MAX(0,(Assumptions!V$96-Project_Register!$AJ$18)/(Project_Register!$AK$18-Project_Register!$AJ$18+1)))^2-2*MIN(1,MAX(0,(Assumptions!V$96-Project_Register!$AJ$18)/(Project_Register!$AK$18-Project_Register!$AJ$18+1)))^3</f>
        <v>0</v>
      </c>
      <c r="W479" s="104" t="n">
        <f aca="false">3*MIN(1,MAX(0,(Assumptions!W$96-Project_Register!$AJ$18)/(Project_Register!$AK$18-Project_Register!$AJ$18+1)))^2-2*MIN(1,MAX(0,(Assumptions!W$96-Project_Register!$AJ$18)/(Project_Register!$AK$18-Project_Register!$AJ$18+1)))^3</f>
        <v>0</v>
      </c>
      <c r="X479" s="104" t="n">
        <f aca="false">3*MIN(1,MAX(0,(Assumptions!X$96-Project_Register!$AJ$18)/(Project_Register!$AK$18-Project_Register!$AJ$18+1)))^2-2*MIN(1,MAX(0,(Assumptions!X$96-Project_Register!$AJ$18)/(Project_Register!$AK$18-Project_Register!$AJ$18+1)))^3</f>
        <v>0</v>
      </c>
      <c r="Y479" s="104" t="n">
        <f aca="false">3*MIN(1,MAX(0,(Assumptions!Y$96-Project_Register!$AJ$18)/(Project_Register!$AK$18-Project_Register!$AJ$18+1)))^2-2*MIN(1,MAX(0,(Assumptions!Y$96-Project_Register!$AJ$18)/(Project_Register!$AK$18-Project_Register!$AJ$18+1)))^3</f>
        <v>0</v>
      </c>
      <c r="Z479" s="104" t="n">
        <f aca="false">3*MIN(1,MAX(0,(Assumptions!Z$96-Project_Register!$AJ$18)/(Project_Register!$AK$18-Project_Register!$AJ$18+1)))^2-2*MIN(1,MAX(0,(Assumptions!Z$96-Project_Register!$AJ$18)/(Project_Register!$AK$18-Project_Register!$AJ$18+1)))^3</f>
        <v>0</v>
      </c>
      <c r="AA479" s="104" t="n">
        <f aca="false">3*MIN(1,MAX(0,(Assumptions!AA$96-Project_Register!$AJ$18)/(Project_Register!$AK$18-Project_Register!$AJ$18+1)))^2-2*MIN(1,MAX(0,(Assumptions!AA$96-Project_Register!$AJ$18)/(Project_Register!$AK$18-Project_Register!$AJ$18+1)))^3</f>
        <v>0.04296875</v>
      </c>
      <c r="AB479" s="104" t="n">
        <f aca="false">3*MIN(1,MAX(0,(Assumptions!AB$96-Project_Register!$AJ$18)/(Project_Register!$AK$18-Project_Register!$AJ$18+1)))^2-2*MIN(1,MAX(0,(Assumptions!AB$96-Project_Register!$AJ$18)/(Project_Register!$AK$18-Project_Register!$AJ$18+1)))^3</f>
        <v>0.15625</v>
      </c>
    </row>
    <row r="480" customFormat="false" ht="15" hidden="false" customHeight="false" outlineLevel="0" collapsed="false">
      <c r="A480" s="27" t="s">
        <v>721</v>
      </c>
      <c r="B480" s="56" t="s">
        <v>722</v>
      </c>
      <c r="C480" s="57" t="n">
        <f aca="false">SUM(E480:P480)</f>
        <v>0</v>
      </c>
      <c r="D480" s="57" t="n">
        <f aca="false">SUM(Q480:AB480)</f>
        <v>30849.609375</v>
      </c>
      <c r="E480" s="58" t="n">
        <f aca="false">IF(E$5="A",0,IF((Project_Register!$AT$18-Project_Register!$AQ$18)&lt;=0,0,IF(1-Project_Register!$AV$18&lt;=0.000001,IF(Assumptions!E$96=Assumptions!$C$10+1,(Project_Register!$AT$18-Project_Register!$AQ$18),0),(Project_Register!$AT$18-Project_Register!$AQ$18)*(E478-E479)/(1-Project_Register!$AV$18)))*Project_Register!$X$18)</f>
        <v>0</v>
      </c>
      <c r="F480" s="58" t="n">
        <f aca="false">IF(F$5="A",0,IF((Project_Register!$AT$18-Project_Register!$AQ$18)&lt;=0,0,IF(1-Project_Register!$AV$18&lt;=0.000001,IF(Assumptions!F$96=Assumptions!$C$10+1,(Project_Register!$AT$18-Project_Register!$AQ$18),0),(Project_Register!$AT$18-Project_Register!$AQ$18)*(F478-F479)/(1-Project_Register!$AV$18)))*Project_Register!$X$18)</f>
        <v>0</v>
      </c>
      <c r="G480" s="58" t="n">
        <f aca="false">IF(G$5="A",0,IF((Project_Register!$AT$18-Project_Register!$AQ$18)&lt;=0,0,IF(1-Project_Register!$AV$18&lt;=0.000001,IF(Assumptions!G$96=Assumptions!$C$10+1,(Project_Register!$AT$18-Project_Register!$AQ$18),0),(Project_Register!$AT$18-Project_Register!$AQ$18)*(G478-G479)/(1-Project_Register!$AV$18)))*Project_Register!$X$18)</f>
        <v>0</v>
      </c>
      <c r="H480" s="58" t="n">
        <f aca="false">IF(H$5="A",0,IF((Project_Register!$AT$18-Project_Register!$AQ$18)&lt;=0,0,IF(1-Project_Register!$AV$18&lt;=0.000001,IF(Assumptions!H$96=Assumptions!$C$10+1,(Project_Register!$AT$18-Project_Register!$AQ$18),0),(Project_Register!$AT$18-Project_Register!$AQ$18)*(H478-H479)/(1-Project_Register!$AV$18)))*Project_Register!$X$18)</f>
        <v>0</v>
      </c>
      <c r="I480" s="58" t="n">
        <f aca="false">IF(I$5="A",0,IF((Project_Register!$AT$18-Project_Register!$AQ$18)&lt;=0,0,IF(1-Project_Register!$AV$18&lt;=0.000001,IF(Assumptions!I$96=Assumptions!$C$10+1,(Project_Register!$AT$18-Project_Register!$AQ$18),0),(Project_Register!$AT$18-Project_Register!$AQ$18)*(I478-I479)/(1-Project_Register!$AV$18)))*Project_Register!$X$18)</f>
        <v>0</v>
      </c>
      <c r="J480" s="58" t="n">
        <f aca="false">IF(J$5="A",0,IF((Project_Register!$AT$18-Project_Register!$AQ$18)&lt;=0,0,IF(1-Project_Register!$AV$18&lt;=0.000001,IF(Assumptions!J$96=Assumptions!$C$10+1,(Project_Register!$AT$18-Project_Register!$AQ$18),0),(Project_Register!$AT$18-Project_Register!$AQ$18)*(J478-J479)/(1-Project_Register!$AV$18)))*Project_Register!$X$18)</f>
        <v>0</v>
      </c>
      <c r="K480" s="58" t="n">
        <f aca="false">IF(K$5="A",0,IF((Project_Register!$AT$18-Project_Register!$AQ$18)&lt;=0,0,IF(1-Project_Register!$AV$18&lt;=0.000001,IF(Assumptions!K$96=Assumptions!$C$10+1,(Project_Register!$AT$18-Project_Register!$AQ$18),0),(Project_Register!$AT$18-Project_Register!$AQ$18)*(K478-K479)/(1-Project_Register!$AV$18)))*Project_Register!$X$18)</f>
        <v>0</v>
      </c>
      <c r="L480" s="58" t="n">
        <f aca="false">IF(L$5="A",0,IF((Project_Register!$AT$18-Project_Register!$AQ$18)&lt;=0,0,IF(1-Project_Register!$AV$18&lt;=0.000001,IF(Assumptions!L$96=Assumptions!$C$10+1,(Project_Register!$AT$18-Project_Register!$AQ$18),0),(Project_Register!$AT$18-Project_Register!$AQ$18)*(L478-L479)/(1-Project_Register!$AV$18)))*Project_Register!$X$18)</f>
        <v>0</v>
      </c>
      <c r="M480" s="58" t="n">
        <f aca="false">IF(M$5="A",0,IF((Project_Register!$AT$18-Project_Register!$AQ$18)&lt;=0,0,IF(1-Project_Register!$AV$18&lt;=0.000001,IF(Assumptions!M$96=Assumptions!$C$10+1,(Project_Register!$AT$18-Project_Register!$AQ$18),0),(Project_Register!$AT$18-Project_Register!$AQ$18)*(M478-M479)/(1-Project_Register!$AV$18)))*Project_Register!$X$18)</f>
        <v>0</v>
      </c>
      <c r="N480" s="58" t="n">
        <f aca="false">IF(N$5="A",0,IF((Project_Register!$AT$18-Project_Register!$AQ$18)&lt;=0,0,IF(1-Project_Register!$AV$18&lt;=0.000001,IF(Assumptions!N$96=Assumptions!$C$10+1,(Project_Register!$AT$18-Project_Register!$AQ$18),0),(Project_Register!$AT$18-Project_Register!$AQ$18)*(N478-N479)/(1-Project_Register!$AV$18)))*Project_Register!$X$18)</f>
        <v>0</v>
      </c>
      <c r="O480" s="58" t="n">
        <f aca="false">IF(O$5="A",0,IF((Project_Register!$AT$18-Project_Register!$AQ$18)&lt;=0,0,IF(1-Project_Register!$AV$18&lt;=0.000001,IF(Assumptions!O$96=Assumptions!$C$10+1,(Project_Register!$AT$18-Project_Register!$AQ$18),0),(Project_Register!$AT$18-Project_Register!$AQ$18)*(O478-O479)/(1-Project_Register!$AV$18)))*Project_Register!$X$18)</f>
        <v>0</v>
      </c>
      <c r="P480" s="58" t="n">
        <f aca="false">IF(P$5="A",0,IF((Project_Register!$AT$18-Project_Register!$AQ$18)&lt;=0,0,IF(1-Project_Register!$AV$18&lt;=0.000001,IF(Assumptions!P$96=Assumptions!$C$10+1,(Project_Register!$AT$18-Project_Register!$AQ$18),0),(Project_Register!$AT$18-Project_Register!$AQ$18)*(P478-P479)/(1-Project_Register!$AV$18)))*Project_Register!$X$18)</f>
        <v>0</v>
      </c>
      <c r="Q480" s="58" t="n">
        <f aca="false">IF(Q$5="A",0,IF((Project_Register!$AT$18-Project_Register!$AQ$18)&lt;=0,0,IF(1-Project_Register!$AV$18&lt;=0.000001,IF(Assumptions!Q$96=Assumptions!$C$10+1,(Project_Register!$AT$18-Project_Register!$AQ$18),0),(Project_Register!$AT$18-Project_Register!$AQ$18)*(Q478-Q479)/(1-Project_Register!$AV$18)))*Project_Register!$X$18)</f>
        <v>0</v>
      </c>
      <c r="R480" s="58" t="n">
        <f aca="false">IF(R$5="A",0,IF((Project_Register!$AT$18-Project_Register!$AQ$18)&lt;=0,0,IF(1-Project_Register!$AV$18&lt;=0.000001,IF(Assumptions!R$96=Assumptions!$C$10+1,(Project_Register!$AT$18-Project_Register!$AQ$18),0),(Project_Register!$AT$18-Project_Register!$AQ$18)*(R478-R479)/(1-Project_Register!$AV$18)))*Project_Register!$X$18)</f>
        <v>0</v>
      </c>
      <c r="S480" s="58" t="n">
        <f aca="false">IF(S$5="A",0,IF((Project_Register!$AT$18-Project_Register!$AQ$18)&lt;=0,0,IF(1-Project_Register!$AV$18&lt;=0.000001,IF(Assumptions!S$96=Assumptions!$C$10+1,(Project_Register!$AT$18-Project_Register!$AQ$18),0),(Project_Register!$AT$18-Project_Register!$AQ$18)*(S478-S479)/(1-Project_Register!$AV$18)))*Project_Register!$X$18)</f>
        <v>0</v>
      </c>
      <c r="T480" s="58" t="n">
        <f aca="false">IF(T$5="A",0,IF((Project_Register!$AT$18-Project_Register!$AQ$18)&lt;=0,0,IF(1-Project_Register!$AV$18&lt;=0.000001,IF(Assumptions!T$96=Assumptions!$C$10+1,(Project_Register!$AT$18-Project_Register!$AQ$18),0),(Project_Register!$AT$18-Project_Register!$AQ$18)*(T478-T479)/(1-Project_Register!$AV$18)))*Project_Register!$X$18)</f>
        <v>0</v>
      </c>
      <c r="U480" s="58" t="n">
        <f aca="false">IF(U$5="A",0,IF((Project_Register!$AT$18-Project_Register!$AQ$18)&lt;=0,0,IF(1-Project_Register!$AV$18&lt;=0.000001,IF(Assumptions!U$96=Assumptions!$C$10+1,(Project_Register!$AT$18-Project_Register!$AQ$18),0),(Project_Register!$AT$18-Project_Register!$AQ$18)*(U478-U479)/(1-Project_Register!$AV$18)))*Project_Register!$X$18)</f>
        <v>0</v>
      </c>
      <c r="V480" s="58" t="n">
        <f aca="false">IF(V$5="A",0,IF((Project_Register!$AT$18-Project_Register!$AQ$18)&lt;=0,0,IF(1-Project_Register!$AV$18&lt;=0.000001,IF(Assumptions!V$96=Assumptions!$C$10+1,(Project_Register!$AT$18-Project_Register!$AQ$18),0),(Project_Register!$AT$18-Project_Register!$AQ$18)*(V478-V479)/(1-Project_Register!$AV$18)))*Project_Register!$X$18)</f>
        <v>0</v>
      </c>
      <c r="W480" s="58" t="n">
        <f aca="false">IF(W$5="A",0,IF((Project_Register!$AT$18-Project_Register!$AQ$18)&lt;=0,0,IF(1-Project_Register!$AV$18&lt;=0.000001,IF(Assumptions!W$96=Assumptions!$C$10+1,(Project_Register!$AT$18-Project_Register!$AQ$18),0),(Project_Register!$AT$18-Project_Register!$AQ$18)*(W478-W479)/(1-Project_Register!$AV$18)))*Project_Register!$X$18)</f>
        <v>0</v>
      </c>
      <c r="X480" s="58" t="n">
        <f aca="false">IF(X$5="A",0,IF((Project_Register!$AT$18-Project_Register!$AQ$18)&lt;=0,0,IF(1-Project_Register!$AV$18&lt;=0.000001,IF(Assumptions!X$96=Assumptions!$C$10+1,(Project_Register!$AT$18-Project_Register!$AQ$18),0),(Project_Register!$AT$18-Project_Register!$AQ$18)*(X478-X479)/(1-Project_Register!$AV$18)))*Project_Register!$X$18)</f>
        <v>0</v>
      </c>
      <c r="Y480" s="58" t="n">
        <f aca="false">IF(Y$5="A",0,IF((Project_Register!$AT$18-Project_Register!$AQ$18)&lt;=0,0,IF(1-Project_Register!$AV$18&lt;=0.000001,IF(Assumptions!Y$96=Assumptions!$C$10+1,(Project_Register!$AT$18-Project_Register!$AQ$18),0),(Project_Register!$AT$18-Project_Register!$AQ$18)*(Y478-Y479)/(1-Project_Register!$AV$18)))*Project_Register!$X$18)</f>
        <v>0</v>
      </c>
      <c r="Z480" s="58" t="n">
        <f aca="false">IF(Z$5="A",0,IF((Project_Register!$AT$18-Project_Register!$AQ$18)&lt;=0,0,IF(1-Project_Register!$AV$18&lt;=0.000001,IF(Assumptions!Z$96=Assumptions!$C$10+1,(Project_Register!$AT$18-Project_Register!$AQ$18),0),(Project_Register!$AT$18-Project_Register!$AQ$18)*(Z478-Z479)/(1-Project_Register!$AV$18)))*Project_Register!$X$18)</f>
        <v>4189.453125</v>
      </c>
      <c r="AA480" s="58" t="n">
        <f aca="false">IF(AA$5="A",0,IF((Project_Register!$AT$18-Project_Register!$AQ$18)&lt;=0,0,IF(1-Project_Register!$AV$18&lt;=0.000001,IF(Assumptions!AA$96=Assumptions!$C$10+1,(Project_Register!$AT$18-Project_Register!$AQ$18),0),(Project_Register!$AT$18-Project_Register!$AQ$18)*(AA478-AA479)/(1-Project_Register!$AV$18)))*Project_Register!$X$18)</f>
        <v>11044.921875</v>
      </c>
      <c r="AB480" s="58" t="n">
        <f aca="false">IF(AB$5="A",0,IF((Project_Register!$AT$18-Project_Register!$AQ$18)&lt;=0,0,IF(1-Project_Register!$AV$18&lt;=0.000001,IF(Assumptions!AB$96=Assumptions!$C$10+1,(Project_Register!$AT$18-Project_Register!$AQ$18),0),(Project_Register!$AT$18-Project_Register!$AQ$18)*(AB478-AB479)/(1-Project_Register!$AV$18)))*Project_Register!$X$18)</f>
        <v>15615.234375</v>
      </c>
    </row>
    <row r="481" customFormat="false" ht="15" hidden="false" customHeight="false" outlineLevel="0" collapsed="false">
      <c r="A481" s="27" t="s">
        <v>723</v>
      </c>
      <c r="B481" s="56" t="s">
        <v>722</v>
      </c>
      <c r="C481" s="57" t="n">
        <f aca="false">SUM(E481:P481)</f>
        <v>0</v>
      </c>
      <c r="D481" s="57" t="n">
        <f aca="false">SUM(Q481:AB481)</f>
        <v>132890.625</v>
      </c>
      <c r="E481" s="58" t="n">
        <f aca="false">IF(E$5="A",0,IF((Project_Register!$AT$18-Project_Register!$AQ$18)&lt;=0,0,IF(1-Project_Register!$AV$18&lt;=0.000001,IF(Assumptions!E$96=Assumptions!$C$10+1,(Project_Register!$AT$18-Project_Register!$AQ$18),0),(Project_Register!$AT$18-Project_Register!$AQ$18)*(E478-E479)/(1-Project_Register!$AV$18)))*Project_Register!$Y$18)</f>
        <v>0</v>
      </c>
      <c r="F481" s="58" t="n">
        <f aca="false">IF(F$5="A",0,IF((Project_Register!$AT$18-Project_Register!$AQ$18)&lt;=0,0,IF(1-Project_Register!$AV$18&lt;=0.000001,IF(Assumptions!F$96=Assumptions!$C$10+1,(Project_Register!$AT$18-Project_Register!$AQ$18),0),(Project_Register!$AT$18-Project_Register!$AQ$18)*(F478-F479)/(1-Project_Register!$AV$18)))*Project_Register!$Y$18)</f>
        <v>0</v>
      </c>
      <c r="G481" s="58" t="n">
        <f aca="false">IF(G$5="A",0,IF((Project_Register!$AT$18-Project_Register!$AQ$18)&lt;=0,0,IF(1-Project_Register!$AV$18&lt;=0.000001,IF(Assumptions!G$96=Assumptions!$C$10+1,(Project_Register!$AT$18-Project_Register!$AQ$18),0),(Project_Register!$AT$18-Project_Register!$AQ$18)*(G478-G479)/(1-Project_Register!$AV$18)))*Project_Register!$Y$18)</f>
        <v>0</v>
      </c>
      <c r="H481" s="58" t="n">
        <f aca="false">IF(H$5="A",0,IF((Project_Register!$AT$18-Project_Register!$AQ$18)&lt;=0,0,IF(1-Project_Register!$AV$18&lt;=0.000001,IF(Assumptions!H$96=Assumptions!$C$10+1,(Project_Register!$AT$18-Project_Register!$AQ$18),0),(Project_Register!$AT$18-Project_Register!$AQ$18)*(H478-H479)/(1-Project_Register!$AV$18)))*Project_Register!$Y$18)</f>
        <v>0</v>
      </c>
      <c r="I481" s="58" t="n">
        <f aca="false">IF(I$5="A",0,IF((Project_Register!$AT$18-Project_Register!$AQ$18)&lt;=0,0,IF(1-Project_Register!$AV$18&lt;=0.000001,IF(Assumptions!I$96=Assumptions!$C$10+1,(Project_Register!$AT$18-Project_Register!$AQ$18),0),(Project_Register!$AT$18-Project_Register!$AQ$18)*(I478-I479)/(1-Project_Register!$AV$18)))*Project_Register!$Y$18)</f>
        <v>0</v>
      </c>
      <c r="J481" s="58" t="n">
        <f aca="false">IF(J$5="A",0,IF((Project_Register!$AT$18-Project_Register!$AQ$18)&lt;=0,0,IF(1-Project_Register!$AV$18&lt;=0.000001,IF(Assumptions!J$96=Assumptions!$C$10+1,(Project_Register!$AT$18-Project_Register!$AQ$18),0),(Project_Register!$AT$18-Project_Register!$AQ$18)*(J478-J479)/(1-Project_Register!$AV$18)))*Project_Register!$Y$18)</f>
        <v>0</v>
      </c>
      <c r="K481" s="58" t="n">
        <f aca="false">IF(K$5="A",0,IF((Project_Register!$AT$18-Project_Register!$AQ$18)&lt;=0,0,IF(1-Project_Register!$AV$18&lt;=0.000001,IF(Assumptions!K$96=Assumptions!$C$10+1,(Project_Register!$AT$18-Project_Register!$AQ$18),0),(Project_Register!$AT$18-Project_Register!$AQ$18)*(K478-K479)/(1-Project_Register!$AV$18)))*Project_Register!$Y$18)</f>
        <v>0</v>
      </c>
      <c r="L481" s="58" t="n">
        <f aca="false">IF(L$5="A",0,IF((Project_Register!$AT$18-Project_Register!$AQ$18)&lt;=0,0,IF(1-Project_Register!$AV$18&lt;=0.000001,IF(Assumptions!L$96=Assumptions!$C$10+1,(Project_Register!$AT$18-Project_Register!$AQ$18),0),(Project_Register!$AT$18-Project_Register!$AQ$18)*(L478-L479)/(1-Project_Register!$AV$18)))*Project_Register!$Y$18)</f>
        <v>0</v>
      </c>
      <c r="M481" s="58" t="n">
        <f aca="false">IF(M$5="A",0,IF((Project_Register!$AT$18-Project_Register!$AQ$18)&lt;=0,0,IF(1-Project_Register!$AV$18&lt;=0.000001,IF(Assumptions!M$96=Assumptions!$C$10+1,(Project_Register!$AT$18-Project_Register!$AQ$18),0),(Project_Register!$AT$18-Project_Register!$AQ$18)*(M478-M479)/(1-Project_Register!$AV$18)))*Project_Register!$Y$18)</f>
        <v>0</v>
      </c>
      <c r="N481" s="58" t="n">
        <f aca="false">IF(N$5="A",0,IF((Project_Register!$AT$18-Project_Register!$AQ$18)&lt;=0,0,IF(1-Project_Register!$AV$18&lt;=0.000001,IF(Assumptions!N$96=Assumptions!$C$10+1,(Project_Register!$AT$18-Project_Register!$AQ$18),0),(Project_Register!$AT$18-Project_Register!$AQ$18)*(N478-N479)/(1-Project_Register!$AV$18)))*Project_Register!$Y$18)</f>
        <v>0</v>
      </c>
      <c r="O481" s="58" t="n">
        <f aca="false">IF(O$5="A",0,IF((Project_Register!$AT$18-Project_Register!$AQ$18)&lt;=0,0,IF(1-Project_Register!$AV$18&lt;=0.000001,IF(Assumptions!O$96=Assumptions!$C$10+1,(Project_Register!$AT$18-Project_Register!$AQ$18),0),(Project_Register!$AT$18-Project_Register!$AQ$18)*(O478-O479)/(1-Project_Register!$AV$18)))*Project_Register!$Y$18)</f>
        <v>0</v>
      </c>
      <c r="P481" s="58" t="n">
        <f aca="false">IF(P$5="A",0,IF((Project_Register!$AT$18-Project_Register!$AQ$18)&lt;=0,0,IF(1-Project_Register!$AV$18&lt;=0.000001,IF(Assumptions!P$96=Assumptions!$C$10+1,(Project_Register!$AT$18-Project_Register!$AQ$18),0),(Project_Register!$AT$18-Project_Register!$AQ$18)*(P478-P479)/(1-Project_Register!$AV$18)))*Project_Register!$Y$18)</f>
        <v>0</v>
      </c>
      <c r="Q481" s="58" t="n">
        <f aca="false">IF(Q$5="A",0,IF((Project_Register!$AT$18-Project_Register!$AQ$18)&lt;=0,0,IF(1-Project_Register!$AV$18&lt;=0.000001,IF(Assumptions!Q$96=Assumptions!$C$10+1,(Project_Register!$AT$18-Project_Register!$AQ$18),0),(Project_Register!$AT$18-Project_Register!$AQ$18)*(Q478-Q479)/(1-Project_Register!$AV$18)))*Project_Register!$Y$18)</f>
        <v>0</v>
      </c>
      <c r="R481" s="58" t="n">
        <f aca="false">IF(R$5="A",0,IF((Project_Register!$AT$18-Project_Register!$AQ$18)&lt;=0,0,IF(1-Project_Register!$AV$18&lt;=0.000001,IF(Assumptions!R$96=Assumptions!$C$10+1,(Project_Register!$AT$18-Project_Register!$AQ$18),0),(Project_Register!$AT$18-Project_Register!$AQ$18)*(R478-R479)/(1-Project_Register!$AV$18)))*Project_Register!$Y$18)</f>
        <v>0</v>
      </c>
      <c r="S481" s="58" t="n">
        <f aca="false">IF(S$5="A",0,IF((Project_Register!$AT$18-Project_Register!$AQ$18)&lt;=0,0,IF(1-Project_Register!$AV$18&lt;=0.000001,IF(Assumptions!S$96=Assumptions!$C$10+1,(Project_Register!$AT$18-Project_Register!$AQ$18),0),(Project_Register!$AT$18-Project_Register!$AQ$18)*(S478-S479)/(1-Project_Register!$AV$18)))*Project_Register!$Y$18)</f>
        <v>0</v>
      </c>
      <c r="T481" s="58" t="n">
        <f aca="false">IF(T$5="A",0,IF((Project_Register!$AT$18-Project_Register!$AQ$18)&lt;=0,0,IF(1-Project_Register!$AV$18&lt;=0.000001,IF(Assumptions!T$96=Assumptions!$C$10+1,(Project_Register!$AT$18-Project_Register!$AQ$18),0),(Project_Register!$AT$18-Project_Register!$AQ$18)*(T478-T479)/(1-Project_Register!$AV$18)))*Project_Register!$Y$18)</f>
        <v>0</v>
      </c>
      <c r="U481" s="58" t="n">
        <f aca="false">IF(U$5="A",0,IF((Project_Register!$AT$18-Project_Register!$AQ$18)&lt;=0,0,IF(1-Project_Register!$AV$18&lt;=0.000001,IF(Assumptions!U$96=Assumptions!$C$10+1,(Project_Register!$AT$18-Project_Register!$AQ$18),0),(Project_Register!$AT$18-Project_Register!$AQ$18)*(U478-U479)/(1-Project_Register!$AV$18)))*Project_Register!$Y$18)</f>
        <v>0</v>
      </c>
      <c r="V481" s="58" t="n">
        <f aca="false">IF(V$5="A",0,IF((Project_Register!$AT$18-Project_Register!$AQ$18)&lt;=0,0,IF(1-Project_Register!$AV$18&lt;=0.000001,IF(Assumptions!V$96=Assumptions!$C$10+1,(Project_Register!$AT$18-Project_Register!$AQ$18),0),(Project_Register!$AT$18-Project_Register!$AQ$18)*(V478-V479)/(1-Project_Register!$AV$18)))*Project_Register!$Y$18)</f>
        <v>0</v>
      </c>
      <c r="W481" s="58" t="n">
        <f aca="false">IF(W$5="A",0,IF((Project_Register!$AT$18-Project_Register!$AQ$18)&lt;=0,0,IF(1-Project_Register!$AV$18&lt;=0.000001,IF(Assumptions!W$96=Assumptions!$C$10+1,(Project_Register!$AT$18-Project_Register!$AQ$18),0),(Project_Register!$AT$18-Project_Register!$AQ$18)*(W478-W479)/(1-Project_Register!$AV$18)))*Project_Register!$Y$18)</f>
        <v>0</v>
      </c>
      <c r="X481" s="58" t="n">
        <f aca="false">IF(X$5="A",0,IF((Project_Register!$AT$18-Project_Register!$AQ$18)&lt;=0,0,IF(1-Project_Register!$AV$18&lt;=0.000001,IF(Assumptions!X$96=Assumptions!$C$10+1,(Project_Register!$AT$18-Project_Register!$AQ$18),0),(Project_Register!$AT$18-Project_Register!$AQ$18)*(X478-X479)/(1-Project_Register!$AV$18)))*Project_Register!$Y$18)</f>
        <v>0</v>
      </c>
      <c r="Y481" s="58" t="n">
        <f aca="false">IF(Y$5="A",0,IF((Project_Register!$AT$18-Project_Register!$AQ$18)&lt;=0,0,IF(1-Project_Register!$AV$18&lt;=0.000001,IF(Assumptions!Y$96=Assumptions!$C$10+1,(Project_Register!$AT$18-Project_Register!$AQ$18),0),(Project_Register!$AT$18-Project_Register!$AQ$18)*(Y478-Y479)/(1-Project_Register!$AV$18)))*Project_Register!$Y$18)</f>
        <v>0</v>
      </c>
      <c r="Z481" s="58" t="n">
        <f aca="false">IF(Z$5="A",0,IF((Project_Register!$AT$18-Project_Register!$AQ$18)&lt;=0,0,IF(1-Project_Register!$AV$18&lt;=0.000001,IF(Assumptions!Z$96=Assumptions!$C$10+1,(Project_Register!$AT$18-Project_Register!$AQ$18),0),(Project_Register!$AT$18-Project_Register!$AQ$18)*(Z478-Z479)/(1-Project_Register!$AV$18)))*Project_Register!$Y$18)</f>
        <v>18046.875</v>
      </c>
      <c r="AA481" s="58" t="n">
        <f aca="false">IF(AA$5="A",0,IF((Project_Register!$AT$18-Project_Register!$AQ$18)&lt;=0,0,IF(1-Project_Register!$AV$18&lt;=0.000001,IF(Assumptions!AA$96=Assumptions!$C$10+1,(Project_Register!$AT$18-Project_Register!$AQ$18),0),(Project_Register!$AT$18-Project_Register!$AQ$18)*(AA478-AA479)/(1-Project_Register!$AV$18)))*Project_Register!$Y$18)</f>
        <v>47578.125</v>
      </c>
      <c r="AB481" s="58" t="n">
        <f aca="false">IF(AB$5="A",0,IF((Project_Register!$AT$18-Project_Register!$AQ$18)&lt;=0,0,IF(1-Project_Register!$AV$18&lt;=0.000001,IF(Assumptions!AB$96=Assumptions!$C$10+1,(Project_Register!$AT$18-Project_Register!$AQ$18),0),(Project_Register!$AT$18-Project_Register!$AQ$18)*(AB478-AB479)/(1-Project_Register!$AV$18)))*Project_Register!$Y$18)</f>
        <v>67265.625</v>
      </c>
    </row>
    <row r="482" customFormat="false" ht="15" hidden="false" customHeight="false" outlineLevel="0" collapsed="false">
      <c r="A482" s="27" t="s">
        <v>724</v>
      </c>
      <c r="B482" s="56" t="s">
        <v>722</v>
      </c>
      <c r="C482" s="57" t="n">
        <f aca="false">SUM(E482:P482)</f>
        <v>0</v>
      </c>
      <c r="D482" s="57" t="n">
        <f aca="false">SUM(Q482:AB482)</f>
        <v>54580.078125</v>
      </c>
      <c r="E482" s="58" t="n">
        <f aca="false">IF(E$5="A",0,IF((Project_Register!$AT$18-Project_Register!$AQ$18)&lt;=0,0,IF(1-Project_Register!$AV$18&lt;=0.000001,IF(Assumptions!E$96=Assumptions!$C$10+1,(Project_Register!$AT$18-Project_Register!$AQ$18),0),(Project_Register!$AT$18-Project_Register!$AQ$18)*(E478-E479)/(1-Project_Register!$AV$18)))*Project_Register!$Z$18)</f>
        <v>0</v>
      </c>
      <c r="F482" s="58" t="n">
        <f aca="false">IF(F$5="A",0,IF((Project_Register!$AT$18-Project_Register!$AQ$18)&lt;=0,0,IF(1-Project_Register!$AV$18&lt;=0.000001,IF(Assumptions!F$96=Assumptions!$C$10+1,(Project_Register!$AT$18-Project_Register!$AQ$18),0),(Project_Register!$AT$18-Project_Register!$AQ$18)*(F478-F479)/(1-Project_Register!$AV$18)))*Project_Register!$Z$18)</f>
        <v>0</v>
      </c>
      <c r="G482" s="58" t="n">
        <f aca="false">IF(G$5="A",0,IF((Project_Register!$AT$18-Project_Register!$AQ$18)&lt;=0,0,IF(1-Project_Register!$AV$18&lt;=0.000001,IF(Assumptions!G$96=Assumptions!$C$10+1,(Project_Register!$AT$18-Project_Register!$AQ$18),0),(Project_Register!$AT$18-Project_Register!$AQ$18)*(G478-G479)/(1-Project_Register!$AV$18)))*Project_Register!$Z$18)</f>
        <v>0</v>
      </c>
      <c r="H482" s="58" t="n">
        <f aca="false">IF(H$5="A",0,IF((Project_Register!$AT$18-Project_Register!$AQ$18)&lt;=0,0,IF(1-Project_Register!$AV$18&lt;=0.000001,IF(Assumptions!H$96=Assumptions!$C$10+1,(Project_Register!$AT$18-Project_Register!$AQ$18),0),(Project_Register!$AT$18-Project_Register!$AQ$18)*(H478-H479)/(1-Project_Register!$AV$18)))*Project_Register!$Z$18)</f>
        <v>0</v>
      </c>
      <c r="I482" s="58" t="n">
        <f aca="false">IF(I$5="A",0,IF((Project_Register!$AT$18-Project_Register!$AQ$18)&lt;=0,0,IF(1-Project_Register!$AV$18&lt;=0.000001,IF(Assumptions!I$96=Assumptions!$C$10+1,(Project_Register!$AT$18-Project_Register!$AQ$18),0),(Project_Register!$AT$18-Project_Register!$AQ$18)*(I478-I479)/(1-Project_Register!$AV$18)))*Project_Register!$Z$18)</f>
        <v>0</v>
      </c>
      <c r="J482" s="58" t="n">
        <f aca="false">IF(J$5="A",0,IF((Project_Register!$AT$18-Project_Register!$AQ$18)&lt;=0,0,IF(1-Project_Register!$AV$18&lt;=0.000001,IF(Assumptions!J$96=Assumptions!$C$10+1,(Project_Register!$AT$18-Project_Register!$AQ$18),0),(Project_Register!$AT$18-Project_Register!$AQ$18)*(J478-J479)/(1-Project_Register!$AV$18)))*Project_Register!$Z$18)</f>
        <v>0</v>
      </c>
      <c r="K482" s="58" t="n">
        <f aca="false">IF(K$5="A",0,IF((Project_Register!$AT$18-Project_Register!$AQ$18)&lt;=0,0,IF(1-Project_Register!$AV$18&lt;=0.000001,IF(Assumptions!K$96=Assumptions!$C$10+1,(Project_Register!$AT$18-Project_Register!$AQ$18),0),(Project_Register!$AT$18-Project_Register!$AQ$18)*(K478-K479)/(1-Project_Register!$AV$18)))*Project_Register!$Z$18)</f>
        <v>0</v>
      </c>
      <c r="L482" s="58" t="n">
        <f aca="false">IF(L$5="A",0,IF((Project_Register!$AT$18-Project_Register!$AQ$18)&lt;=0,0,IF(1-Project_Register!$AV$18&lt;=0.000001,IF(Assumptions!L$96=Assumptions!$C$10+1,(Project_Register!$AT$18-Project_Register!$AQ$18),0),(Project_Register!$AT$18-Project_Register!$AQ$18)*(L478-L479)/(1-Project_Register!$AV$18)))*Project_Register!$Z$18)</f>
        <v>0</v>
      </c>
      <c r="M482" s="58" t="n">
        <f aca="false">IF(M$5="A",0,IF((Project_Register!$AT$18-Project_Register!$AQ$18)&lt;=0,0,IF(1-Project_Register!$AV$18&lt;=0.000001,IF(Assumptions!M$96=Assumptions!$C$10+1,(Project_Register!$AT$18-Project_Register!$AQ$18),0),(Project_Register!$AT$18-Project_Register!$AQ$18)*(M478-M479)/(1-Project_Register!$AV$18)))*Project_Register!$Z$18)</f>
        <v>0</v>
      </c>
      <c r="N482" s="58" t="n">
        <f aca="false">IF(N$5="A",0,IF((Project_Register!$AT$18-Project_Register!$AQ$18)&lt;=0,0,IF(1-Project_Register!$AV$18&lt;=0.000001,IF(Assumptions!N$96=Assumptions!$C$10+1,(Project_Register!$AT$18-Project_Register!$AQ$18),0),(Project_Register!$AT$18-Project_Register!$AQ$18)*(N478-N479)/(1-Project_Register!$AV$18)))*Project_Register!$Z$18)</f>
        <v>0</v>
      </c>
      <c r="O482" s="58" t="n">
        <f aca="false">IF(O$5="A",0,IF((Project_Register!$AT$18-Project_Register!$AQ$18)&lt;=0,0,IF(1-Project_Register!$AV$18&lt;=0.000001,IF(Assumptions!O$96=Assumptions!$C$10+1,(Project_Register!$AT$18-Project_Register!$AQ$18),0),(Project_Register!$AT$18-Project_Register!$AQ$18)*(O478-O479)/(1-Project_Register!$AV$18)))*Project_Register!$Z$18)</f>
        <v>0</v>
      </c>
      <c r="P482" s="58" t="n">
        <f aca="false">IF(P$5="A",0,IF((Project_Register!$AT$18-Project_Register!$AQ$18)&lt;=0,0,IF(1-Project_Register!$AV$18&lt;=0.000001,IF(Assumptions!P$96=Assumptions!$C$10+1,(Project_Register!$AT$18-Project_Register!$AQ$18),0),(Project_Register!$AT$18-Project_Register!$AQ$18)*(P478-P479)/(1-Project_Register!$AV$18)))*Project_Register!$Z$18)</f>
        <v>0</v>
      </c>
      <c r="Q482" s="58" t="n">
        <f aca="false">IF(Q$5="A",0,IF((Project_Register!$AT$18-Project_Register!$AQ$18)&lt;=0,0,IF(1-Project_Register!$AV$18&lt;=0.000001,IF(Assumptions!Q$96=Assumptions!$C$10+1,(Project_Register!$AT$18-Project_Register!$AQ$18),0),(Project_Register!$AT$18-Project_Register!$AQ$18)*(Q478-Q479)/(1-Project_Register!$AV$18)))*Project_Register!$Z$18)</f>
        <v>0</v>
      </c>
      <c r="R482" s="58" t="n">
        <f aca="false">IF(R$5="A",0,IF((Project_Register!$AT$18-Project_Register!$AQ$18)&lt;=0,0,IF(1-Project_Register!$AV$18&lt;=0.000001,IF(Assumptions!R$96=Assumptions!$C$10+1,(Project_Register!$AT$18-Project_Register!$AQ$18),0),(Project_Register!$AT$18-Project_Register!$AQ$18)*(R478-R479)/(1-Project_Register!$AV$18)))*Project_Register!$Z$18)</f>
        <v>0</v>
      </c>
      <c r="S482" s="58" t="n">
        <f aca="false">IF(S$5="A",0,IF((Project_Register!$AT$18-Project_Register!$AQ$18)&lt;=0,0,IF(1-Project_Register!$AV$18&lt;=0.000001,IF(Assumptions!S$96=Assumptions!$C$10+1,(Project_Register!$AT$18-Project_Register!$AQ$18),0),(Project_Register!$AT$18-Project_Register!$AQ$18)*(S478-S479)/(1-Project_Register!$AV$18)))*Project_Register!$Z$18)</f>
        <v>0</v>
      </c>
      <c r="T482" s="58" t="n">
        <f aca="false">IF(T$5="A",0,IF((Project_Register!$AT$18-Project_Register!$AQ$18)&lt;=0,0,IF(1-Project_Register!$AV$18&lt;=0.000001,IF(Assumptions!T$96=Assumptions!$C$10+1,(Project_Register!$AT$18-Project_Register!$AQ$18),0),(Project_Register!$AT$18-Project_Register!$AQ$18)*(T478-T479)/(1-Project_Register!$AV$18)))*Project_Register!$Z$18)</f>
        <v>0</v>
      </c>
      <c r="U482" s="58" t="n">
        <f aca="false">IF(U$5="A",0,IF((Project_Register!$AT$18-Project_Register!$AQ$18)&lt;=0,0,IF(1-Project_Register!$AV$18&lt;=0.000001,IF(Assumptions!U$96=Assumptions!$C$10+1,(Project_Register!$AT$18-Project_Register!$AQ$18),0),(Project_Register!$AT$18-Project_Register!$AQ$18)*(U478-U479)/(1-Project_Register!$AV$18)))*Project_Register!$Z$18)</f>
        <v>0</v>
      </c>
      <c r="V482" s="58" t="n">
        <f aca="false">IF(V$5="A",0,IF((Project_Register!$AT$18-Project_Register!$AQ$18)&lt;=0,0,IF(1-Project_Register!$AV$18&lt;=0.000001,IF(Assumptions!V$96=Assumptions!$C$10+1,(Project_Register!$AT$18-Project_Register!$AQ$18),0),(Project_Register!$AT$18-Project_Register!$AQ$18)*(V478-V479)/(1-Project_Register!$AV$18)))*Project_Register!$Z$18)</f>
        <v>0</v>
      </c>
      <c r="W482" s="58" t="n">
        <f aca="false">IF(W$5="A",0,IF((Project_Register!$AT$18-Project_Register!$AQ$18)&lt;=0,0,IF(1-Project_Register!$AV$18&lt;=0.000001,IF(Assumptions!W$96=Assumptions!$C$10+1,(Project_Register!$AT$18-Project_Register!$AQ$18),0),(Project_Register!$AT$18-Project_Register!$AQ$18)*(W478-W479)/(1-Project_Register!$AV$18)))*Project_Register!$Z$18)</f>
        <v>0</v>
      </c>
      <c r="X482" s="58" t="n">
        <f aca="false">IF(X$5="A",0,IF((Project_Register!$AT$18-Project_Register!$AQ$18)&lt;=0,0,IF(1-Project_Register!$AV$18&lt;=0.000001,IF(Assumptions!X$96=Assumptions!$C$10+1,(Project_Register!$AT$18-Project_Register!$AQ$18),0),(Project_Register!$AT$18-Project_Register!$AQ$18)*(X478-X479)/(1-Project_Register!$AV$18)))*Project_Register!$Z$18)</f>
        <v>0</v>
      </c>
      <c r="Y482" s="58" t="n">
        <f aca="false">IF(Y$5="A",0,IF((Project_Register!$AT$18-Project_Register!$AQ$18)&lt;=0,0,IF(1-Project_Register!$AV$18&lt;=0.000001,IF(Assumptions!Y$96=Assumptions!$C$10+1,(Project_Register!$AT$18-Project_Register!$AQ$18),0),(Project_Register!$AT$18-Project_Register!$AQ$18)*(Y478-Y479)/(1-Project_Register!$AV$18)))*Project_Register!$Z$18)</f>
        <v>0</v>
      </c>
      <c r="Z482" s="58" t="n">
        <f aca="false">IF(Z$5="A",0,IF((Project_Register!$AT$18-Project_Register!$AQ$18)&lt;=0,0,IF(1-Project_Register!$AV$18&lt;=0.000001,IF(Assumptions!Z$96=Assumptions!$C$10+1,(Project_Register!$AT$18-Project_Register!$AQ$18),0),(Project_Register!$AT$18-Project_Register!$AQ$18)*(Z478-Z479)/(1-Project_Register!$AV$18)))*Project_Register!$Z$18)</f>
        <v>7412.109375</v>
      </c>
      <c r="AA482" s="58" t="n">
        <f aca="false">IF(AA$5="A",0,IF((Project_Register!$AT$18-Project_Register!$AQ$18)&lt;=0,0,IF(1-Project_Register!$AV$18&lt;=0.000001,IF(Assumptions!AA$96=Assumptions!$C$10+1,(Project_Register!$AT$18-Project_Register!$AQ$18),0),(Project_Register!$AT$18-Project_Register!$AQ$18)*(AA478-AA479)/(1-Project_Register!$AV$18)))*Project_Register!$Z$18)</f>
        <v>19541.015625</v>
      </c>
      <c r="AB482" s="58" t="n">
        <f aca="false">IF(AB$5="A",0,IF((Project_Register!$AT$18-Project_Register!$AQ$18)&lt;=0,0,IF(1-Project_Register!$AV$18&lt;=0.000001,IF(Assumptions!AB$96=Assumptions!$C$10+1,(Project_Register!$AT$18-Project_Register!$AQ$18),0),(Project_Register!$AT$18-Project_Register!$AQ$18)*(AB478-AB479)/(1-Project_Register!$AV$18)))*Project_Register!$Z$18)</f>
        <v>27626.953125</v>
      </c>
    </row>
    <row r="483" customFormat="false" ht="15" hidden="false" customHeight="false" outlineLevel="0" collapsed="false">
      <c r="A483" s="27" t="s">
        <v>725</v>
      </c>
      <c r="B483" s="56" t="s">
        <v>722</v>
      </c>
      <c r="C483" s="57" t="n">
        <f aca="false">SUM(E483:P483)</f>
        <v>0</v>
      </c>
      <c r="D483" s="57" t="n">
        <f aca="false">SUM(Q483:AB483)</f>
        <v>7119.140625</v>
      </c>
      <c r="E483" s="58" t="n">
        <f aca="false">IF(E$5="A",0,IF((Project_Register!$AT$18-Project_Register!$AQ$18)&lt;=0,0,IF(1-Project_Register!$AV$18&lt;=0.000001,IF(Assumptions!E$96=Assumptions!$C$10+1,(Project_Register!$AT$18-Project_Register!$AQ$18),0),(Project_Register!$AT$18-Project_Register!$AQ$18)*(E478-E479)/(1-Project_Register!$AV$18)))*Project_Register!$AA$18)</f>
        <v>0</v>
      </c>
      <c r="F483" s="58" t="n">
        <f aca="false">IF(F$5="A",0,IF((Project_Register!$AT$18-Project_Register!$AQ$18)&lt;=0,0,IF(1-Project_Register!$AV$18&lt;=0.000001,IF(Assumptions!F$96=Assumptions!$C$10+1,(Project_Register!$AT$18-Project_Register!$AQ$18),0),(Project_Register!$AT$18-Project_Register!$AQ$18)*(F478-F479)/(1-Project_Register!$AV$18)))*Project_Register!$AA$18)</f>
        <v>0</v>
      </c>
      <c r="G483" s="58" t="n">
        <f aca="false">IF(G$5="A",0,IF((Project_Register!$AT$18-Project_Register!$AQ$18)&lt;=0,0,IF(1-Project_Register!$AV$18&lt;=0.000001,IF(Assumptions!G$96=Assumptions!$C$10+1,(Project_Register!$AT$18-Project_Register!$AQ$18),0),(Project_Register!$AT$18-Project_Register!$AQ$18)*(G478-G479)/(1-Project_Register!$AV$18)))*Project_Register!$AA$18)</f>
        <v>0</v>
      </c>
      <c r="H483" s="58" t="n">
        <f aca="false">IF(H$5="A",0,IF((Project_Register!$AT$18-Project_Register!$AQ$18)&lt;=0,0,IF(1-Project_Register!$AV$18&lt;=0.000001,IF(Assumptions!H$96=Assumptions!$C$10+1,(Project_Register!$AT$18-Project_Register!$AQ$18),0),(Project_Register!$AT$18-Project_Register!$AQ$18)*(H478-H479)/(1-Project_Register!$AV$18)))*Project_Register!$AA$18)</f>
        <v>0</v>
      </c>
      <c r="I483" s="58" t="n">
        <f aca="false">IF(I$5="A",0,IF((Project_Register!$AT$18-Project_Register!$AQ$18)&lt;=0,0,IF(1-Project_Register!$AV$18&lt;=0.000001,IF(Assumptions!I$96=Assumptions!$C$10+1,(Project_Register!$AT$18-Project_Register!$AQ$18),0),(Project_Register!$AT$18-Project_Register!$AQ$18)*(I478-I479)/(1-Project_Register!$AV$18)))*Project_Register!$AA$18)</f>
        <v>0</v>
      </c>
      <c r="J483" s="58" t="n">
        <f aca="false">IF(J$5="A",0,IF((Project_Register!$AT$18-Project_Register!$AQ$18)&lt;=0,0,IF(1-Project_Register!$AV$18&lt;=0.000001,IF(Assumptions!J$96=Assumptions!$C$10+1,(Project_Register!$AT$18-Project_Register!$AQ$18),0),(Project_Register!$AT$18-Project_Register!$AQ$18)*(J478-J479)/(1-Project_Register!$AV$18)))*Project_Register!$AA$18)</f>
        <v>0</v>
      </c>
      <c r="K483" s="58" t="n">
        <f aca="false">IF(K$5="A",0,IF((Project_Register!$AT$18-Project_Register!$AQ$18)&lt;=0,0,IF(1-Project_Register!$AV$18&lt;=0.000001,IF(Assumptions!K$96=Assumptions!$C$10+1,(Project_Register!$AT$18-Project_Register!$AQ$18),0),(Project_Register!$AT$18-Project_Register!$AQ$18)*(K478-K479)/(1-Project_Register!$AV$18)))*Project_Register!$AA$18)</f>
        <v>0</v>
      </c>
      <c r="L483" s="58" t="n">
        <f aca="false">IF(L$5="A",0,IF((Project_Register!$AT$18-Project_Register!$AQ$18)&lt;=0,0,IF(1-Project_Register!$AV$18&lt;=0.000001,IF(Assumptions!L$96=Assumptions!$C$10+1,(Project_Register!$AT$18-Project_Register!$AQ$18),0),(Project_Register!$AT$18-Project_Register!$AQ$18)*(L478-L479)/(1-Project_Register!$AV$18)))*Project_Register!$AA$18)</f>
        <v>0</v>
      </c>
      <c r="M483" s="58" t="n">
        <f aca="false">IF(M$5="A",0,IF((Project_Register!$AT$18-Project_Register!$AQ$18)&lt;=0,0,IF(1-Project_Register!$AV$18&lt;=0.000001,IF(Assumptions!M$96=Assumptions!$C$10+1,(Project_Register!$AT$18-Project_Register!$AQ$18),0),(Project_Register!$AT$18-Project_Register!$AQ$18)*(M478-M479)/(1-Project_Register!$AV$18)))*Project_Register!$AA$18)</f>
        <v>0</v>
      </c>
      <c r="N483" s="58" t="n">
        <f aca="false">IF(N$5="A",0,IF((Project_Register!$AT$18-Project_Register!$AQ$18)&lt;=0,0,IF(1-Project_Register!$AV$18&lt;=0.000001,IF(Assumptions!N$96=Assumptions!$C$10+1,(Project_Register!$AT$18-Project_Register!$AQ$18),0),(Project_Register!$AT$18-Project_Register!$AQ$18)*(N478-N479)/(1-Project_Register!$AV$18)))*Project_Register!$AA$18)</f>
        <v>0</v>
      </c>
      <c r="O483" s="58" t="n">
        <f aca="false">IF(O$5="A",0,IF((Project_Register!$AT$18-Project_Register!$AQ$18)&lt;=0,0,IF(1-Project_Register!$AV$18&lt;=0.000001,IF(Assumptions!O$96=Assumptions!$C$10+1,(Project_Register!$AT$18-Project_Register!$AQ$18),0),(Project_Register!$AT$18-Project_Register!$AQ$18)*(O478-O479)/(1-Project_Register!$AV$18)))*Project_Register!$AA$18)</f>
        <v>0</v>
      </c>
      <c r="P483" s="58" t="n">
        <f aca="false">IF(P$5="A",0,IF((Project_Register!$AT$18-Project_Register!$AQ$18)&lt;=0,0,IF(1-Project_Register!$AV$18&lt;=0.000001,IF(Assumptions!P$96=Assumptions!$C$10+1,(Project_Register!$AT$18-Project_Register!$AQ$18),0),(Project_Register!$AT$18-Project_Register!$AQ$18)*(P478-P479)/(1-Project_Register!$AV$18)))*Project_Register!$AA$18)</f>
        <v>0</v>
      </c>
      <c r="Q483" s="58" t="n">
        <f aca="false">IF(Q$5="A",0,IF((Project_Register!$AT$18-Project_Register!$AQ$18)&lt;=0,0,IF(1-Project_Register!$AV$18&lt;=0.000001,IF(Assumptions!Q$96=Assumptions!$C$10+1,(Project_Register!$AT$18-Project_Register!$AQ$18),0),(Project_Register!$AT$18-Project_Register!$AQ$18)*(Q478-Q479)/(1-Project_Register!$AV$18)))*Project_Register!$AA$18)</f>
        <v>0</v>
      </c>
      <c r="R483" s="58" t="n">
        <f aca="false">IF(R$5="A",0,IF((Project_Register!$AT$18-Project_Register!$AQ$18)&lt;=0,0,IF(1-Project_Register!$AV$18&lt;=0.000001,IF(Assumptions!R$96=Assumptions!$C$10+1,(Project_Register!$AT$18-Project_Register!$AQ$18),0),(Project_Register!$AT$18-Project_Register!$AQ$18)*(R478-R479)/(1-Project_Register!$AV$18)))*Project_Register!$AA$18)</f>
        <v>0</v>
      </c>
      <c r="S483" s="58" t="n">
        <f aca="false">IF(S$5="A",0,IF((Project_Register!$AT$18-Project_Register!$AQ$18)&lt;=0,0,IF(1-Project_Register!$AV$18&lt;=0.000001,IF(Assumptions!S$96=Assumptions!$C$10+1,(Project_Register!$AT$18-Project_Register!$AQ$18),0),(Project_Register!$AT$18-Project_Register!$AQ$18)*(S478-S479)/(1-Project_Register!$AV$18)))*Project_Register!$AA$18)</f>
        <v>0</v>
      </c>
      <c r="T483" s="58" t="n">
        <f aca="false">IF(T$5="A",0,IF((Project_Register!$AT$18-Project_Register!$AQ$18)&lt;=0,0,IF(1-Project_Register!$AV$18&lt;=0.000001,IF(Assumptions!T$96=Assumptions!$C$10+1,(Project_Register!$AT$18-Project_Register!$AQ$18),0),(Project_Register!$AT$18-Project_Register!$AQ$18)*(T478-T479)/(1-Project_Register!$AV$18)))*Project_Register!$AA$18)</f>
        <v>0</v>
      </c>
      <c r="U483" s="58" t="n">
        <f aca="false">IF(U$5="A",0,IF((Project_Register!$AT$18-Project_Register!$AQ$18)&lt;=0,0,IF(1-Project_Register!$AV$18&lt;=0.000001,IF(Assumptions!U$96=Assumptions!$C$10+1,(Project_Register!$AT$18-Project_Register!$AQ$18),0),(Project_Register!$AT$18-Project_Register!$AQ$18)*(U478-U479)/(1-Project_Register!$AV$18)))*Project_Register!$AA$18)</f>
        <v>0</v>
      </c>
      <c r="V483" s="58" t="n">
        <f aca="false">IF(V$5="A",0,IF((Project_Register!$AT$18-Project_Register!$AQ$18)&lt;=0,0,IF(1-Project_Register!$AV$18&lt;=0.000001,IF(Assumptions!V$96=Assumptions!$C$10+1,(Project_Register!$AT$18-Project_Register!$AQ$18),0),(Project_Register!$AT$18-Project_Register!$AQ$18)*(V478-V479)/(1-Project_Register!$AV$18)))*Project_Register!$AA$18)</f>
        <v>0</v>
      </c>
      <c r="W483" s="58" t="n">
        <f aca="false">IF(W$5="A",0,IF((Project_Register!$AT$18-Project_Register!$AQ$18)&lt;=0,0,IF(1-Project_Register!$AV$18&lt;=0.000001,IF(Assumptions!W$96=Assumptions!$C$10+1,(Project_Register!$AT$18-Project_Register!$AQ$18),0),(Project_Register!$AT$18-Project_Register!$AQ$18)*(W478-W479)/(1-Project_Register!$AV$18)))*Project_Register!$AA$18)</f>
        <v>0</v>
      </c>
      <c r="X483" s="58" t="n">
        <f aca="false">IF(X$5="A",0,IF((Project_Register!$AT$18-Project_Register!$AQ$18)&lt;=0,0,IF(1-Project_Register!$AV$18&lt;=0.000001,IF(Assumptions!X$96=Assumptions!$C$10+1,(Project_Register!$AT$18-Project_Register!$AQ$18),0),(Project_Register!$AT$18-Project_Register!$AQ$18)*(X478-X479)/(1-Project_Register!$AV$18)))*Project_Register!$AA$18)</f>
        <v>0</v>
      </c>
      <c r="Y483" s="58" t="n">
        <f aca="false">IF(Y$5="A",0,IF((Project_Register!$AT$18-Project_Register!$AQ$18)&lt;=0,0,IF(1-Project_Register!$AV$18&lt;=0.000001,IF(Assumptions!Y$96=Assumptions!$C$10+1,(Project_Register!$AT$18-Project_Register!$AQ$18),0),(Project_Register!$AT$18-Project_Register!$AQ$18)*(Y478-Y479)/(1-Project_Register!$AV$18)))*Project_Register!$AA$18)</f>
        <v>0</v>
      </c>
      <c r="Z483" s="58" t="n">
        <f aca="false">IF(Z$5="A",0,IF((Project_Register!$AT$18-Project_Register!$AQ$18)&lt;=0,0,IF(1-Project_Register!$AV$18&lt;=0.000001,IF(Assumptions!Z$96=Assumptions!$C$10+1,(Project_Register!$AT$18-Project_Register!$AQ$18),0),(Project_Register!$AT$18-Project_Register!$AQ$18)*(Z478-Z479)/(1-Project_Register!$AV$18)))*Project_Register!$AA$18)</f>
        <v>966.796875</v>
      </c>
      <c r="AA483" s="58" t="n">
        <f aca="false">IF(AA$5="A",0,IF((Project_Register!$AT$18-Project_Register!$AQ$18)&lt;=0,0,IF(1-Project_Register!$AV$18&lt;=0.000001,IF(Assumptions!AA$96=Assumptions!$C$10+1,(Project_Register!$AT$18-Project_Register!$AQ$18),0),(Project_Register!$AT$18-Project_Register!$AQ$18)*(AA478-AA479)/(1-Project_Register!$AV$18)))*Project_Register!$AA$18)</f>
        <v>2548.828125</v>
      </c>
      <c r="AB483" s="58" t="n">
        <f aca="false">IF(AB$5="A",0,IF((Project_Register!$AT$18-Project_Register!$AQ$18)&lt;=0,0,IF(1-Project_Register!$AV$18&lt;=0.000001,IF(Assumptions!AB$96=Assumptions!$C$10+1,(Project_Register!$AT$18-Project_Register!$AQ$18),0),(Project_Register!$AT$18-Project_Register!$AQ$18)*(AB478-AB479)/(1-Project_Register!$AV$18)))*Project_Register!$AA$18)</f>
        <v>3603.515625</v>
      </c>
    </row>
    <row r="484" customFormat="false" ht="15" hidden="false" customHeight="false" outlineLevel="0" collapsed="false">
      <c r="A484" s="27" t="s">
        <v>726</v>
      </c>
      <c r="B484" s="56" t="s">
        <v>722</v>
      </c>
      <c r="C484" s="57" t="n">
        <f aca="false">SUM(E484:P484)</f>
        <v>0</v>
      </c>
      <c r="D484" s="57" t="n">
        <f aca="false">SUM(Q484:AB484)</f>
        <v>11865.234375</v>
      </c>
      <c r="E484" s="58" t="n">
        <f aca="false">IF(E$5="A",0,IF((Project_Register!$AT$18-Project_Register!$AQ$18)&lt;=0,0,IF(1-Project_Register!$AV$18&lt;=0.000001,IF(Assumptions!E$96=Assumptions!$C$10+1,(Project_Register!$AT$18-Project_Register!$AQ$18),0),(Project_Register!$AT$18-Project_Register!$AQ$18)*(E478-E479)/(1-Project_Register!$AV$18)))*Project_Register!$AB$18)</f>
        <v>0</v>
      </c>
      <c r="F484" s="58" t="n">
        <f aca="false">IF(F$5="A",0,IF((Project_Register!$AT$18-Project_Register!$AQ$18)&lt;=0,0,IF(1-Project_Register!$AV$18&lt;=0.000001,IF(Assumptions!F$96=Assumptions!$C$10+1,(Project_Register!$AT$18-Project_Register!$AQ$18),0),(Project_Register!$AT$18-Project_Register!$AQ$18)*(F478-F479)/(1-Project_Register!$AV$18)))*Project_Register!$AB$18)</f>
        <v>0</v>
      </c>
      <c r="G484" s="58" t="n">
        <f aca="false">IF(G$5="A",0,IF((Project_Register!$AT$18-Project_Register!$AQ$18)&lt;=0,0,IF(1-Project_Register!$AV$18&lt;=0.000001,IF(Assumptions!G$96=Assumptions!$C$10+1,(Project_Register!$AT$18-Project_Register!$AQ$18),0),(Project_Register!$AT$18-Project_Register!$AQ$18)*(G478-G479)/(1-Project_Register!$AV$18)))*Project_Register!$AB$18)</f>
        <v>0</v>
      </c>
      <c r="H484" s="58" t="n">
        <f aca="false">IF(H$5="A",0,IF((Project_Register!$AT$18-Project_Register!$AQ$18)&lt;=0,0,IF(1-Project_Register!$AV$18&lt;=0.000001,IF(Assumptions!H$96=Assumptions!$C$10+1,(Project_Register!$AT$18-Project_Register!$AQ$18),0),(Project_Register!$AT$18-Project_Register!$AQ$18)*(H478-H479)/(1-Project_Register!$AV$18)))*Project_Register!$AB$18)</f>
        <v>0</v>
      </c>
      <c r="I484" s="58" t="n">
        <f aca="false">IF(I$5="A",0,IF((Project_Register!$AT$18-Project_Register!$AQ$18)&lt;=0,0,IF(1-Project_Register!$AV$18&lt;=0.000001,IF(Assumptions!I$96=Assumptions!$C$10+1,(Project_Register!$AT$18-Project_Register!$AQ$18),0),(Project_Register!$AT$18-Project_Register!$AQ$18)*(I478-I479)/(1-Project_Register!$AV$18)))*Project_Register!$AB$18)</f>
        <v>0</v>
      </c>
      <c r="J484" s="58" t="n">
        <f aca="false">IF(J$5="A",0,IF((Project_Register!$AT$18-Project_Register!$AQ$18)&lt;=0,0,IF(1-Project_Register!$AV$18&lt;=0.000001,IF(Assumptions!J$96=Assumptions!$C$10+1,(Project_Register!$AT$18-Project_Register!$AQ$18),0),(Project_Register!$AT$18-Project_Register!$AQ$18)*(J478-J479)/(1-Project_Register!$AV$18)))*Project_Register!$AB$18)</f>
        <v>0</v>
      </c>
      <c r="K484" s="58" t="n">
        <f aca="false">IF(K$5="A",0,IF((Project_Register!$AT$18-Project_Register!$AQ$18)&lt;=0,0,IF(1-Project_Register!$AV$18&lt;=0.000001,IF(Assumptions!K$96=Assumptions!$C$10+1,(Project_Register!$AT$18-Project_Register!$AQ$18),0),(Project_Register!$AT$18-Project_Register!$AQ$18)*(K478-K479)/(1-Project_Register!$AV$18)))*Project_Register!$AB$18)</f>
        <v>0</v>
      </c>
      <c r="L484" s="58" t="n">
        <f aca="false">IF(L$5="A",0,IF((Project_Register!$AT$18-Project_Register!$AQ$18)&lt;=0,0,IF(1-Project_Register!$AV$18&lt;=0.000001,IF(Assumptions!L$96=Assumptions!$C$10+1,(Project_Register!$AT$18-Project_Register!$AQ$18),0),(Project_Register!$AT$18-Project_Register!$AQ$18)*(L478-L479)/(1-Project_Register!$AV$18)))*Project_Register!$AB$18)</f>
        <v>0</v>
      </c>
      <c r="M484" s="58" t="n">
        <f aca="false">IF(M$5="A",0,IF((Project_Register!$AT$18-Project_Register!$AQ$18)&lt;=0,0,IF(1-Project_Register!$AV$18&lt;=0.000001,IF(Assumptions!M$96=Assumptions!$C$10+1,(Project_Register!$AT$18-Project_Register!$AQ$18),0),(Project_Register!$AT$18-Project_Register!$AQ$18)*(M478-M479)/(1-Project_Register!$AV$18)))*Project_Register!$AB$18)</f>
        <v>0</v>
      </c>
      <c r="N484" s="58" t="n">
        <f aca="false">IF(N$5="A",0,IF((Project_Register!$AT$18-Project_Register!$AQ$18)&lt;=0,0,IF(1-Project_Register!$AV$18&lt;=0.000001,IF(Assumptions!N$96=Assumptions!$C$10+1,(Project_Register!$AT$18-Project_Register!$AQ$18),0),(Project_Register!$AT$18-Project_Register!$AQ$18)*(N478-N479)/(1-Project_Register!$AV$18)))*Project_Register!$AB$18)</f>
        <v>0</v>
      </c>
      <c r="O484" s="58" t="n">
        <f aca="false">IF(O$5="A",0,IF((Project_Register!$AT$18-Project_Register!$AQ$18)&lt;=0,0,IF(1-Project_Register!$AV$18&lt;=0.000001,IF(Assumptions!O$96=Assumptions!$C$10+1,(Project_Register!$AT$18-Project_Register!$AQ$18),0),(Project_Register!$AT$18-Project_Register!$AQ$18)*(O478-O479)/(1-Project_Register!$AV$18)))*Project_Register!$AB$18)</f>
        <v>0</v>
      </c>
      <c r="P484" s="58" t="n">
        <f aca="false">IF(P$5="A",0,IF((Project_Register!$AT$18-Project_Register!$AQ$18)&lt;=0,0,IF(1-Project_Register!$AV$18&lt;=0.000001,IF(Assumptions!P$96=Assumptions!$C$10+1,(Project_Register!$AT$18-Project_Register!$AQ$18),0),(Project_Register!$AT$18-Project_Register!$AQ$18)*(P478-P479)/(1-Project_Register!$AV$18)))*Project_Register!$AB$18)</f>
        <v>0</v>
      </c>
      <c r="Q484" s="58" t="n">
        <f aca="false">IF(Q$5="A",0,IF((Project_Register!$AT$18-Project_Register!$AQ$18)&lt;=0,0,IF(1-Project_Register!$AV$18&lt;=0.000001,IF(Assumptions!Q$96=Assumptions!$C$10+1,(Project_Register!$AT$18-Project_Register!$AQ$18),0),(Project_Register!$AT$18-Project_Register!$AQ$18)*(Q478-Q479)/(1-Project_Register!$AV$18)))*Project_Register!$AB$18)</f>
        <v>0</v>
      </c>
      <c r="R484" s="58" t="n">
        <f aca="false">IF(R$5="A",0,IF((Project_Register!$AT$18-Project_Register!$AQ$18)&lt;=0,0,IF(1-Project_Register!$AV$18&lt;=0.000001,IF(Assumptions!R$96=Assumptions!$C$10+1,(Project_Register!$AT$18-Project_Register!$AQ$18),0),(Project_Register!$AT$18-Project_Register!$AQ$18)*(R478-R479)/(1-Project_Register!$AV$18)))*Project_Register!$AB$18)</f>
        <v>0</v>
      </c>
      <c r="S484" s="58" t="n">
        <f aca="false">IF(S$5="A",0,IF((Project_Register!$AT$18-Project_Register!$AQ$18)&lt;=0,0,IF(1-Project_Register!$AV$18&lt;=0.000001,IF(Assumptions!S$96=Assumptions!$C$10+1,(Project_Register!$AT$18-Project_Register!$AQ$18),0),(Project_Register!$AT$18-Project_Register!$AQ$18)*(S478-S479)/(1-Project_Register!$AV$18)))*Project_Register!$AB$18)</f>
        <v>0</v>
      </c>
      <c r="T484" s="58" t="n">
        <f aca="false">IF(T$5="A",0,IF((Project_Register!$AT$18-Project_Register!$AQ$18)&lt;=0,0,IF(1-Project_Register!$AV$18&lt;=0.000001,IF(Assumptions!T$96=Assumptions!$C$10+1,(Project_Register!$AT$18-Project_Register!$AQ$18),0),(Project_Register!$AT$18-Project_Register!$AQ$18)*(T478-T479)/(1-Project_Register!$AV$18)))*Project_Register!$AB$18)</f>
        <v>0</v>
      </c>
      <c r="U484" s="58" t="n">
        <f aca="false">IF(U$5="A",0,IF((Project_Register!$AT$18-Project_Register!$AQ$18)&lt;=0,0,IF(1-Project_Register!$AV$18&lt;=0.000001,IF(Assumptions!U$96=Assumptions!$C$10+1,(Project_Register!$AT$18-Project_Register!$AQ$18),0),(Project_Register!$AT$18-Project_Register!$AQ$18)*(U478-U479)/(1-Project_Register!$AV$18)))*Project_Register!$AB$18)</f>
        <v>0</v>
      </c>
      <c r="V484" s="58" t="n">
        <f aca="false">IF(V$5="A",0,IF((Project_Register!$AT$18-Project_Register!$AQ$18)&lt;=0,0,IF(1-Project_Register!$AV$18&lt;=0.000001,IF(Assumptions!V$96=Assumptions!$C$10+1,(Project_Register!$AT$18-Project_Register!$AQ$18),0),(Project_Register!$AT$18-Project_Register!$AQ$18)*(V478-V479)/(1-Project_Register!$AV$18)))*Project_Register!$AB$18)</f>
        <v>0</v>
      </c>
      <c r="W484" s="58" t="n">
        <f aca="false">IF(W$5="A",0,IF((Project_Register!$AT$18-Project_Register!$AQ$18)&lt;=0,0,IF(1-Project_Register!$AV$18&lt;=0.000001,IF(Assumptions!W$96=Assumptions!$C$10+1,(Project_Register!$AT$18-Project_Register!$AQ$18),0),(Project_Register!$AT$18-Project_Register!$AQ$18)*(W478-W479)/(1-Project_Register!$AV$18)))*Project_Register!$AB$18)</f>
        <v>0</v>
      </c>
      <c r="X484" s="58" t="n">
        <f aca="false">IF(X$5="A",0,IF((Project_Register!$AT$18-Project_Register!$AQ$18)&lt;=0,0,IF(1-Project_Register!$AV$18&lt;=0.000001,IF(Assumptions!X$96=Assumptions!$C$10+1,(Project_Register!$AT$18-Project_Register!$AQ$18),0),(Project_Register!$AT$18-Project_Register!$AQ$18)*(X478-X479)/(1-Project_Register!$AV$18)))*Project_Register!$AB$18)</f>
        <v>0</v>
      </c>
      <c r="Y484" s="58" t="n">
        <f aca="false">IF(Y$5="A",0,IF((Project_Register!$AT$18-Project_Register!$AQ$18)&lt;=0,0,IF(1-Project_Register!$AV$18&lt;=0.000001,IF(Assumptions!Y$96=Assumptions!$C$10+1,(Project_Register!$AT$18-Project_Register!$AQ$18),0),(Project_Register!$AT$18-Project_Register!$AQ$18)*(Y478-Y479)/(1-Project_Register!$AV$18)))*Project_Register!$AB$18)</f>
        <v>0</v>
      </c>
      <c r="Z484" s="58" t="n">
        <f aca="false">IF(Z$5="A",0,IF((Project_Register!$AT$18-Project_Register!$AQ$18)&lt;=0,0,IF(1-Project_Register!$AV$18&lt;=0.000001,IF(Assumptions!Z$96=Assumptions!$C$10+1,(Project_Register!$AT$18-Project_Register!$AQ$18),0),(Project_Register!$AT$18-Project_Register!$AQ$18)*(Z478-Z479)/(1-Project_Register!$AV$18)))*Project_Register!$AB$18)</f>
        <v>1611.328125</v>
      </c>
      <c r="AA484" s="58" t="n">
        <f aca="false">IF(AA$5="A",0,IF((Project_Register!$AT$18-Project_Register!$AQ$18)&lt;=0,0,IF(1-Project_Register!$AV$18&lt;=0.000001,IF(Assumptions!AA$96=Assumptions!$C$10+1,(Project_Register!$AT$18-Project_Register!$AQ$18),0),(Project_Register!$AT$18-Project_Register!$AQ$18)*(AA478-AA479)/(1-Project_Register!$AV$18)))*Project_Register!$AB$18)</f>
        <v>4248.04687499999</v>
      </c>
      <c r="AB484" s="58" t="n">
        <f aca="false">IF(AB$5="A",0,IF((Project_Register!$AT$18-Project_Register!$AQ$18)&lt;=0,0,IF(1-Project_Register!$AV$18&lt;=0.000001,IF(Assumptions!AB$96=Assumptions!$C$10+1,(Project_Register!$AT$18-Project_Register!$AQ$18),0),(Project_Register!$AT$18-Project_Register!$AQ$18)*(AB478-AB479)/(1-Project_Register!$AV$18)))*Project_Register!$AB$18)</f>
        <v>6005.85937499999</v>
      </c>
    </row>
    <row r="485" customFormat="false" ht="15" hidden="false" customHeight="false" outlineLevel="0" collapsed="false">
      <c r="A485" s="67" t="s">
        <v>727</v>
      </c>
      <c r="B485" s="68" t="s">
        <v>728</v>
      </c>
      <c r="C485" s="69" t="n">
        <f aca="false">SUM(E485:P485)</f>
        <v>0</v>
      </c>
      <c r="D485" s="69" t="n">
        <f aca="false">SUM(Q485:AB485)</f>
        <v>237304.6875</v>
      </c>
      <c r="E485" s="69" t="n">
        <f aca="false">SUM(E480:E484)</f>
        <v>0</v>
      </c>
      <c r="F485" s="69" t="n">
        <f aca="false">SUM(F480:F484)</f>
        <v>0</v>
      </c>
      <c r="G485" s="69" t="n">
        <f aca="false">SUM(G480:G484)</f>
        <v>0</v>
      </c>
      <c r="H485" s="69" t="n">
        <f aca="false">SUM(H480:H484)</f>
        <v>0</v>
      </c>
      <c r="I485" s="69" t="n">
        <f aca="false">SUM(I480:I484)</f>
        <v>0</v>
      </c>
      <c r="J485" s="69" t="n">
        <f aca="false">SUM(J480:J484)</f>
        <v>0</v>
      </c>
      <c r="K485" s="69" t="n">
        <f aca="false">SUM(K480:K484)</f>
        <v>0</v>
      </c>
      <c r="L485" s="69" t="n">
        <f aca="false">SUM(L480:L484)</f>
        <v>0</v>
      </c>
      <c r="M485" s="69" t="n">
        <f aca="false">SUM(M480:M484)</f>
        <v>0</v>
      </c>
      <c r="N485" s="69" t="n">
        <f aca="false">SUM(N480:N484)</f>
        <v>0</v>
      </c>
      <c r="O485" s="69" t="n">
        <f aca="false">SUM(O480:O484)</f>
        <v>0</v>
      </c>
      <c r="P485" s="69" t="n">
        <f aca="false">SUM(P480:P484)</f>
        <v>0</v>
      </c>
      <c r="Q485" s="69" t="n">
        <f aca="false">SUM(Q480:Q484)</f>
        <v>0</v>
      </c>
      <c r="R485" s="69" t="n">
        <f aca="false">SUM(R480:R484)</f>
        <v>0</v>
      </c>
      <c r="S485" s="69" t="n">
        <f aca="false">SUM(S480:S484)</f>
        <v>0</v>
      </c>
      <c r="T485" s="69" t="n">
        <f aca="false">SUM(T480:T484)</f>
        <v>0</v>
      </c>
      <c r="U485" s="69" t="n">
        <f aca="false">SUM(U480:U484)</f>
        <v>0</v>
      </c>
      <c r="V485" s="69" t="n">
        <f aca="false">SUM(V480:V484)</f>
        <v>0</v>
      </c>
      <c r="W485" s="69" t="n">
        <f aca="false">SUM(W480:W484)</f>
        <v>0</v>
      </c>
      <c r="X485" s="69" t="n">
        <f aca="false">SUM(X480:X484)</f>
        <v>0</v>
      </c>
      <c r="Y485" s="69" t="n">
        <f aca="false">SUM(Y480:Y484)</f>
        <v>0</v>
      </c>
      <c r="Z485" s="69" t="n">
        <f aca="false">SUM(Z480:Z484)</f>
        <v>32226.5625</v>
      </c>
      <c r="AA485" s="69" t="n">
        <f aca="false">SUM(AA480:AA484)</f>
        <v>84960.9375</v>
      </c>
      <c r="AB485" s="69" t="n">
        <f aca="false">SUM(AB480:AB484)</f>
        <v>120117.1875</v>
      </c>
    </row>
    <row r="486" customFormat="false" ht="15" hidden="false" customHeight="false" outlineLevel="0" collapsed="false">
      <c r="A486" s="27" t="s">
        <v>729</v>
      </c>
      <c r="B486" s="56" t="s">
        <v>730</v>
      </c>
      <c r="C486" s="57" t="n">
        <f aca="false">P486</f>
        <v>0</v>
      </c>
      <c r="D486" s="57" t="n">
        <f aca="false">AB486</f>
        <v>237304.6875</v>
      </c>
      <c r="E486" s="58" t="n">
        <f aca="false">Project_Register!$AC$18+E485</f>
        <v>0</v>
      </c>
      <c r="F486" s="70" t="n">
        <f aca="false">E486+F485</f>
        <v>0</v>
      </c>
      <c r="G486" s="70" t="n">
        <f aca="false">F486+G485</f>
        <v>0</v>
      </c>
      <c r="H486" s="70" t="n">
        <f aca="false">G486+H485</f>
        <v>0</v>
      </c>
      <c r="I486" s="70" t="n">
        <f aca="false">H486+I485</f>
        <v>0</v>
      </c>
      <c r="J486" s="70" t="n">
        <f aca="false">I486+J485</f>
        <v>0</v>
      </c>
      <c r="K486" s="70" t="n">
        <f aca="false">J486+K485</f>
        <v>0</v>
      </c>
      <c r="L486" s="70" t="n">
        <f aca="false">K486+L485</f>
        <v>0</v>
      </c>
      <c r="M486" s="70" t="n">
        <f aca="false">L486+M485</f>
        <v>0</v>
      </c>
      <c r="N486" s="70" t="n">
        <f aca="false">M486+N485</f>
        <v>0</v>
      </c>
      <c r="O486" s="70" t="n">
        <f aca="false">N486+O485</f>
        <v>0</v>
      </c>
      <c r="P486" s="70" t="n">
        <f aca="false">O486+P485</f>
        <v>0</v>
      </c>
      <c r="Q486" s="70" t="n">
        <f aca="false">P486+Q485</f>
        <v>0</v>
      </c>
      <c r="R486" s="70" t="n">
        <f aca="false">Q486+R485</f>
        <v>0</v>
      </c>
      <c r="S486" s="70" t="n">
        <f aca="false">R486+S485</f>
        <v>0</v>
      </c>
      <c r="T486" s="70" t="n">
        <f aca="false">S486+T485</f>
        <v>0</v>
      </c>
      <c r="U486" s="70" t="n">
        <f aca="false">T486+U485</f>
        <v>0</v>
      </c>
      <c r="V486" s="70" t="n">
        <f aca="false">U486+V485</f>
        <v>0</v>
      </c>
      <c r="W486" s="70" t="n">
        <f aca="false">V486+W485</f>
        <v>0</v>
      </c>
      <c r="X486" s="70" t="n">
        <f aca="false">W486+X485</f>
        <v>0</v>
      </c>
      <c r="Y486" s="70" t="n">
        <f aca="false">X486+Y485</f>
        <v>0</v>
      </c>
      <c r="Z486" s="70" t="n">
        <f aca="false">Y486+Z485</f>
        <v>32226.5625</v>
      </c>
      <c r="AA486" s="70" t="n">
        <f aca="false">Z486+AA485</f>
        <v>117187.5</v>
      </c>
      <c r="AB486" s="70" t="n">
        <f aca="false">AA486+AB485</f>
        <v>237304.6875</v>
      </c>
    </row>
    <row r="487" customFormat="false" ht="15" hidden="false" customHeight="false" outlineLevel="0" collapsed="false">
      <c r="A487" s="27" t="s">
        <v>731</v>
      </c>
      <c r="B487" s="56" t="s">
        <v>732</v>
      </c>
      <c r="C487" s="57" t="n">
        <f aca="false">P487</f>
        <v>750000</v>
      </c>
      <c r="D487" s="57" t="n">
        <f aca="false">AB487</f>
        <v>750000</v>
      </c>
      <c r="E487" s="58" t="n">
        <f aca="false">IF(E$5="A",IF(E486+Project_Register!$AP$18&lt;=0,Project_Register!$AP$18,E486+Project_Register!$AP$18),Project_Register!$AT$18)</f>
        <v>750000</v>
      </c>
      <c r="F487" s="58" t="n">
        <f aca="false">IF(F$5="A",IF(F486+Project_Register!$AP$18&lt;=0,Project_Register!$AP$18,F486+Project_Register!$AP$18),Project_Register!$AT$18)</f>
        <v>750000</v>
      </c>
      <c r="G487" s="58" t="n">
        <f aca="false">IF(G$5="A",IF(G486+Project_Register!$AP$18&lt;=0,Project_Register!$AP$18,G486+Project_Register!$AP$18),Project_Register!$AT$18)</f>
        <v>750000</v>
      </c>
      <c r="H487" s="58" t="n">
        <f aca="false">IF(H$5="A",IF(H486+Project_Register!$AP$18&lt;=0,Project_Register!$AP$18,H486+Project_Register!$AP$18),Project_Register!$AT$18)</f>
        <v>750000</v>
      </c>
      <c r="I487" s="58" t="n">
        <f aca="false">IF(I$5="A",IF(I486+Project_Register!$AP$18&lt;=0,Project_Register!$AP$18,I486+Project_Register!$AP$18),Project_Register!$AT$18)</f>
        <v>750000</v>
      </c>
      <c r="J487" s="58" t="n">
        <f aca="false">IF(J$5="A",IF(J486+Project_Register!$AP$18&lt;=0,Project_Register!$AP$18,J486+Project_Register!$AP$18),Project_Register!$AT$18)</f>
        <v>750000</v>
      </c>
      <c r="K487" s="58" t="n">
        <f aca="false">IF(K$5="A",IF(K486+Project_Register!$AP$18&lt;=0,Project_Register!$AP$18,K486+Project_Register!$AP$18),Project_Register!$AT$18)</f>
        <v>750000</v>
      </c>
      <c r="L487" s="58" t="n">
        <f aca="false">IF(L$5="A",IF(L486+Project_Register!$AP$18&lt;=0,Project_Register!$AP$18,L486+Project_Register!$AP$18),Project_Register!$AT$18)</f>
        <v>750000</v>
      </c>
      <c r="M487" s="58" t="n">
        <f aca="false">IF(M$5="A",IF(M486+Project_Register!$AP$18&lt;=0,Project_Register!$AP$18,M486+Project_Register!$AP$18),Project_Register!$AT$18)</f>
        <v>750000</v>
      </c>
      <c r="N487" s="58" t="n">
        <f aca="false">IF(N$5="A",IF(N486+Project_Register!$AP$18&lt;=0,Project_Register!$AP$18,N486+Project_Register!$AP$18),Project_Register!$AT$18)</f>
        <v>750000</v>
      </c>
      <c r="O487" s="58" t="n">
        <f aca="false">IF(O$5="A",IF(O486+Project_Register!$AP$18&lt;=0,Project_Register!$AP$18,O486+Project_Register!$AP$18),Project_Register!$AT$18)</f>
        <v>750000</v>
      </c>
      <c r="P487" s="58" t="n">
        <f aca="false">IF(P$5="A",IF(P486+Project_Register!$AP$18&lt;=0,Project_Register!$AP$18,P486+Project_Register!$AP$18),Project_Register!$AT$18)</f>
        <v>750000</v>
      </c>
      <c r="Q487" s="58" t="n">
        <f aca="false">IF(Q$5="A",IF(Q486+Project_Register!$AP$18&lt;=0,Project_Register!$AP$18,Q486+Project_Register!$AP$18),Project_Register!$AT$18)</f>
        <v>750000</v>
      </c>
      <c r="R487" s="58" t="n">
        <f aca="false">IF(R$5="A",IF(R486+Project_Register!$AP$18&lt;=0,Project_Register!$AP$18,R486+Project_Register!$AP$18),Project_Register!$AT$18)</f>
        <v>750000</v>
      </c>
      <c r="S487" s="58" t="n">
        <f aca="false">IF(S$5="A",IF(S486+Project_Register!$AP$18&lt;=0,Project_Register!$AP$18,S486+Project_Register!$AP$18),Project_Register!$AT$18)</f>
        <v>750000</v>
      </c>
      <c r="T487" s="58" t="n">
        <f aca="false">IF(T$5="A",IF(T486+Project_Register!$AP$18&lt;=0,Project_Register!$AP$18,T486+Project_Register!$AP$18),Project_Register!$AT$18)</f>
        <v>750000</v>
      </c>
      <c r="U487" s="58" t="n">
        <f aca="false">IF(U$5="A",IF(U486+Project_Register!$AP$18&lt;=0,Project_Register!$AP$18,U486+Project_Register!$AP$18),Project_Register!$AT$18)</f>
        <v>750000</v>
      </c>
      <c r="V487" s="58" t="n">
        <f aca="false">IF(V$5="A",IF(V486+Project_Register!$AP$18&lt;=0,Project_Register!$AP$18,V486+Project_Register!$AP$18),Project_Register!$AT$18)</f>
        <v>750000</v>
      </c>
      <c r="W487" s="58" t="n">
        <f aca="false">IF(W$5="A",IF(W486+Project_Register!$AP$18&lt;=0,Project_Register!$AP$18,W486+Project_Register!$AP$18),Project_Register!$AT$18)</f>
        <v>750000</v>
      </c>
      <c r="X487" s="58" t="n">
        <f aca="false">IF(X$5="A",IF(X486+Project_Register!$AP$18&lt;=0,Project_Register!$AP$18,X486+Project_Register!$AP$18),Project_Register!$AT$18)</f>
        <v>750000</v>
      </c>
      <c r="Y487" s="58" t="n">
        <f aca="false">IF(Y$5="A",IF(Y486+Project_Register!$AP$18&lt;=0,Project_Register!$AP$18,Y486+Project_Register!$AP$18),Project_Register!$AT$18)</f>
        <v>750000</v>
      </c>
      <c r="Z487" s="58" t="n">
        <f aca="false">IF(Z$5="A",IF(Z486+Project_Register!$AP$18&lt;=0,Project_Register!$AP$18,Z486+Project_Register!$AP$18),Project_Register!$AT$18)</f>
        <v>750000</v>
      </c>
      <c r="AA487" s="58" t="n">
        <f aca="false">IF(AA$5="A",IF(AA486+Project_Register!$AP$18&lt;=0,Project_Register!$AP$18,AA486+Project_Register!$AP$18),Project_Register!$AT$18)</f>
        <v>750000</v>
      </c>
      <c r="AB487" s="58" t="n">
        <f aca="false">IF(AB$5="A",IF(AB486+Project_Register!$AP$18&lt;=0,Project_Register!$AP$18,AB486+Project_Register!$AP$18),Project_Register!$AT$18)</f>
        <v>750000</v>
      </c>
    </row>
    <row r="488" customFormat="false" ht="15" hidden="false" customHeight="false" outlineLevel="0" collapsed="false">
      <c r="A488" s="27" t="s">
        <v>733</v>
      </c>
      <c r="B488" s="56" t="s">
        <v>734</v>
      </c>
      <c r="C488" s="59" t="n">
        <f aca="false">P488</f>
        <v>0</v>
      </c>
      <c r="D488" s="59" t="n">
        <f aca="false">AB488</f>
        <v>0.31640625</v>
      </c>
      <c r="E488" s="60" t="n">
        <f aca="false">IF(E487&lt;=0,0,MIN(1,E486/E487))</f>
        <v>0</v>
      </c>
      <c r="F488" s="60" t="n">
        <f aca="false">IF(F487&lt;=0,0,MIN(1,F486/F487))</f>
        <v>0</v>
      </c>
      <c r="G488" s="60" t="n">
        <f aca="false">IF(G487&lt;=0,0,MIN(1,G486/G487))</f>
        <v>0</v>
      </c>
      <c r="H488" s="60" t="n">
        <f aca="false">IF(H487&lt;=0,0,MIN(1,H486/H487))</f>
        <v>0</v>
      </c>
      <c r="I488" s="60" t="n">
        <f aca="false">IF(I487&lt;=0,0,MIN(1,I486/I487))</f>
        <v>0</v>
      </c>
      <c r="J488" s="60" t="n">
        <f aca="false">IF(J487&lt;=0,0,MIN(1,J486/J487))</f>
        <v>0</v>
      </c>
      <c r="K488" s="60" t="n">
        <f aca="false">IF(K487&lt;=0,0,MIN(1,K486/K487))</f>
        <v>0</v>
      </c>
      <c r="L488" s="60" t="n">
        <f aca="false">IF(L487&lt;=0,0,MIN(1,L486/L487))</f>
        <v>0</v>
      </c>
      <c r="M488" s="60" t="n">
        <f aca="false">IF(M487&lt;=0,0,MIN(1,M486/M487))</f>
        <v>0</v>
      </c>
      <c r="N488" s="60" t="n">
        <f aca="false">IF(N487&lt;=0,0,MIN(1,N486/N487))</f>
        <v>0</v>
      </c>
      <c r="O488" s="60" t="n">
        <f aca="false">IF(O487&lt;=0,0,MIN(1,O486/O487))</f>
        <v>0</v>
      </c>
      <c r="P488" s="60" t="n">
        <f aca="false">IF(P487&lt;=0,0,MIN(1,P486/P487))</f>
        <v>0</v>
      </c>
      <c r="Q488" s="60" t="n">
        <f aca="false">IF(Q487&lt;=0,0,MIN(1,Q486/Q487))</f>
        <v>0</v>
      </c>
      <c r="R488" s="60" t="n">
        <f aca="false">IF(R487&lt;=0,0,MIN(1,R486/R487))</f>
        <v>0</v>
      </c>
      <c r="S488" s="60" t="n">
        <f aca="false">IF(S487&lt;=0,0,MIN(1,S486/S487))</f>
        <v>0</v>
      </c>
      <c r="T488" s="60" t="n">
        <f aca="false">IF(T487&lt;=0,0,MIN(1,T486/T487))</f>
        <v>0</v>
      </c>
      <c r="U488" s="60" t="n">
        <f aca="false">IF(U487&lt;=0,0,MIN(1,U486/U487))</f>
        <v>0</v>
      </c>
      <c r="V488" s="60" t="n">
        <f aca="false">IF(V487&lt;=0,0,MIN(1,V486/V487))</f>
        <v>0</v>
      </c>
      <c r="W488" s="60" t="n">
        <f aca="false">IF(W487&lt;=0,0,MIN(1,W486/W487))</f>
        <v>0</v>
      </c>
      <c r="X488" s="60" t="n">
        <f aca="false">IF(X487&lt;=0,0,MIN(1,X486/X487))</f>
        <v>0</v>
      </c>
      <c r="Y488" s="60" t="n">
        <f aca="false">IF(Y487&lt;=0,0,MIN(1,Y486/Y487))</f>
        <v>0</v>
      </c>
      <c r="Z488" s="60" t="n">
        <f aca="false">IF(Z487&lt;=0,0,MIN(1,Z486/Z487))</f>
        <v>0.04296875</v>
      </c>
      <c r="AA488" s="60" t="n">
        <f aca="false">IF(AA487&lt;=0,0,MIN(1,AA486/AA487))</f>
        <v>0.15625</v>
      </c>
      <c r="AB488" s="60" t="n">
        <f aca="false">IF(AB487&lt;=0,0,MIN(1,AB486/AB487))</f>
        <v>0.31640625</v>
      </c>
    </row>
    <row r="489" customFormat="false" ht="15" hidden="false" customHeight="false" outlineLevel="0" collapsed="false">
      <c r="A489" s="27" t="s">
        <v>735</v>
      </c>
      <c r="B489" s="56" t="s">
        <v>736</v>
      </c>
      <c r="C489" s="57" t="n">
        <f aca="false">P489</f>
        <v>0</v>
      </c>
      <c r="D489" s="57" t="n">
        <f aca="false">AB489</f>
        <v>0</v>
      </c>
      <c r="E489" s="58" t="n">
        <f aca="false">SUMIFS(Variations!$H$6:$H$21,Variations!$B$6:$B$21,"PS-P01",Variations!$F$6:$F$21,"Approved",Variations!$G$6:$G$21,"&lt;="&amp;Assumptions!E$95)</f>
        <v>0</v>
      </c>
      <c r="F489" s="58" t="n">
        <f aca="false">SUMIFS(Variations!$H$6:$H$21,Variations!$B$6:$B$21,"PS-P01",Variations!$F$6:$F$21,"Approved",Variations!$G$6:$G$21,"&lt;="&amp;Assumptions!F$95)</f>
        <v>0</v>
      </c>
      <c r="G489" s="58" t="n">
        <f aca="false">SUMIFS(Variations!$H$6:$H$21,Variations!$B$6:$B$21,"PS-P01",Variations!$F$6:$F$21,"Approved",Variations!$G$6:$G$21,"&lt;="&amp;Assumptions!G$95)</f>
        <v>0</v>
      </c>
      <c r="H489" s="58" t="n">
        <f aca="false">SUMIFS(Variations!$H$6:$H$21,Variations!$B$6:$B$21,"PS-P01",Variations!$F$6:$F$21,"Approved",Variations!$G$6:$G$21,"&lt;="&amp;Assumptions!H$95)</f>
        <v>0</v>
      </c>
      <c r="I489" s="58" t="n">
        <f aca="false">SUMIFS(Variations!$H$6:$H$21,Variations!$B$6:$B$21,"PS-P01",Variations!$F$6:$F$21,"Approved",Variations!$G$6:$G$21,"&lt;="&amp;Assumptions!I$95)</f>
        <v>0</v>
      </c>
      <c r="J489" s="58" t="n">
        <f aca="false">SUMIFS(Variations!$H$6:$H$21,Variations!$B$6:$B$21,"PS-P01",Variations!$F$6:$F$21,"Approved",Variations!$G$6:$G$21,"&lt;="&amp;Assumptions!J$95)</f>
        <v>0</v>
      </c>
      <c r="K489" s="58" t="n">
        <f aca="false">SUMIFS(Variations!$H$6:$H$21,Variations!$B$6:$B$21,"PS-P01",Variations!$F$6:$F$21,"Approved",Variations!$G$6:$G$21,"&lt;="&amp;Assumptions!K$95)</f>
        <v>0</v>
      </c>
      <c r="L489" s="58" t="n">
        <f aca="false">SUMIFS(Variations!$H$6:$H$21,Variations!$B$6:$B$21,"PS-P01",Variations!$F$6:$F$21,"Approved",Variations!$G$6:$G$21,"&lt;="&amp;Assumptions!L$95)</f>
        <v>0</v>
      </c>
      <c r="M489" s="58" t="n">
        <f aca="false">SUMIFS(Variations!$H$6:$H$21,Variations!$B$6:$B$21,"PS-P01",Variations!$F$6:$F$21,"Approved",Variations!$G$6:$G$21,"&lt;="&amp;Assumptions!M$95)</f>
        <v>0</v>
      </c>
      <c r="N489" s="58" t="n">
        <f aca="false">SUMIFS(Variations!$H$6:$H$21,Variations!$B$6:$B$21,"PS-P01",Variations!$F$6:$F$21,"Approved",Variations!$G$6:$G$21,"&lt;="&amp;Assumptions!N$95)</f>
        <v>0</v>
      </c>
      <c r="O489" s="58" t="n">
        <f aca="false">SUMIFS(Variations!$H$6:$H$21,Variations!$B$6:$B$21,"PS-P01",Variations!$F$6:$F$21,"Approved",Variations!$G$6:$G$21,"&lt;="&amp;Assumptions!O$95)</f>
        <v>0</v>
      </c>
      <c r="P489" s="58" t="n">
        <f aca="false">SUMIFS(Variations!$H$6:$H$21,Variations!$B$6:$B$21,"PS-P01",Variations!$F$6:$F$21,"Approved",Variations!$G$6:$G$21,"&lt;="&amp;Assumptions!P$95)</f>
        <v>0</v>
      </c>
      <c r="Q489" s="58" t="n">
        <f aca="false">SUMIFS(Variations!$H$6:$H$21,Variations!$B$6:$B$21,"PS-P01",Variations!$F$6:$F$21,"Approved",Variations!$G$6:$G$21,"&lt;="&amp;Assumptions!Q$95)</f>
        <v>0</v>
      </c>
      <c r="R489" s="58" t="n">
        <f aca="false">SUMIFS(Variations!$H$6:$H$21,Variations!$B$6:$B$21,"PS-P01",Variations!$F$6:$F$21,"Approved",Variations!$G$6:$G$21,"&lt;="&amp;Assumptions!R$95)</f>
        <v>0</v>
      </c>
      <c r="S489" s="58" t="n">
        <f aca="false">SUMIFS(Variations!$H$6:$H$21,Variations!$B$6:$B$21,"PS-P01",Variations!$F$6:$F$21,"Approved",Variations!$G$6:$G$21,"&lt;="&amp;Assumptions!S$95)</f>
        <v>0</v>
      </c>
      <c r="T489" s="58" t="n">
        <f aca="false">SUMIFS(Variations!$H$6:$H$21,Variations!$B$6:$B$21,"PS-P01",Variations!$F$6:$F$21,"Approved",Variations!$G$6:$G$21,"&lt;="&amp;Assumptions!T$95)</f>
        <v>0</v>
      </c>
      <c r="U489" s="58" t="n">
        <f aca="false">SUMIFS(Variations!$H$6:$H$21,Variations!$B$6:$B$21,"PS-P01",Variations!$F$6:$F$21,"Approved",Variations!$G$6:$G$21,"&lt;="&amp;Assumptions!U$95)</f>
        <v>0</v>
      </c>
      <c r="V489" s="58" t="n">
        <f aca="false">SUMIFS(Variations!$H$6:$H$21,Variations!$B$6:$B$21,"PS-P01",Variations!$F$6:$F$21,"Approved",Variations!$G$6:$G$21,"&lt;="&amp;Assumptions!V$95)</f>
        <v>0</v>
      </c>
      <c r="W489" s="58" t="n">
        <f aca="false">SUMIFS(Variations!$H$6:$H$21,Variations!$B$6:$B$21,"PS-P01",Variations!$F$6:$F$21,"Approved",Variations!$G$6:$G$21,"&lt;="&amp;Assumptions!W$95)</f>
        <v>0</v>
      </c>
      <c r="X489" s="58" t="n">
        <f aca="false">SUMIFS(Variations!$H$6:$H$21,Variations!$B$6:$B$21,"PS-P01",Variations!$F$6:$F$21,"Approved",Variations!$G$6:$G$21,"&lt;="&amp;Assumptions!X$95)</f>
        <v>0</v>
      </c>
      <c r="Y489" s="58" t="n">
        <f aca="false">SUMIFS(Variations!$H$6:$H$21,Variations!$B$6:$B$21,"PS-P01",Variations!$F$6:$F$21,"Approved",Variations!$G$6:$G$21,"&lt;="&amp;Assumptions!Y$95)</f>
        <v>0</v>
      </c>
      <c r="Z489" s="58" t="n">
        <f aca="false">SUMIFS(Variations!$H$6:$H$21,Variations!$B$6:$B$21,"PS-P01",Variations!$F$6:$F$21,"Approved",Variations!$G$6:$G$21,"&lt;="&amp;Assumptions!Z$95)</f>
        <v>0</v>
      </c>
      <c r="AA489" s="58" t="n">
        <f aca="false">SUMIFS(Variations!$H$6:$H$21,Variations!$B$6:$B$21,"PS-P01",Variations!$F$6:$F$21,"Approved",Variations!$G$6:$G$21,"&lt;="&amp;Assumptions!AA$95)</f>
        <v>0</v>
      </c>
      <c r="AB489" s="58" t="n">
        <f aca="false">SUMIFS(Variations!$H$6:$H$21,Variations!$B$6:$B$21,"PS-P01",Variations!$F$6:$F$21,"Approved",Variations!$G$6:$G$21,"&lt;="&amp;Assumptions!AB$95)</f>
        <v>0</v>
      </c>
    </row>
    <row r="490" customFormat="false" ht="15" hidden="false" customHeight="false" outlineLevel="0" collapsed="false">
      <c r="A490" s="27" t="s">
        <v>737</v>
      </c>
      <c r="B490" s="56"/>
      <c r="C490" s="57" t="n">
        <f aca="false">P490</f>
        <v>0</v>
      </c>
      <c r="D490" s="57" t="n">
        <f aca="false">AB490</f>
        <v>0</v>
      </c>
      <c r="E490" s="58" t="n">
        <f aca="false">SUMIFS(Variations!$E$6:$E$21,Variations!$B$6:$B$21,"PS-P01",Variations!$D$6:$D$21,"&lt;="&amp;Assumptions!E$95,Variations!$G$6:$G$21,"&gt;"&amp;Assumptions!E$95)</f>
        <v>0</v>
      </c>
      <c r="F490" s="58" t="n">
        <f aca="false">SUMIFS(Variations!$E$6:$E$21,Variations!$B$6:$B$21,"PS-P01",Variations!$D$6:$D$21,"&lt;="&amp;Assumptions!F$95,Variations!$G$6:$G$21,"&gt;"&amp;Assumptions!F$95)</f>
        <v>0</v>
      </c>
      <c r="G490" s="58" t="n">
        <f aca="false">SUMIFS(Variations!$E$6:$E$21,Variations!$B$6:$B$21,"PS-P01",Variations!$D$6:$D$21,"&lt;="&amp;Assumptions!G$95,Variations!$G$6:$G$21,"&gt;"&amp;Assumptions!G$95)</f>
        <v>0</v>
      </c>
      <c r="H490" s="58" t="n">
        <f aca="false">SUMIFS(Variations!$E$6:$E$21,Variations!$B$6:$B$21,"PS-P01",Variations!$D$6:$D$21,"&lt;="&amp;Assumptions!H$95,Variations!$G$6:$G$21,"&gt;"&amp;Assumptions!H$95)</f>
        <v>0</v>
      </c>
      <c r="I490" s="58" t="n">
        <f aca="false">SUMIFS(Variations!$E$6:$E$21,Variations!$B$6:$B$21,"PS-P01",Variations!$D$6:$D$21,"&lt;="&amp;Assumptions!I$95,Variations!$G$6:$G$21,"&gt;"&amp;Assumptions!I$95)</f>
        <v>0</v>
      </c>
      <c r="J490" s="58" t="n">
        <f aca="false">SUMIFS(Variations!$E$6:$E$21,Variations!$B$6:$B$21,"PS-P01",Variations!$D$6:$D$21,"&lt;="&amp;Assumptions!J$95,Variations!$G$6:$G$21,"&gt;"&amp;Assumptions!J$95)</f>
        <v>0</v>
      </c>
      <c r="K490" s="58" t="n">
        <f aca="false">SUMIFS(Variations!$E$6:$E$21,Variations!$B$6:$B$21,"PS-P01",Variations!$D$6:$D$21,"&lt;="&amp;Assumptions!K$95,Variations!$G$6:$G$21,"&gt;"&amp;Assumptions!K$95)</f>
        <v>0</v>
      </c>
      <c r="L490" s="58" t="n">
        <f aca="false">SUMIFS(Variations!$E$6:$E$21,Variations!$B$6:$B$21,"PS-P01",Variations!$D$6:$D$21,"&lt;="&amp;Assumptions!L$95,Variations!$G$6:$G$21,"&gt;"&amp;Assumptions!L$95)</f>
        <v>0</v>
      </c>
      <c r="M490" s="58" t="n">
        <f aca="false">SUMIFS(Variations!$E$6:$E$21,Variations!$B$6:$B$21,"PS-P01",Variations!$D$6:$D$21,"&lt;="&amp;Assumptions!M$95,Variations!$G$6:$G$21,"&gt;"&amp;Assumptions!M$95)</f>
        <v>0</v>
      </c>
      <c r="N490" s="58" t="n">
        <f aca="false">SUMIFS(Variations!$E$6:$E$21,Variations!$B$6:$B$21,"PS-P01",Variations!$D$6:$D$21,"&lt;="&amp;Assumptions!N$95,Variations!$G$6:$G$21,"&gt;"&amp;Assumptions!N$95)</f>
        <v>0</v>
      </c>
      <c r="O490" s="58" t="n">
        <f aca="false">SUMIFS(Variations!$E$6:$E$21,Variations!$B$6:$B$21,"PS-P01",Variations!$D$6:$D$21,"&lt;="&amp;Assumptions!O$95,Variations!$G$6:$G$21,"&gt;"&amp;Assumptions!O$95)</f>
        <v>0</v>
      </c>
      <c r="P490" s="58" t="n">
        <f aca="false">SUMIFS(Variations!$E$6:$E$21,Variations!$B$6:$B$21,"PS-P01",Variations!$D$6:$D$21,"&lt;="&amp;Assumptions!P$95,Variations!$G$6:$G$21,"&gt;"&amp;Assumptions!P$95)</f>
        <v>0</v>
      </c>
      <c r="Q490" s="58" t="n">
        <f aca="false">SUMIFS(Variations!$E$6:$E$21,Variations!$B$6:$B$21,"PS-P01",Variations!$D$6:$D$21,"&lt;="&amp;Assumptions!Q$95,Variations!$G$6:$G$21,"&gt;"&amp;Assumptions!Q$95)</f>
        <v>0</v>
      </c>
      <c r="R490" s="58" t="n">
        <f aca="false">SUMIFS(Variations!$E$6:$E$21,Variations!$B$6:$B$21,"PS-P01",Variations!$D$6:$D$21,"&lt;="&amp;Assumptions!R$95,Variations!$G$6:$G$21,"&gt;"&amp;Assumptions!R$95)</f>
        <v>0</v>
      </c>
      <c r="S490" s="58" t="n">
        <f aca="false">SUMIFS(Variations!$E$6:$E$21,Variations!$B$6:$B$21,"PS-P01",Variations!$D$6:$D$21,"&lt;="&amp;Assumptions!S$95,Variations!$G$6:$G$21,"&gt;"&amp;Assumptions!S$95)</f>
        <v>0</v>
      </c>
      <c r="T490" s="58" t="n">
        <f aca="false">SUMIFS(Variations!$E$6:$E$21,Variations!$B$6:$B$21,"PS-P01",Variations!$D$6:$D$21,"&lt;="&amp;Assumptions!T$95,Variations!$G$6:$G$21,"&gt;"&amp;Assumptions!T$95)</f>
        <v>0</v>
      </c>
      <c r="U490" s="58" t="n">
        <f aca="false">SUMIFS(Variations!$E$6:$E$21,Variations!$B$6:$B$21,"PS-P01",Variations!$D$6:$D$21,"&lt;="&amp;Assumptions!U$95,Variations!$G$6:$G$21,"&gt;"&amp;Assumptions!U$95)</f>
        <v>0</v>
      </c>
      <c r="V490" s="58" t="n">
        <f aca="false">SUMIFS(Variations!$E$6:$E$21,Variations!$B$6:$B$21,"PS-P01",Variations!$D$6:$D$21,"&lt;="&amp;Assumptions!V$95,Variations!$G$6:$G$21,"&gt;"&amp;Assumptions!V$95)</f>
        <v>0</v>
      </c>
      <c r="W490" s="58" t="n">
        <f aca="false">SUMIFS(Variations!$E$6:$E$21,Variations!$B$6:$B$21,"PS-P01",Variations!$D$6:$D$21,"&lt;="&amp;Assumptions!W$95,Variations!$G$6:$G$21,"&gt;"&amp;Assumptions!W$95)</f>
        <v>0</v>
      </c>
      <c r="X490" s="58" t="n">
        <f aca="false">SUMIFS(Variations!$E$6:$E$21,Variations!$B$6:$B$21,"PS-P01",Variations!$D$6:$D$21,"&lt;="&amp;Assumptions!X$95,Variations!$G$6:$G$21,"&gt;"&amp;Assumptions!X$95)</f>
        <v>0</v>
      </c>
      <c r="Y490" s="58" t="n">
        <f aca="false">SUMIFS(Variations!$E$6:$E$21,Variations!$B$6:$B$21,"PS-P01",Variations!$D$6:$D$21,"&lt;="&amp;Assumptions!Y$95,Variations!$G$6:$G$21,"&gt;"&amp;Assumptions!Y$95)</f>
        <v>0</v>
      </c>
      <c r="Z490" s="58" t="n">
        <f aca="false">SUMIFS(Variations!$E$6:$E$21,Variations!$B$6:$B$21,"PS-P01",Variations!$D$6:$D$21,"&lt;="&amp;Assumptions!Z$95,Variations!$G$6:$G$21,"&gt;"&amp;Assumptions!Z$95)</f>
        <v>0</v>
      </c>
      <c r="AA490" s="58" t="n">
        <f aca="false">SUMIFS(Variations!$E$6:$E$21,Variations!$B$6:$B$21,"PS-P01",Variations!$D$6:$D$21,"&lt;="&amp;Assumptions!AA$95,Variations!$G$6:$G$21,"&gt;"&amp;Assumptions!AA$95)</f>
        <v>0</v>
      </c>
      <c r="AB490" s="58" t="n">
        <f aca="false">SUMIFS(Variations!$E$6:$E$21,Variations!$B$6:$B$21,"PS-P01",Variations!$D$6:$D$21,"&lt;="&amp;Assumptions!AB$95,Variations!$G$6:$G$21,"&gt;"&amp;Assumptions!AB$95)</f>
        <v>0</v>
      </c>
    </row>
    <row r="491" customFormat="false" ht="15" hidden="false" customHeight="false" outlineLevel="0" collapsed="false">
      <c r="A491" s="27" t="s">
        <v>738</v>
      </c>
      <c r="B491" s="56"/>
      <c r="C491" s="57" t="n">
        <f aca="false">P491</f>
        <v>0</v>
      </c>
      <c r="D491" s="57" t="n">
        <f aca="false">AB491</f>
        <v>0</v>
      </c>
      <c r="E491" s="58" t="n">
        <f aca="false">SUMIFS(Variations!$E$6:$E$21,Variations!$B$6:$B$21,"PS-P01",Variations!$F$6:$F$21,"Pending",Variations!$G$6:$G$21,"&lt;="&amp;Assumptions!E$95)</f>
        <v>0</v>
      </c>
      <c r="F491" s="58" t="n">
        <f aca="false">SUMIFS(Variations!$E$6:$E$21,Variations!$B$6:$B$21,"PS-P01",Variations!$F$6:$F$21,"Pending",Variations!$G$6:$G$21,"&lt;="&amp;Assumptions!F$95)</f>
        <v>0</v>
      </c>
      <c r="G491" s="58" t="n">
        <f aca="false">SUMIFS(Variations!$E$6:$E$21,Variations!$B$6:$B$21,"PS-P01",Variations!$F$6:$F$21,"Pending",Variations!$G$6:$G$21,"&lt;="&amp;Assumptions!G$95)</f>
        <v>0</v>
      </c>
      <c r="H491" s="58" t="n">
        <f aca="false">SUMIFS(Variations!$E$6:$E$21,Variations!$B$6:$B$21,"PS-P01",Variations!$F$6:$F$21,"Pending",Variations!$G$6:$G$21,"&lt;="&amp;Assumptions!H$95)</f>
        <v>0</v>
      </c>
      <c r="I491" s="58" t="n">
        <f aca="false">SUMIFS(Variations!$E$6:$E$21,Variations!$B$6:$B$21,"PS-P01",Variations!$F$6:$F$21,"Pending",Variations!$G$6:$G$21,"&lt;="&amp;Assumptions!I$95)</f>
        <v>0</v>
      </c>
      <c r="J491" s="58" t="n">
        <f aca="false">SUMIFS(Variations!$E$6:$E$21,Variations!$B$6:$B$21,"PS-P01",Variations!$F$6:$F$21,"Pending",Variations!$G$6:$G$21,"&lt;="&amp;Assumptions!J$95)</f>
        <v>0</v>
      </c>
      <c r="K491" s="58" t="n">
        <f aca="false">SUMIFS(Variations!$E$6:$E$21,Variations!$B$6:$B$21,"PS-P01",Variations!$F$6:$F$21,"Pending",Variations!$G$6:$G$21,"&lt;="&amp;Assumptions!K$95)</f>
        <v>0</v>
      </c>
      <c r="L491" s="58" t="n">
        <f aca="false">SUMIFS(Variations!$E$6:$E$21,Variations!$B$6:$B$21,"PS-P01",Variations!$F$6:$F$21,"Pending",Variations!$G$6:$G$21,"&lt;="&amp;Assumptions!L$95)</f>
        <v>0</v>
      </c>
      <c r="M491" s="58" t="n">
        <f aca="false">SUMIFS(Variations!$E$6:$E$21,Variations!$B$6:$B$21,"PS-P01",Variations!$F$6:$F$21,"Pending",Variations!$G$6:$G$21,"&lt;="&amp;Assumptions!M$95)</f>
        <v>0</v>
      </c>
      <c r="N491" s="58" t="n">
        <f aca="false">SUMIFS(Variations!$E$6:$E$21,Variations!$B$6:$B$21,"PS-P01",Variations!$F$6:$F$21,"Pending",Variations!$G$6:$G$21,"&lt;="&amp;Assumptions!N$95)</f>
        <v>0</v>
      </c>
      <c r="O491" s="58" t="n">
        <f aca="false">SUMIFS(Variations!$E$6:$E$21,Variations!$B$6:$B$21,"PS-P01",Variations!$F$6:$F$21,"Pending",Variations!$G$6:$G$21,"&lt;="&amp;Assumptions!O$95)</f>
        <v>0</v>
      </c>
      <c r="P491" s="58" t="n">
        <f aca="false">SUMIFS(Variations!$E$6:$E$21,Variations!$B$6:$B$21,"PS-P01",Variations!$F$6:$F$21,"Pending",Variations!$G$6:$G$21,"&lt;="&amp;Assumptions!P$95)</f>
        <v>0</v>
      </c>
      <c r="Q491" s="58" t="n">
        <f aca="false">SUMIFS(Variations!$E$6:$E$21,Variations!$B$6:$B$21,"PS-P01",Variations!$F$6:$F$21,"Pending",Variations!$G$6:$G$21,"&lt;="&amp;Assumptions!Q$95)</f>
        <v>0</v>
      </c>
      <c r="R491" s="58" t="n">
        <f aca="false">SUMIFS(Variations!$E$6:$E$21,Variations!$B$6:$B$21,"PS-P01",Variations!$F$6:$F$21,"Pending",Variations!$G$6:$G$21,"&lt;="&amp;Assumptions!R$95)</f>
        <v>0</v>
      </c>
      <c r="S491" s="58" t="n">
        <f aca="false">SUMIFS(Variations!$E$6:$E$21,Variations!$B$6:$B$21,"PS-P01",Variations!$F$6:$F$21,"Pending",Variations!$G$6:$G$21,"&lt;="&amp;Assumptions!S$95)</f>
        <v>0</v>
      </c>
      <c r="T491" s="58" t="n">
        <f aca="false">SUMIFS(Variations!$E$6:$E$21,Variations!$B$6:$B$21,"PS-P01",Variations!$F$6:$F$21,"Pending",Variations!$G$6:$G$21,"&lt;="&amp;Assumptions!T$95)</f>
        <v>0</v>
      </c>
      <c r="U491" s="58" t="n">
        <f aca="false">SUMIFS(Variations!$E$6:$E$21,Variations!$B$6:$B$21,"PS-P01",Variations!$F$6:$F$21,"Pending",Variations!$G$6:$G$21,"&lt;="&amp;Assumptions!U$95)</f>
        <v>0</v>
      </c>
      <c r="V491" s="58" t="n">
        <f aca="false">SUMIFS(Variations!$E$6:$E$21,Variations!$B$6:$B$21,"PS-P01",Variations!$F$6:$F$21,"Pending",Variations!$G$6:$G$21,"&lt;="&amp;Assumptions!V$95)</f>
        <v>0</v>
      </c>
      <c r="W491" s="58" t="n">
        <f aca="false">SUMIFS(Variations!$E$6:$E$21,Variations!$B$6:$B$21,"PS-P01",Variations!$F$6:$F$21,"Pending",Variations!$G$6:$G$21,"&lt;="&amp;Assumptions!W$95)</f>
        <v>0</v>
      </c>
      <c r="X491" s="58" t="n">
        <f aca="false">SUMIFS(Variations!$E$6:$E$21,Variations!$B$6:$B$21,"PS-P01",Variations!$F$6:$F$21,"Pending",Variations!$G$6:$G$21,"&lt;="&amp;Assumptions!X$95)</f>
        <v>0</v>
      </c>
      <c r="Y491" s="58" t="n">
        <f aca="false">SUMIFS(Variations!$E$6:$E$21,Variations!$B$6:$B$21,"PS-P01",Variations!$F$6:$F$21,"Pending",Variations!$G$6:$G$21,"&lt;="&amp;Assumptions!Y$95)</f>
        <v>0</v>
      </c>
      <c r="Z491" s="58" t="n">
        <f aca="false">SUMIFS(Variations!$E$6:$E$21,Variations!$B$6:$B$21,"PS-P01",Variations!$F$6:$F$21,"Pending",Variations!$G$6:$G$21,"&lt;="&amp;Assumptions!Z$95)</f>
        <v>0</v>
      </c>
      <c r="AA491" s="58" t="n">
        <f aca="false">SUMIFS(Variations!$E$6:$E$21,Variations!$B$6:$B$21,"PS-P01",Variations!$F$6:$F$21,"Pending",Variations!$G$6:$G$21,"&lt;="&amp;Assumptions!AA$95)</f>
        <v>0</v>
      </c>
      <c r="AB491" s="58" t="n">
        <f aca="false">SUMIFS(Variations!$E$6:$E$21,Variations!$B$6:$B$21,"PS-P01",Variations!$F$6:$F$21,"Pending",Variations!$G$6:$G$21,"&lt;="&amp;Assumptions!AB$95)</f>
        <v>0</v>
      </c>
    </row>
    <row r="492" customFormat="false" ht="15" hidden="false" customHeight="false" outlineLevel="0" collapsed="false">
      <c r="A492" s="27" t="s">
        <v>739</v>
      </c>
      <c r="B492" s="56" t="s">
        <v>740</v>
      </c>
      <c r="C492" s="57" t="n">
        <f aca="false">P492</f>
        <v>852000</v>
      </c>
      <c r="D492" s="57" t="n">
        <f aca="false">AB492</f>
        <v>852000</v>
      </c>
      <c r="E492" s="58" t="n">
        <f aca="false">Project_Register!$AO$18+E489+Assumptions!$C$74*E490+Assumptions!$F$121*E491</f>
        <v>852000</v>
      </c>
      <c r="F492" s="58" t="n">
        <f aca="false">Project_Register!$AO$18+F489+Assumptions!$C$74*F490+Assumptions!$F$121*F491</f>
        <v>852000</v>
      </c>
      <c r="G492" s="58" t="n">
        <f aca="false">Project_Register!$AO$18+G489+Assumptions!$C$74*G490+Assumptions!$F$121*G491</f>
        <v>852000</v>
      </c>
      <c r="H492" s="58" t="n">
        <f aca="false">Project_Register!$AO$18+H489+Assumptions!$C$74*H490+Assumptions!$F$121*H491</f>
        <v>852000</v>
      </c>
      <c r="I492" s="58" t="n">
        <f aca="false">Project_Register!$AO$18+I489+Assumptions!$C$74*I490+Assumptions!$F$121*I491</f>
        <v>852000</v>
      </c>
      <c r="J492" s="58" t="n">
        <f aca="false">Project_Register!$AO$18+J489+Assumptions!$C$74*J490+Assumptions!$F$121*J491</f>
        <v>852000</v>
      </c>
      <c r="K492" s="58" t="n">
        <f aca="false">Project_Register!$AO$18+K489+Assumptions!$C$74*K490+Assumptions!$F$121*K491</f>
        <v>852000</v>
      </c>
      <c r="L492" s="58" t="n">
        <f aca="false">Project_Register!$AO$18+L489+Assumptions!$C$74*L490+Assumptions!$F$121*L491</f>
        <v>852000</v>
      </c>
      <c r="M492" s="58" t="n">
        <f aca="false">Project_Register!$AO$18+M489+Assumptions!$C$74*M490+Assumptions!$F$121*M491</f>
        <v>852000</v>
      </c>
      <c r="N492" s="58" t="n">
        <f aca="false">Project_Register!$AO$18+N489+Assumptions!$C$74*N490+Assumptions!$F$121*N491</f>
        <v>852000</v>
      </c>
      <c r="O492" s="58" t="n">
        <f aca="false">Project_Register!$AO$18+O489+Assumptions!$C$74*O490+Assumptions!$F$121*O491</f>
        <v>852000</v>
      </c>
      <c r="P492" s="58" t="n">
        <f aca="false">Project_Register!$AO$18+P489+Assumptions!$C$74*P490+Assumptions!$F$121*P491</f>
        <v>852000</v>
      </c>
      <c r="Q492" s="58" t="n">
        <f aca="false">Project_Register!$AO$18+Q489+Assumptions!$C$74*Q490+Assumptions!$F$121*Q491</f>
        <v>852000</v>
      </c>
      <c r="R492" s="58" t="n">
        <f aca="false">Project_Register!$AO$18+R489+Assumptions!$C$74*R490+Assumptions!$F$121*R491</f>
        <v>852000</v>
      </c>
      <c r="S492" s="58" t="n">
        <f aca="false">Project_Register!$AO$18+S489+Assumptions!$C$74*S490+Assumptions!$F$121*S491</f>
        <v>852000</v>
      </c>
      <c r="T492" s="58" t="n">
        <f aca="false">Project_Register!$AO$18+T489+Assumptions!$C$74*T490+Assumptions!$F$121*T491</f>
        <v>852000</v>
      </c>
      <c r="U492" s="58" t="n">
        <f aca="false">Project_Register!$AO$18+U489+Assumptions!$C$74*U490+Assumptions!$F$121*U491</f>
        <v>852000</v>
      </c>
      <c r="V492" s="58" t="n">
        <f aca="false">Project_Register!$AO$18+V489+Assumptions!$C$74*V490+Assumptions!$F$121*V491</f>
        <v>852000</v>
      </c>
      <c r="W492" s="58" t="n">
        <f aca="false">Project_Register!$AO$18+W489+Assumptions!$C$74*W490+Assumptions!$F$121*W491</f>
        <v>852000</v>
      </c>
      <c r="X492" s="58" t="n">
        <f aca="false">Project_Register!$AO$18+X489+Assumptions!$C$74*X490+Assumptions!$F$121*X491</f>
        <v>852000</v>
      </c>
      <c r="Y492" s="58" t="n">
        <f aca="false">Project_Register!$AO$18+Y489+Assumptions!$C$74*Y490+Assumptions!$F$121*Y491</f>
        <v>852000</v>
      </c>
      <c r="Z492" s="58" t="n">
        <f aca="false">Project_Register!$AO$18+Z489+Assumptions!$C$74*Z490+Assumptions!$F$121*Z491</f>
        <v>852000</v>
      </c>
      <c r="AA492" s="58" t="n">
        <f aca="false">Project_Register!$AO$18+AA489+Assumptions!$C$74*AA490+Assumptions!$F$121*AA491</f>
        <v>852000</v>
      </c>
      <c r="AB492" s="58" t="n">
        <f aca="false">Project_Register!$AO$18+AB489+Assumptions!$C$74*AB490+Assumptions!$F$121*AB491</f>
        <v>852000</v>
      </c>
    </row>
    <row r="493" customFormat="false" ht="15" hidden="false" customHeight="false" outlineLevel="0" collapsed="false">
      <c r="A493" s="27" t="s">
        <v>741</v>
      </c>
      <c r="B493" s="56" t="s">
        <v>742</v>
      </c>
      <c r="C493" s="57" t="n">
        <f aca="false">P493</f>
        <v>0</v>
      </c>
      <c r="D493" s="57" t="n">
        <f aca="false">AB493</f>
        <v>269578.125</v>
      </c>
      <c r="E493" s="58" t="n">
        <f aca="false">IF(E$5="A",Project_Register!$AD$18+0,E488*E492)</f>
        <v>0</v>
      </c>
      <c r="F493" s="70" t="n">
        <f aca="false">IF(F$5="A",E493+0,F488*F492)</f>
        <v>0</v>
      </c>
      <c r="G493" s="70" t="n">
        <f aca="false">IF(G$5="A",F493+0,G488*G492)</f>
        <v>0</v>
      </c>
      <c r="H493" s="70" t="n">
        <f aca="false">IF(H$5="A",G493+0,H488*H492)</f>
        <v>0</v>
      </c>
      <c r="I493" s="70" t="n">
        <f aca="false">IF(I$5="A",H493+0,I488*I492)</f>
        <v>0</v>
      </c>
      <c r="J493" s="70" t="n">
        <f aca="false">IF(J$5="A",I493+0,J488*J492)</f>
        <v>0</v>
      </c>
      <c r="K493" s="70" t="n">
        <f aca="false">IF(K$5="A",J493+0,K488*K492)</f>
        <v>0</v>
      </c>
      <c r="L493" s="70" t="n">
        <f aca="false">IF(L$5="A",K493+0,L488*L492)</f>
        <v>0</v>
      </c>
      <c r="M493" s="70" t="n">
        <f aca="false">IF(M$5="A",L493+0,M488*M492)</f>
        <v>0</v>
      </c>
      <c r="N493" s="70" t="n">
        <f aca="false">IF(N$5="A",M493+0,N488*N492)</f>
        <v>0</v>
      </c>
      <c r="O493" s="70" t="n">
        <f aca="false">IF(O$5="A",N493+0,O488*O492)</f>
        <v>0</v>
      </c>
      <c r="P493" s="70" t="n">
        <f aca="false">IF(P$5="A",O493+0,P488*P492)</f>
        <v>0</v>
      </c>
      <c r="Q493" s="70" t="n">
        <f aca="false">IF(Q$5="A",P493+0,Q488*Q492)</f>
        <v>0</v>
      </c>
      <c r="R493" s="70" t="n">
        <f aca="false">IF(R$5="A",Q493+0,R488*R492)</f>
        <v>0</v>
      </c>
      <c r="S493" s="70" t="n">
        <f aca="false">IF(S$5="A",R493+0,S488*S492)</f>
        <v>0</v>
      </c>
      <c r="T493" s="70" t="n">
        <f aca="false">IF(T$5="A",S493+0,T488*T492)</f>
        <v>0</v>
      </c>
      <c r="U493" s="70" t="n">
        <f aca="false">IF(U$5="A",T493+0,U488*U492)</f>
        <v>0</v>
      </c>
      <c r="V493" s="70" t="n">
        <f aca="false">IF(V$5="A",U493+0,V488*V492)</f>
        <v>0</v>
      </c>
      <c r="W493" s="70" t="n">
        <f aca="false">IF(W$5="A",V493+0,W488*W492)</f>
        <v>0</v>
      </c>
      <c r="X493" s="70" t="n">
        <f aca="false">IF(X$5="A",W493+0,X488*X492)</f>
        <v>0</v>
      </c>
      <c r="Y493" s="70" t="n">
        <f aca="false">IF(Y$5="A",X493+0,Y488*Y492)</f>
        <v>0</v>
      </c>
      <c r="Z493" s="70" t="n">
        <f aca="false">IF(Z$5="A",Y493+0,Z488*Z492)</f>
        <v>36609.375</v>
      </c>
      <c r="AA493" s="70" t="n">
        <f aca="false">IF(AA$5="A",Z493+0,AA488*AA492)</f>
        <v>133125</v>
      </c>
      <c r="AB493" s="70" t="n">
        <f aca="false">IF(AB$5="A",AA493+0,AB488*AB492)</f>
        <v>269578.125</v>
      </c>
    </row>
    <row r="494" customFormat="false" ht="15" hidden="false" customHeight="false" outlineLevel="0" collapsed="false">
      <c r="A494" s="67" t="s">
        <v>743</v>
      </c>
      <c r="B494" s="68" t="s">
        <v>744</v>
      </c>
      <c r="C494" s="69" t="n">
        <f aca="false">SUM(E494:P494)</f>
        <v>0</v>
      </c>
      <c r="D494" s="69" t="n">
        <f aca="false">SUM(Q494:AB494)</f>
        <v>269578.125</v>
      </c>
      <c r="E494" s="74" t="n">
        <f aca="false">E493-Project_Register!$AD$18</f>
        <v>0</v>
      </c>
      <c r="F494" s="69" t="n">
        <f aca="false">F493-E493</f>
        <v>0</v>
      </c>
      <c r="G494" s="69" t="n">
        <f aca="false">G493-F493</f>
        <v>0</v>
      </c>
      <c r="H494" s="69" t="n">
        <f aca="false">H493-G493</f>
        <v>0</v>
      </c>
      <c r="I494" s="69" t="n">
        <f aca="false">I493-H493</f>
        <v>0</v>
      </c>
      <c r="J494" s="69" t="n">
        <f aca="false">J493-I493</f>
        <v>0</v>
      </c>
      <c r="K494" s="69" t="n">
        <f aca="false">K493-J493</f>
        <v>0</v>
      </c>
      <c r="L494" s="69" t="n">
        <f aca="false">L493-K493</f>
        <v>0</v>
      </c>
      <c r="M494" s="69" t="n">
        <f aca="false">M493-L493</f>
        <v>0</v>
      </c>
      <c r="N494" s="69" t="n">
        <f aca="false">N493-M493</f>
        <v>0</v>
      </c>
      <c r="O494" s="69" t="n">
        <f aca="false">O493-N493</f>
        <v>0</v>
      </c>
      <c r="P494" s="69" t="n">
        <f aca="false">P493-O493</f>
        <v>0</v>
      </c>
      <c r="Q494" s="69" t="n">
        <f aca="false">Q493-P493</f>
        <v>0</v>
      </c>
      <c r="R494" s="69" t="n">
        <f aca="false">R493-Q493</f>
        <v>0</v>
      </c>
      <c r="S494" s="69" t="n">
        <f aca="false">S493-R493</f>
        <v>0</v>
      </c>
      <c r="T494" s="69" t="n">
        <f aca="false">T493-S493</f>
        <v>0</v>
      </c>
      <c r="U494" s="69" t="n">
        <f aca="false">U493-T493</f>
        <v>0</v>
      </c>
      <c r="V494" s="69" t="n">
        <f aca="false">V493-U493</f>
        <v>0</v>
      </c>
      <c r="W494" s="69" t="n">
        <f aca="false">W493-V493</f>
        <v>0</v>
      </c>
      <c r="X494" s="69" t="n">
        <f aca="false">X493-W493</f>
        <v>0</v>
      </c>
      <c r="Y494" s="69" t="n">
        <f aca="false">Y493-X493</f>
        <v>0</v>
      </c>
      <c r="Z494" s="69" t="n">
        <f aca="false">Z493-Y493</f>
        <v>36609.375</v>
      </c>
      <c r="AA494" s="69" t="n">
        <f aca="false">AA493-Z493</f>
        <v>96515.625</v>
      </c>
      <c r="AB494" s="69" t="n">
        <f aca="false">AB493-AA493</f>
        <v>136453.125</v>
      </c>
    </row>
    <row r="495" customFormat="false" ht="15" hidden="false" customHeight="false" outlineLevel="0" collapsed="false">
      <c r="A495" s="27" t="s">
        <v>745</v>
      </c>
      <c r="B495" s="56" t="s">
        <v>746</v>
      </c>
      <c r="C495" s="57" t="n">
        <f aca="false">P495</f>
        <v>0</v>
      </c>
      <c r="D495" s="57" t="n">
        <f aca="false">AB495</f>
        <v>0</v>
      </c>
      <c r="E495" s="70" t="n">
        <f aca="false">MAX(0,E487-E492)*(1-E488)</f>
        <v>0</v>
      </c>
      <c r="F495" s="70" t="n">
        <f aca="false">MAX(0,F487-F492)*(1-F488)</f>
        <v>0</v>
      </c>
      <c r="G495" s="70" t="n">
        <f aca="false">MAX(0,G487-G492)*(1-G488)</f>
        <v>0</v>
      </c>
      <c r="H495" s="70" t="n">
        <f aca="false">MAX(0,H487-H492)*(1-H488)</f>
        <v>0</v>
      </c>
      <c r="I495" s="70" t="n">
        <f aca="false">MAX(0,I487-I492)*(1-I488)</f>
        <v>0</v>
      </c>
      <c r="J495" s="70" t="n">
        <f aca="false">MAX(0,J487-J492)*(1-J488)</f>
        <v>0</v>
      </c>
      <c r="K495" s="70" t="n">
        <f aca="false">MAX(0,K487-K492)*(1-K488)</f>
        <v>0</v>
      </c>
      <c r="L495" s="70" t="n">
        <f aca="false">MAX(0,L487-L492)*(1-L488)</f>
        <v>0</v>
      </c>
      <c r="M495" s="70" t="n">
        <f aca="false">MAX(0,M487-M492)*(1-M488)</f>
        <v>0</v>
      </c>
      <c r="N495" s="70" t="n">
        <f aca="false">MAX(0,N487-N492)*(1-N488)</f>
        <v>0</v>
      </c>
      <c r="O495" s="70" t="n">
        <f aca="false">MAX(0,O487-O492)*(1-O488)</f>
        <v>0</v>
      </c>
      <c r="P495" s="70" t="n">
        <f aca="false">MAX(0,P487-P492)*(1-P488)</f>
        <v>0</v>
      </c>
      <c r="Q495" s="70" t="n">
        <f aca="false">MAX(0,Q487-Q492)*(1-Q488)</f>
        <v>0</v>
      </c>
      <c r="R495" s="70" t="n">
        <f aca="false">MAX(0,R487-R492)*(1-R488)</f>
        <v>0</v>
      </c>
      <c r="S495" s="70" t="n">
        <f aca="false">MAX(0,S487-S492)*(1-S488)</f>
        <v>0</v>
      </c>
      <c r="T495" s="70" t="n">
        <f aca="false">MAX(0,T487-T492)*(1-T488)</f>
        <v>0</v>
      </c>
      <c r="U495" s="70" t="n">
        <f aca="false">MAX(0,U487-U492)*(1-U488)</f>
        <v>0</v>
      </c>
      <c r="V495" s="70" t="n">
        <f aca="false">MAX(0,V487-V492)*(1-V488)</f>
        <v>0</v>
      </c>
      <c r="W495" s="70" t="n">
        <f aca="false">MAX(0,W487-W492)*(1-W488)</f>
        <v>0</v>
      </c>
      <c r="X495" s="70" t="n">
        <f aca="false">MAX(0,X487-X492)*(1-X488)</f>
        <v>0</v>
      </c>
      <c r="Y495" s="70" t="n">
        <f aca="false">MAX(0,Y487-Y492)*(1-Y488)</f>
        <v>0</v>
      </c>
      <c r="Z495" s="70" t="n">
        <f aca="false">MAX(0,Z487-Z492)*(1-Z488)</f>
        <v>0</v>
      </c>
      <c r="AA495" s="70" t="n">
        <f aca="false">MAX(0,AA487-AA492)*(1-AA488)</f>
        <v>0</v>
      </c>
      <c r="AB495" s="70" t="n">
        <f aca="false">MAX(0,AB487-AB492)*(1-AB488)</f>
        <v>0</v>
      </c>
    </row>
    <row r="496" customFormat="false" ht="15" hidden="false" customHeight="false" outlineLevel="0" collapsed="false">
      <c r="A496" s="27" t="s">
        <v>747</v>
      </c>
      <c r="B496" s="56"/>
      <c r="C496" s="57" t="n">
        <f aca="false">SUM(E496:P496)</f>
        <v>0</v>
      </c>
      <c r="D496" s="57" t="n">
        <f aca="false">SUM(Q496:AB496)</f>
        <v>0</v>
      </c>
      <c r="E496" s="70" t="n">
        <f aca="false">-(E495-0)</f>
        <v>-0</v>
      </c>
      <c r="F496" s="70" t="n">
        <f aca="false">-(F495-E495)</f>
        <v>-0</v>
      </c>
      <c r="G496" s="70" t="n">
        <f aca="false">-(G495-F495)</f>
        <v>-0</v>
      </c>
      <c r="H496" s="70" t="n">
        <f aca="false">-(H495-G495)</f>
        <v>-0</v>
      </c>
      <c r="I496" s="70" t="n">
        <f aca="false">-(I495-H495)</f>
        <v>-0</v>
      </c>
      <c r="J496" s="70" t="n">
        <f aca="false">-(J495-I495)</f>
        <v>-0</v>
      </c>
      <c r="K496" s="70" t="n">
        <f aca="false">-(K495-J495)</f>
        <v>-0</v>
      </c>
      <c r="L496" s="70" t="n">
        <f aca="false">-(L495-K495)</f>
        <v>-0</v>
      </c>
      <c r="M496" s="70" t="n">
        <f aca="false">-(M495-L495)</f>
        <v>-0</v>
      </c>
      <c r="N496" s="70" t="n">
        <f aca="false">-(N495-M495)</f>
        <v>-0</v>
      </c>
      <c r="O496" s="70" t="n">
        <f aca="false">-(O495-N495)</f>
        <v>-0</v>
      </c>
      <c r="P496" s="70" t="n">
        <f aca="false">-(P495-O495)</f>
        <v>-0</v>
      </c>
      <c r="Q496" s="70" t="n">
        <f aca="false">-(Q495-P495)</f>
        <v>-0</v>
      </c>
      <c r="R496" s="70" t="n">
        <f aca="false">-(R495-Q495)</f>
        <v>-0</v>
      </c>
      <c r="S496" s="70" t="n">
        <f aca="false">-(S495-R495)</f>
        <v>-0</v>
      </c>
      <c r="T496" s="70" t="n">
        <f aca="false">-(T495-S495)</f>
        <v>-0</v>
      </c>
      <c r="U496" s="70" t="n">
        <f aca="false">-(U495-T495)</f>
        <v>-0</v>
      </c>
      <c r="V496" s="70" t="n">
        <f aca="false">-(V495-U495)</f>
        <v>-0</v>
      </c>
      <c r="W496" s="70" t="n">
        <f aca="false">-(W495-V495)</f>
        <v>-0</v>
      </c>
      <c r="X496" s="70" t="n">
        <f aca="false">-(X495-W495)</f>
        <v>-0</v>
      </c>
      <c r="Y496" s="70" t="n">
        <f aca="false">-(Y495-X495)</f>
        <v>-0</v>
      </c>
      <c r="Z496" s="70" t="n">
        <f aca="false">-(Z495-Y495)</f>
        <v>-0</v>
      </c>
      <c r="AA496" s="70" t="n">
        <f aca="false">-(AA495-Z495)</f>
        <v>-0</v>
      </c>
      <c r="AB496" s="70" t="n">
        <f aca="false">-(AB495-AA495)</f>
        <v>-0</v>
      </c>
    </row>
    <row r="497" customFormat="false" ht="15" hidden="false" customHeight="false" outlineLevel="0" collapsed="false">
      <c r="A497" s="67" t="s">
        <v>748</v>
      </c>
      <c r="B497" s="68" t="s">
        <v>749</v>
      </c>
      <c r="C497" s="69" t="n">
        <f aca="false">SUM(E497:P497)</f>
        <v>0</v>
      </c>
      <c r="D497" s="69" t="n">
        <f aca="false">SUM(Q497:AB497)</f>
        <v>32273.4375</v>
      </c>
      <c r="E497" s="69" t="n">
        <f aca="false">E494-E485+E496</f>
        <v>0</v>
      </c>
      <c r="F497" s="69" t="n">
        <f aca="false">F494-F485+F496</f>
        <v>0</v>
      </c>
      <c r="G497" s="69" t="n">
        <f aca="false">G494-G485+G496</f>
        <v>0</v>
      </c>
      <c r="H497" s="69" t="n">
        <f aca="false">H494-H485+H496</f>
        <v>0</v>
      </c>
      <c r="I497" s="69" t="n">
        <f aca="false">I494-I485+I496</f>
        <v>0</v>
      </c>
      <c r="J497" s="69" t="n">
        <f aca="false">J494-J485+J496</f>
        <v>0</v>
      </c>
      <c r="K497" s="69" t="n">
        <f aca="false">K494-K485+K496</f>
        <v>0</v>
      </c>
      <c r="L497" s="69" t="n">
        <f aca="false">L494-L485+L496</f>
        <v>0</v>
      </c>
      <c r="M497" s="69" t="n">
        <f aca="false">M494-M485+M496</f>
        <v>0</v>
      </c>
      <c r="N497" s="69" t="n">
        <f aca="false">N494-N485+N496</f>
        <v>0</v>
      </c>
      <c r="O497" s="69" t="n">
        <f aca="false">O494-O485+O496</f>
        <v>0</v>
      </c>
      <c r="P497" s="69" t="n">
        <f aca="false">P494-P485+P496</f>
        <v>0</v>
      </c>
      <c r="Q497" s="69" t="n">
        <f aca="false">Q494-Q485+Q496</f>
        <v>0</v>
      </c>
      <c r="R497" s="69" t="n">
        <f aca="false">R494-R485+R496</f>
        <v>0</v>
      </c>
      <c r="S497" s="69" t="n">
        <f aca="false">S494-S485+S496</f>
        <v>0</v>
      </c>
      <c r="T497" s="69" t="n">
        <f aca="false">T494-T485+T496</f>
        <v>0</v>
      </c>
      <c r="U497" s="69" t="n">
        <f aca="false">U494-U485+U496</f>
        <v>0</v>
      </c>
      <c r="V497" s="69" t="n">
        <f aca="false">V494-V485+V496</f>
        <v>0</v>
      </c>
      <c r="W497" s="69" t="n">
        <f aca="false">W494-W485+W496</f>
        <v>0</v>
      </c>
      <c r="X497" s="69" t="n">
        <f aca="false">X494-X485+X496</f>
        <v>0</v>
      </c>
      <c r="Y497" s="69" t="n">
        <f aca="false">Y494-Y485+Y496</f>
        <v>0</v>
      </c>
      <c r="Z497" s="69" t="n">
        <f aca="false">Z494-Z485+Z496</f>
        <v>4382.8125</v>
      </c>
      <c r="AA497" s="69" t="n">
        <f aca="false">AA494-AA485+AA496</f>
        <v>11554.6875</v>
      </c>
      <c r="AB497" s="69" t="n">
        <f aca="false">AB494-AB485+AB496</f>
        <v>16335.9375</v>
      </c>
    </row>
    <row r="498" customFormat="false" ht="15" hidden="false" customHeight="false" outlineLevel="0" collapsed="false">
      <c r="A498" s="27" t="s">
        <v>750</v>
      </c>
      <c r="B498" s="56"/>
      <c r="C498" s="57" t="n">
        <f aca="false">P498</f>
        <v>852000</v>
      </c>
      <c r="D498" s="57" t="n">
        <f aca="false">AB498</f>
        <v>852000</v>
      </c>
      <c r="E498" s="58" t="n">
        <f aca="false">Project_Register!$AO$18+E489+Assumptions!$F$121*E491</f>
        <v>852000</v>
      </c>
      <c r="F498" s="58" t="n">
        <f aca="false">Project_Register!$AO$18+F489+Assumptions!$F$121*F491</f>
        <v>852000</v>
      </c>
      <c r="G498" s="58" t="n">
        <f aca="false">Project_Register!$AO$18+G489+Assumptions!$F$121*G491</f>
        <v>852000</v>
      </c>
      <c r="H498" s="58" t="n">
        <f aca="false">Project_Register!$AO$18+H489+Assumptions!$F$121*H491</f>
        <v>852000</v>
      </c>
      <c r="I498" s="58" t="n">
        <f aca="false">Project_Register!$AO$18+I489+Assumptions!$F$121*I491</f>
        <v>852000</v>
      </c>
      <c r="J498" s="58" t="n">
        <f aca="false">Project_Register!$AO$18+J489+Assumptions!$F$121*J491</f>
        <v>852000</v>
      </c>
      <c r="K498" s="58" t="n">
        <f aca="false">Project_Register!$AO$18+K489+Assumptions!$F$121*K491</f>
        <v>852000</v>
      </c>
      <c r="L498" s="58" t="n">
        <f aca="false">Project_Register!$AO$18+L489+Assumptions!$F$121*L491</f>
        <v>852000</v>
      </c>
      <c r="M498" s="58" t="n">
        <f aca="false">Project_Register!$AO$18+M489+Assumptions!$F$121*M491</f>
        <v>852000</v>
      </c>
      <c r="N498" s="58" t="n">
        <f aca="false">Project_Register!$AO$18+N489+Assumptions!$F$121*N491</f>
        <v>852000</v>
      </c>
      <c r="O498" s="58" t="n">
        <f aca="false">Project_Register!$AO$18+O489+Assumptions!$F$121*O491</f>
        <v>852000</v>
      </c>
      <c r="P498" s="58" t="n">
        <f aca="false">Project_Register!$AO$18+P489+Assumptions!$F$121*P491</f>
        <v>852000</v>
      </c>
      <c r="Q498" s="58" t="n">
        <f aca="false">Project_Register!$AO$18+Q489+Assumptions!$F$121*Q491</f>
        <v>852000</v>
      </c>
      <c r="R498" s="58" t="n">
        <f aca="false">Project_Register!$AO$18+R489+Assumptions!$F$121*R491</f>
        <v>852000</v>
      </c>
      <c r="S498" s="58" t="n">
        <f aca="false">Project_Register!$AO$18+S489+Assumptions!$F$121*S491</f>
        <v>852000</v>
      </c>
      <c r="T498" s="58" t="n">
        <f aca="false">Project_Register!$AO$18+T489+Assumptions!$F$121*T491</f>
        <v>852000</v>
      </c>
      <c r="U498" s="58" t="n">
        <f aca="false">Project_Register!$AO$18+U489+Assumptions!$F$121*U491</f>
        <v>852000</v>
      </c>
      <c r="V498" s="58" t="n">
        <f aca="false">Project_Register!$AO$18+V489+Assumptions!$F$121*V491</f>
        <v>852000</v>
      </c>
      <c r="W498" s="58" t="n">
        <f aca="false">Project_Register!$AO$18+W489+Assumptions!$F$121*W491</f>
        <v>852000</v>
      </c>
      <c r="X498" s="58" t="n">
        <f aca="false">Project_Register!$AO$18+X489+Assumptions!$F$121*X491</f>
        <v>852000</v>
      </c>
      <c r="Y498" s="58" t="n">
        <f aca="false">Project_Register!$AO$18+Y489+Assumptions!$F$121*Y491</f>
        <v>852000</v>
      </c>
      <c r="Z498" s="58" t="n">
        <f aca="false">Project_Register!$AO$18+Z489+Assumptions!$F$121*Z491</f>
        <v>852000</v>
      </c>
      <c r="AA498" s="58" t="n">
        <f aca="false">Project_Register!$AO$18+AA489+Assumptions!$F$121*AA491</f>
        <v>852000</v>
      </c>
      <c r="AB498" s="58" t="n">
        <f aca="false">Project_Register!$AO$18+AB489+Assumptions!$F$121*AB491</f>
        <v>852000</v>
      </c>
    </row>
    <row r="499" customFormat="false" ht="15" hidden="false" customHeight="false" outlineLevel="0" collapsed="false">
      <c r="A499" s="27" t="s">
        <v>751</v>
      </c>
      <c r="B499" s="56" t="s">
        <v>752</v>
      </c>
      <c r="C499" s="57" t="n">
        <f aca="false">P499</f>
        <v>0</v>
      </c>
      <c r="D499" s="57" t="n">
        <f aca="false">AB499</f>
        <v>133125</v>
      </c>
      <c r="E499" s="58" t="n">
        <f aca="false">IF(E$5="A",Project_Register!$AE$18+0,IF(Assumptions!E$96&gt;=Project_Register!$AM$18,E498,MIN(E498,MAX(Project_Register!$AE$18,0*E498))))</f>
        <v>0</v>
      </c>
      <c r="F499" s="58" t="n">
        <f aca="false">IF(F$5="A",E499+0,IF(Assumptions!F$96&gt;=Project_Register!$AM$18,F498,MIN(F498,MAX(E499,E488*F498))))</f>
        <v>0</v>
      </c>
      <c r="G499" s="58" t="n">
        <f aca="false">IF(G$5="A",F499+0,IF(Assumptions!G$96&gt;=Project_Register!$AM$18,G498,MIN(G498,MAX(F499,F488*G498))))</f>
        <v>0</v>
      </c>
      <c r="H499" s="58" t="n">
        <f aca="false">IF(H$5="A",G499+0,IF(Assumptions!H$96&gt;=Project_Register!$AM$18,H498,MIN(H498,MAX(G499,G488*H498))))</f>
        <v>0</v>
      </c>
      <c r="I499" s="58" t="n">
        <f aca="false">IF(I$5="A",H499+0,IF(Assumptions!I$96&gt;=Project_Register!$AM$18,I498,MIN(I498,MAX(H499,H488*I498))))</f>
        <v>0</v>
      </c>
      <c r="J499" s="58" t="n">
        <f aca="false">IF(J$5="A",I499+0,IF(Assumptions!J$96&gt;=Project_Register!$AM$18,J498,MIN(J498,MAX(I499,I488*J498))))</f>
        <v>0</v>
      </c>
      <c r="K499" s="58" t="n">
        <f aca="false">IF(K$5="A",J499+0,IF(Assumptions!K$96&gt;=Project_Register!$AM$18,K498,MIN(K498,MAX(J499,J488*K498))))</f>
        <v>0</v>
      </c>
      <c r="L499" s="58" t="n">
        <f aca="false">IF(L$5="A",K499+0,IF(Assumptions!L$96&gt;=Project_Register!$AM$18,L498,MIN(L498,MAX(K499,K488*L498))))</f>
        <v>0</v>
      </c>
      <c r="M499" s="58" t="n">
        <f aca="false">IF(M$5="A",L499+0,IF(Assumptions!M$96&gt;=Project_Register!$AM$18,M498,MIN(M498,MAX(L499,L488*M498))))</f>
        <v>0</v>
      </c>
      <c r="N499" s="58" t="n">
        <f aca="false">IF(N$5="A",M499+0,IF(Assumptions!N$96&gt;=Project_Register!$AM$18,N498,MIN(N498,MAX(M499,M488*N498))))</f>
        <v>0</v>
      </c>
      <c r="O499" s="58" t="n">
        <f aca="false">IF(O$5="A",N499+0,IF(Assumptions!O$96&gt;=Project_Register!$AM$18,O498,MIN(O498,MAX(N499,N488*O498))))</f>
        <v>0</v>
      </c>
      <c r="P499" s="58" t="n">
        <f aca="false">IF(P$5="A",O499+0,IF(Assumptions!P$96&gt;=Project_Register!$AM$18,P498,MIN(P498,MAX(O499,O488*P498))))</f>
        <v>0</v>
      </c>
      <c r="Q499" s="58" t="n">
        <f aca="false">IF(Q$5="A",P499+0,IF(Assumptions!Q$96&gt;=Project_Register!$AM$18,Q498,MIN(Q498,MAX(P499,P488*Q498))))</f>
        <v>0</v>
      </c>
      <c r="R499" s="58" t="n">
        <f aca="false">IF(R$5="A",Q499+0,IF(Assumptions!R$96&gt;=Project_Register!$AM$18,R498,MIN(R498,MAX(Q499,Q488*R498))))</f>
        <v>0</v>
      </c>
      <c r="S499" s="58" t="n">
        <f aca="false">IF(S$5="A",R499+0,IF(Assumptions!S$96&gt;=Project_Register!$AM$18,S498,MIN(S498,MAX(R499,R488*S498))))</f>
        <v>0</v>
      </c>
      <c r="T499" s="58" t="n">
        <f aca="false">IF(T$5="A",S499+0,IF(Assumptions!T$96&gt;=Project_Register!$AM$18,T498,MIN(T498,MAX(S499,S488*T498))))</f>
        <v>0</v>
      </c>
      <c r="U499" s="58" t="n">
        <f aca="false">IF(U$5="A",T499+0,IF(Assumptions!U$96&gt;=Project_Register!$AM$18,U498,MIN(U498,MAX(T499,T488*U498))))</f>
        <v>0</v>
      </c>
      <c r="V499" s="58" t="n">
        <f aca="false">IF(V$5="A",U499+0,IF(Assumptions!V$96&gt;=Project_Register!$AM$18,V498,MIN(V498,MAX(U499,U488*V498))))</f>
        <v>0</v>
      </c>
      <c r="W499" s="58" t="n">
        <f aca="false">IF(W$5="A",V499+0,IF(Assumptions!W$96&gt;=Project_Register!$AM$18,W498,MIN(W498,MAX(V499,V488*W498))))</f>
        <v>0</v>
      </c>
      <c r="X499" s="58" t="n">
        <f aca="false">IF(X$5="A",W499+0,IF(Assumptions!X$96&gt;=Project_Register!$AM$18,X498,MIN(X498,MAX(W499,W488*X498))))</f>
        <v>0</v>
      </c>
      <c r="Y499" s="58" t="n">
        <f aca="false">IF(Y$5="A",X499+0,IF(Assumptions!Y$96&gt;=Project_Register!$AM$18,Y498,MIN(Y498,MAX(X499,X488*Y498))))</f>
        <v>0</v>
      </c>
      <c r="Z499" s="58" t="n">
        <f aca="false">IF(Z$5="A",Y499+0,IF(Assumptions!Z$96&gt;=Project_Register!$AM$18,Z498,MIN(Z498,MAX(Y499,Y488*Z498))))</f>
        <v>0</v>
      </c>
      <c r="AA499" s="58" t="n">
        <f aca="false">IF(AA$5="A",Z499+0,IF(Assumptions!AA$96&gt;=Project_Register!$AM$18,AA498,MIN(AA498,MAX(Z499,Z488*AA498))))</f>
        <v>36609.375</v>
      </c>
      <c r="AB499" s="58" t="n">
        <f aca="false">IF(AB$5="A",AA499+0,IF(Assumptions!AB$96&gt;=Project_Register!$AM$18,AB498,MIN(AB498,MAX(AA499,AA488*AB498))))</f>
        <v>133125</v>
      </c>
    </row>
    <row r="500" customFormat="false" ht="15" hidden="false" customHeight="false" outlineLevel="0" collapsed="false">
      <c r="A500" s="27" t="s">
        <v>753</v>
      </c>
      <c r="B500" s="56"/>
      <c r="C500" s="57" t="n">
        <f aca="false">SUM(E500:P500)</f>
        <v>0</v>
      </c>
      <c r="D500" s="57" t="n">
        <f aca="false">SUM(Q500:AB500)</f>
        <v>133125</v>
      </c>
      <c r="E500" s="58" t="n">
        <f aca="false">E499-Project_Register!$AE$18</f>
        <v>0</v>
      </c>
      <c r="F500" s="70" t="n">
        <f aca="false">F499-E499</f>
        <v>0</v>
      </c>
      <c r="G500" s="70" t="n">
        <f aca="false">G499-F499</f>
        <v>0</v>
      </c>
      <c r="H500" s="70" t="n">
        <f aca="false">H499-G499</f>
        <v>0</v>
      </c>
      <c r="I500" s="70" t="n">
        <f aca="false">I499-H499</f>
        <v>0</v>
      </c>
      <c r="J500" s="70" t="n">
        <f aca="false">J499-I499</f>
        <v>0</v>
      </c>
      <c r="K500" s="70" t="n">
        <f aca="false">K499-J499</f>
        <v>0</v>
      </c>
      <c r="L500" s="70" t="n">
        <f aca="false">L499-K499</f>
        <v>0</v>
      </c>
      <c r="M500" s="70" t="n">
        <f aca="false">M499-L499</f>
        <v>0</v>
      </c>
      <c r="N500" s="70" t="n">
        <f aca="false">N499-M499</f>
        <v>0</v>
      </c>
      <c r="O500" s="70" t="n">
        <f aca="false">O499-N499</f>
        <v>0</v>
      </c>
      <c r="P500" s="70" t="n">
        <f aca="false">P499-O499</f>
        <v>0</v>
      </c>
      <c r="Q500" s="70" t="n">
        <f aca="false">Q499-P499</f>
        <v>0</v>
      </c>
      <c r="R500" s="70" t="n">
        <f aca="false">R499-Q499</f>
        <v>0</v>
      </c>
      <c r="S500" s="70" t="n">
        <f aca="false">S499-R499</f>
        <v>0</v>
      </c>
      <c r="T500" s="70" t="n">
        <f aca="false">T499-S499</f>
        <v>0</v>
      </c>
      <c r="U500" s="70" t="n">
        <f aca="false">U499-T499</f>
        <v>0</v>
      </c>
      <c r="V500" s="70" t="n">
        <f aca="false">V499-U499</f>
        <v>0</v>
      </c>
      <c r="W500" s="70" t="n">
        <f aca="false">W499-V499</f>
        <v>0</v>
      </c>
      <c r="X500" s="70" t="n">
        <f aca="false">X499-W499</f>
        <v>0</v>
      </c>
      <c r="Y500" s="70" t="n">
        <f aca="false">Y499-X499</f>
        <v>0</v>
      </c>
      <c r="Z500" s="70" t="n">
        <f aca="false">Z499-Y499</f>
        <v>0</v>
      </c>
      <c r="AA500" s="70" t="n">
        <f aca="false">AA499-Z499</f>
        <v>36609.375</v>
      </c>
      <c r="AB500" s="70" t="n">
        <f aca="false">AB499-AA499</f>
        <v>96515.625</v>
      </c>
    </row>
    <row r="501" customFormat="false" ht="15" hidden="false" customHeight="false" outlineLevel="0" collapsed="false">
      <c r="A501" s="27" t="s">
        <v>754</v>
      </c>
      <c r="B501" s="56" t="s">
        <v>755</v>
      </c>
      <c r="C501" s="57" t="n">
        <f aca="false">P501</f>
        <v>0</v>
      </c>
      <c r="D501" s="57" t="n">
        <f aca="false">AB501</f>
        <v>6656.25</v>
      </c>
      <c r="E501" s="58" t="n">
        <f aca="false">Project_Register!$Q$18*E499*(1-Project_Register!$R$18*(Assumptions!E$96&gt;=Project_Register!$AK$18+1)-(1-Project_Register!$R$18)*(Assumptions!E$96&gt;=Project_Register!$AN$18))</f>
        <v>0</v>
      </c>
      <c r="F501" s="58" t="n">
        <f aca="false">Project_Register!$Q$18*F499*(1-Project_Register!$R$18*(Assumptions!F$96&gt;=Project_Register!$AK$18+1)-(1-Project_Register!$R$18)*(Assumptions!F$96&gt;=Project_Register!$AN$18))</f>
        <v>0</v>
      </c>
      <c r="G501" s="58" t="n">
        <f aca="false">Project_Register!$Q$18*G499*(1-Project_Register!$R$18*(Assumptions!G$96&gt;=Project_Register!$AK$18+1)-(1-Project_Register!$R$18)*(Assumptions!G$96&gt;=Project_Register!$AN$18))</f>
        <v>0</v>
      </c>
      <c r="H501" s="58" t="n">
        <f aca="false">Project_Register!$Q$18*H499*(1-Project_Register!$R$18*(Assumptions!H$96&gt;=Project_Register!$AK$18+1)-(1-Project_Register!$R$18)*(Assumptions!H$96&gt;=Project_Register!$AN$18))</f>
        <v>0</v>
      </c>
      <c r="I501" s="58" t="n">
        <f aca="false">Project_Register!$Q$18*I499*(1-Project_Register!$R$18*(Assumptions!I$96&gt;=Project_Register!$AK$18+1)-(1-Project_Register!$R$18)*(Assumptions!I$96&gt;=Project_Register!$AN$18))</f>
        <v>0</v>
      </c>
      <c r="J501" s="58" t="n">
        <f aca="false">Project_Register!$Q$18*J499*(1-Project_Register!$R$18*(Assumptions!J$96&gt;=Project_Register!$AK$18+1)-(1-Project_Register!$R$18)*(Assumptions!J$96&gt;=Project_Register!$AN$18))</f>
        <v>0</v>
      </c>
      <c r="K501" s="58" t="n">
        <f aca="false">Project_Register!$Q$18*K499*(1-Project_Register!$R$18*(Assumptions!K$96&gt;=Project_Register!$AK$18+1)-(1-Project_Register!$R$18)*(Assumptions!K$96&gt;=Project_Register!$AN$18))</f>
        <v>0</v>
      </c>
      <c r="L501" s="58" t="n">
        <f aca="false">Project_Register!$Q$18*L499*(1-Project_Register!$R$18*(Assumptions!L$96&gt;=Project_Register!$AK$18+1)-(1-Project_Register!$R$18)*(Assumptions!L$96&gt;=Project_Register!$AN$18))</f>
        <v>0</v>
      </c>
      <c r="M501" s="58" t="n">
        <f aca="false">Project_Register!$Q$18*M499*(1-Project_Register!$R$18*(Assumptions!M$96&gt;=Project_Register!$AK$18+1)-(1-Project_Register!$R$18)*(Assumptions!M$96&gt;=Project_Register!$AN$18))</f>
        <v>0</v>
      </c>
      <c r="N501" s="58" t="n">
        <f aca="false">Project_Register!$Q$18*N499*(1-Project_Register!$R$18*(Assumptions!N$96&gt;=Project_Register!$AK$18+1)-(1-Project_Register!$R$18)*(Assumptions!N$96&gt;=Project_Register!$AN$18))</f>
        <v>0</v>
      </c>
      <c r="O501" s="58" t="n">
        <f aca="false">Project_Register!$Q$18*O499*(1-Project_Register!$R$18*(Assumptions!O$96&gt;=Project_Register!$AK$18+1)-(1-Project_Register!$R$18)*(Assumptions!O$96&gt;=Project_Register!$AN$18))</f>
        <v>0</v>
      </c>
      <c r="P501" s="58" t="n">
        <f aca="false">Project_Register!$Q$18*P499*(1-Project_Register!$R$18*(Assumptions!P$96&gt;=Project_Register!$AK$18+1)-(1-Project_Register!$R$18)*(Assumptions!P$96&gt;=Project_Register!$AN$18))</f>
        <v>0</v>
      </c>
      <c r="Q501" s="58" t="n">
        <f aca="false">Project_Register!$Q$18*Q499*(1-Project_Register!$R$18*(Assumptions!Q$96&gt;=Project_Register!$AK$18+1)-(1-Project_Register!$R$18)*(Assumptions!Q$96&gt;=Project_Register!$AN$18))</f>
        <v>0</v>
      </c>
      <c r="R501" s="58" t="n">
        <f aca="false">Project_Register!$Q$18*R499*(1-Project_Register!$R$18*(Assumptions!R$96&gt;=Project_Register!$AK$18+1)-(1-Project_Register!$R$18)*(Assumptions!R$96&gt;=Project_Register!$AN$18))</f>
        <v>0</v>
      </c>
      <c r="S501" s="58" t="n">
        <f aca="false">Project_Register!$Q$18*S499*(1-Project_Register!$R$18*(Assumptions!S$96&gt;=Project_Register!$AK$18+1)-(1-Project_Register!$R$18)*(Assumptions!S$96&gt;=Project_Register!$AN$18))</f>
        <v>0</v>
      </c>
      <c r="T501" s="58" t="n">
        <f aca="false">Project_Register!$Q$18*T499*(1-Project_Register!$R$18*(Assumptions!T$96&gt;=Project_Register!$AK$18+1)-(1-Project_Register!$R$18)*(Assumptions!T$96&gt;=Project_Register!$AN$18))</f>
        <v>0</v>
      </c>
      <c r="U501" s="58" t="n">
        <f aca="false">Project_Register!$Q$18*U499*(1-Project_Register!$R$18*(Assumptions!U$96&gt;=Project_Register!$AK$18+1)-(1-Project_Register!$R$18)*(Assumptions!U$96&gt;=Project_Register!$AN$18))</f>
        <v>0</v>
      </c>
      <c r="V501" s="58" t="n">
        <f aca="false">Project_Register!$Q$18*V499*(1-Project_Register!$R$18*(Assumptions!V$96&gt;=Project_Register!$AK$18+1)-(1-Project_Register!$R$18)*(Assumptions!V$96&gt;=Project_Register!$AN$18))</f>
        <v>0</v>
      </c>
      <c r="W501" s="58" t="n">
        <f aca="false">Project_Register!$Q$18*W499*(1-Project_Register!$R$18*(Assumptions!W$96&gt;=Project_Register!$AK$18+1)-(1-Project_Register!$R$18)*(Assumptions!W$96&gt;=Project_Register!$AN$18))</f>
        <v>0</v>
      </c>
      <c r="X501" s="58" t="n">
        <f aca="false">Project_Register!$Q$18*X499*(1-Project_Register!$R$18*(Assumptions!X$96&gt;=Project_Register!$AK$18+1)-(1-Project_Register!$R$18)*(Assumptions!X$96&gt;=Project_Register!$AN$18))</f>
        <v>0</v>
      </c>
      <c r="Y501" s="58" t="n">
        <f aca="false">Project_Register!$Q$18*Y499*(1-Project_Register!$R$18*(Assumptions!Y$96&gt;=Project_Register!$AK$18+1)-(1-Project_Register!$R$18)*(Assumptions!Y$96&gt;=Project_Register!$AN$18))</f>
        <v>0</v>
      </c>
      <c r="Z501" s="58" t="n">
        <f aca="false">Project_Register!$Q$18*Z499*(1-Project_Register!$R$18*(Assumptions!Z$96&gt;=Project_Register!$AK$18+1)-(1-Project_Register!$R$18)*(Assumptions!Z$96&gt;=Project_Register!$AN$18))</f>
        <v>0</v>
      </c>
      <c r="AA501" s="58" t="n">
        <f aca="false">Project_Register!$Q$18*AA499*(1-Project_Register!$R$18*(Assumptions!AA$96&gt;=Project_Register!$AK$18+1)-(1-Project_Register!$R$18)*(Assumptions!AA$96&gt;=Project_Register!$AN$18))</f>
        <v>1830.46875</v>
      </c>
      <c r="AB501" s="58" t="n">
        <f aca="false">Project_Register!$Q$18*AB499*(1-Project_Register!$R$18*(Assumptions!AB$96&gt;=Project_Register!$AK$18+1)-(1-Project_Register!$R$18)*(Assumptions!AB$96&gt;=Project_Register!$AN$18))</f>
        <v>6656.25</v>
      </c>
    </row>
    <row r="502" customFormat="false" ht="15" hidden="false" customHeight="false" outlineLevel="0" collapsed="false">
      <c r="A502" s="27" t="s">
        <v>756</v>
      </c>
      <c r="B502" s="56"/>
      <c r="C502" s="57" t="n">
        <f aca="false">SUM(E502:P502)</f>
        <v>0</v>
      </c>
      <c r="D502" s="57" t="n">
        <f aca="false">SUM(Q502:AB502)</f>
        <v>6656.25</v>
      </c>
      <c r="E502" s="58" t="n">
        <f aca="false">E501-Project_Register!$AW$18</f>
        <v>0</v>
      </c>
      <c r="F502" s="70" t="n">
        <f aca="false">F501-E501</f>
        <v>0</v>
      </c>
      <c r="G502" s="70" t="n">
        <f aca="false">G501-F501</f>
        <v>0</v>
      </c>
      <c r="H502" s="70" t="n">
        <f aca="false">H501-G501</f>
        <v>0</v>
      </c>
      <c r="I502" s="70" t="n">
        <f aca="false">I501-H501</f>
        <v>0</v>
      </c>
      <c r="J502" s="70" t="n">
        <f aca="false">J501-I501</f>
        <v>0</v>
      </c>
      <c r="K502" s="70" t="n">
        <f aca="false">K501-J501</f>
        <v>0</v>
      </c>
      <c r="L502" s="70" t="n">
        <f aca="false">L501-K501</f>
        <v>0</v>
      </c>
      <c r="M502" s="70" t="n">
        <f aca="false">M501-L501</f>
        <v>0</v>
      </c>
      <c r="N502" s="70" t="n">
        <f aca="false">N501-M501</f>
        <v>0</v>
      </c>
      <c r="O502" s="70" t="n">
        <f aca="false">O501-N501</f>
        <v>0</v>
      </c>
      <c r="P502" s="70" t="n">
        <f aca="false">P501-O501</f>
        <v>0</v>
      </c>
      <c r="Q502" s="70" t="n">
        <f aca="false">Q501-P501</f>
        <v>0</v>
      </c>
      <c r="R502" s="70" t="n">
        <f aca="false">R501-Q501</f>
        <v>0</v>
      </c>
      <c r="S502" s="70" t="n">
        <f aca="false">S501-R501</f>
        <v>0</v>
      </c>
      <c r="T502" s="70" t="n">
        <f aca="false">T501-S501</f>
        <v>0</v>
      </c>
      <c r="U502" s="70" t="n">
        <f aca="false">U501-T501</f>
        <v>0</v>
      </c>
      <c r="V502" s="70" t="n">
        <f aca="false">V501-U501</f>
        <v>0</v>
      </c>
      <c r="W502" s="70" t="n">
        <f aca="false">W501-V501</f>
        <v>0</v>
      </c>
      <c r="X502" s="70" t="n">
        <f aca="false">X501-W501</f>
        <v>0</v>
      </c>
      <c r="Y502" s="70" t="n">
        <f aca="false">Y501-X501</f>
        <v>0</v>
      </c>
      <c r="Z502" s="70" t="n">
        <f aca="false">Z501-Y501</f>
        <v>0</v>
      </c>
      <c r="AA502" s="70" t="n">
        <f aca="false">AA501-Z501</f>
        <v>1830.46875</v>
      </c>
      <c r="AB502" s="70" t="n">
        <f aca="false">AB501-AA501</f>
        <v>4825.78125</v>
      </c>
    </row>
    <row r="503" customFormat="false" ht="15" hidden="false" customHeight="false" outlineLevel="0" collapsed="false">
      <c r="A503" s="27" t="s">
        <v>757</v>
      </c>
      <c r="B503" s="56"/>
      <c r="C503" s="57" t="n">
        <f aca="false">SUM(E503:P503)</f>
        <v>0</v>
      </c>
      <c r="D503" s="57" t="n">
        <f aca="false">SUM(Q503:AB503)</f>
        <v>126468.75</v>
      </c>
      <c r="E503" s="70" t="n">
        <f aca="false">E500-E502</f>
        <v>0</v>
      </c>
      <c r="F503" s="70" t="n">
        <f aca="false">F500-F502</f>
        <v>0</v>
      </c>
      <c r="G503" s="70" t="n">
        <f aca="false">G500-G502</f>
        <v>0</v>
      </c>
      <c r="H503" s="70" t="n">
        <f aca="false">H500-H502</f>
        <v>0</v>
      </c>
      <c r="I503" s="70" t="n">
        <f aca="false">I500-I502</f>
        <v>0</v>
      </c>
      <c r="J503" s="70" t="n">
        <f aca="false">J500-J502</f>
        <v>0</v>
      </c>
      <c r="K503" s="70" t="n">
        <f aca="false">K500-K502</f>
        <v>0</v>
      </c>
      <c r="L503" s="70" t="n">
        <f aca="false">L500-L502</f>
        <v>0</v>
      </c>
      <c r="M503" s="70" t="n">
        <f aca="false">M500-M502</f>
        <v>0</v>
      </c>
      <c r="N503" s="70" t="n">
        <f aca="false">N500-N502</f>
        <v>0</v>
      </c>
      <c r="O503" s="70" t="n">
        <f aca="false">O500-O502</f>
        <v>0</v>
      </c>
      <c r="P503" s="70" t="n">
        <f aca="false">P500-P502</f>
        <v>0</v>
      </c>
      <c r="Q503" s="70" t="n">
        <f aca="false">Q500-Q502</f>
        <v>0</v>
      </c>
      <c r="R503" s="70" t="n">
        <f aca="false">R500-R502</f>
        <v>0</v>
      </c>
      <c r="S503" s="70" t="n">
        <f aca="false">S500-S502</f>
        <v>0</v>
      </c>
      <c r="T503" s="70" t="n">
        <f aca="false">T500-T502</f>
        <v>0</v>
      </c>
      <c r="U503" s="70" t="n">
        <f aca="false">U500-U502</f>
        <v>0</v>
      </c>
      <c r="V503" s="70" t="n">
        <f aca="false">V500-V502</f>
        <v>0</v>
      </c>
      <c r="W503" s="70" t="n">
        <f aca="false">W500-W502</f>
        <v>0</v>
      </c>
      <c r="X503" s="70" t="n">
        <f aca="false">X500-X502</f>
        <v>0</v>
      </c>
      <c r="Y503" s="70" t="n">
        <f aca="false">Y500-Y502</f>
        <v>0</v>
      </c>
      <c r="Z503" s="70" t="n">
        <f aca="false">Z500-Z502</f>
        <v>0</v>
      </c>
      <c r="AA503" s="70" t="n">
        <f aca="false">AA500-AA502</f>
        <v>34778.90625</v>
      </c>
      <c r="AB503" s="70" t="n">
        <f aca="false">AB500-AB502</f>
        <v>91689.84375</v>
      </c>
    </row>
    <row r="504" customFormat="false" ht="15" hidden="false" customHeight="false" outlineLevel="0" collapsed="false">
      <c r="A504" s="27" t="s">
        <v>758</v>
      </c>
      <c r="B504" s="56" t="s">
        <v>759</v>
      </c>
      <c r="C504" s="57" t="n">
        <f aca="false">SUM(E504:P504)</f>
        <v>0</v>
      </c>
      <c r="D504" s="57" t="n">
        <f aca="false">SUM(Q504:AB504)</f>
        <v>0</v>
      </c>
      <c r="E504" s="58" t="n">
        <f aca="false">E503*Project_Register!$W$18</f>
        <v>0</v>
      </c>
      <c r="F504" s="58" t="n">
        <f aca="false">F503*Project_Register!$W$18</f>
        <v>0</v>
      </c>
      <c r="G504" s="58" t="n">
        <f aca="false">G503*Project_Register!$W$18</f>
        <v>0</v>
      </c>
      <c r="H504" s="58" t="n">
        <f aca="false">H503*Project_Register!$W$18</f>
        <v>0</v>
      </c>
      <c r="I504" s="58" t="n">
        <f aca="false">I503*Project_Register!$W$18</f>
        <v>0</v>
      </c>
      <c r="J504" s="58" t="n">
        <f aca="false">J503*Project_Register!$W$18</f>
        <v>0</v>
      </c>
      <c r="K504" s="58" t="n">
        <f aca="false">K503*Project_Register!$W$18</f>
        <v>0</v>
      </c>
      <c r="L504" s="58" t="n">
        <f aca="false">L503*Project_Register!$W$18</f>
        <v>0</v>
      </c>
      <c r="M504" s="58" t="n">
        <f aca="false">M503*Project_Register!$W$18</f>
        <v>0</v>
      </c>
      <c r="N504" s="58" t="n">
        <f aca="false">N503*Project_Register!$W$18</f>
        <v>0</v>
      </c>
      <c r="O504" s="58" t="n">
        <f aca="false">O503*Project_Register!$W$18</f>
        <v>0</v>
      </c>
      <c r="P504" s="58" t="n">
        <f aca="false">P503*Project_Register!$W$18</f>
        <v>0</v>
      </c>
      <c r="Q504" s="58" t="n">
        <f aca="false">Q503*Project_Register!$W$18</f>
        <v>0</v>
      </c>
      <c r="R504" s="58" t="n">
        <f aca="false">R503*Project_Register!$W$18</f>
        <v>0</v>
      </c>
      <c r="S504" s="58" t="n">
        <f aca="false">S503*Project_Register!$W$18</f>
        <v>0</v>
      </c>
      <c r="T504" s="58" t="n">
        <f aca="false">T503*Project_Register!$W$18</f>
        <v>0</v>
      </c>
      <c r="U504" s="58" t="n">
        <f aca="false">U503*Project_Register!$W$18</f>
        <v>0</v>
      </c>
      <c r="V504" s="58" t="n">
        <f aca="false">V503*Project_Register!$W$18</f>
        <v>0</v>
      </c>
      <c r="W504" s="58" t="n">
        <f aca="false">W503*Project_Register!$W$18</f>
        <v>0</v>
      </c>
      <c r="X504" s="58" t="n">
        <f aca="false">X503*Project_Register!$W$18</f>
        <v>0</v>
      </c>
      <c r="Y504" s="58" t="n">
        <f aca="false">Y503*Project_Register!$W$18</f>
        <v>0</v>
      </c>
      <c r="Z504" s="58" t="n">
        <f aca="false">Z503*Project_Register!$W$18</f>
        <v>0</v>
      </c>
      <c r="AA504" s="58" t="n">
        <f aca="false">AA503*Project_Register!$W$18</f>
        <v>0</v>
      </c>
      <c r="AB504" s="58" t="n">
        <f aca="false">AB503*Project_Register!$W$18</f>
        <v>0</v>
      </c>
    </row>
    <row r="505" customFormat="false" ht="15" hidden="false" customHeight="false" outlineLevel="0" collapsed="false">
      <c r="A505" s="27" t="s">
        <v>760</v>
      </c>
      <c r="B505" s="56"/>
      <c r="C505" s="57" t="n">
        <f aca="false">SUM(E505:P505)</f>
        <v>0</v>
      </c>
      <c r="D505" s="57" t="n">
        <f aca="false">SUM(Q505:AB505)</f>
        <v>126468.75</v>
      </c>
      <c r="E505" s="70" t="n">
        <f aca="false">E503+E504</f>
        <v>0</v>
      </c>
      <c r="F505" s="70" t="n">
        <f aca="false">F503+F504</f>
        <v>0</v>
      </c>
      <c r="G505" s="70" t="n">
        <f aca="false">G503+G504</f>
        <v>0</v>
      </c>
      <c r="H505" s="70" t="n">
        <f aca="false">H503+H504</f>
        <v>0</v>
      </c>
      <c r="I505" s="70" t="n">
        <f aca="false">I503+I504</f>
        <v>0</v>
      </c>
      <c r="J505" s="70" t="n">
        <f aca="false">J503+J504</f>
        <v>0</v>
      </c>
      <c r="K505" s="70" t="n">
        <f aca="false">K503+K504</f>
        <v>0</v>
      </c>
      <c r="L505" s="70" t="n">
        <f aca="false">L503+L504</f>
        <v>0</v>
      </c>
      <c r="M505" s="70" t="n">
        <f aca="false">M503+M504</f>
        <v>0</v>
      </c>
      <c r="N505" s="70" t="n">
        <f aca="false">N503+N504</f>
        <v>0</v>
      </c>
      <c r="O505" s="70" t="n">
        <f aca="false">O503+O504</f>
        <v>0</v>
      </c>
      <c r="P505" s="70" t="n">
        <f aca="false">P503+P504</f>
        <v>0</v>
      </c>
      <c r="Q505" s="70" t="n">
        <f aca="false">Q503+Q504</f>
        <v>0</v>
      </c>
      <c r="R505" s="70" t="n">
        <f aca="false">R503+R504</f>
        <v>0</v>
      </c>
      <c r="S505" s="70" t="n">
        <f aca="false">S503+S504</f>
        <v>0</v>
      </c>
      <c r="T505" s="70" t="n">
        <f aca="false">T503+T504</f>
        <v>0</v>
      </c>
      <c r="U505" s="70" t="n">
        <f aca="false">U503+U504</f>
        <v>0</v>
      </c>
      <c r="V505" s="70" t="n">
        <f aca="false">V503+V504</f>
        <v>0</v>
      </c>
      <c r="W505" s="70" t="n">
        <f aca="false">W503+W504</f>
        <v>0</v>
      </c>
      <c r="X505" s="70" t="n">
        <f aca="false">X503+X504</f>
        <v>0</v>
      </c>
      <c r="Y505" s="70" t="n">
        <f aca="false">Y503+Y504</f>
        <v>0</v>
      </c>
      <c r="Z505" s="70" t="n">
        <f aca="false">Z503+Z504</f>
        <v>0</v>
      </c>
      <c r="AA505" s="70" t="n">
        <f aca="false">AA503+AA504</f>
        <v>34778.90625</v>
      </c>
      <c r="AB505" s="70" t="n">
        <f aca="false">AB503+AB504</f>
        <v>91689.84375</v>
      </c>
    </row>
    <row r="506" customFormat="false" ht="15" hidden="false" customHeight="false" outlineLevel="0" collapsed="false">
      <c r="A506" s="27" t="s">
        <v>761</v>
      </c>
      <c r="B506" s="56" t="s">
        <v>762</v>
      </c>
      <c r="C506" s="57" t="n">
        <f aca="false">SUM(E506:P506)</f>
        <v>0</v>
      </c>
      <c r="D506" s="57" t="n">
        <f aca="false">SUM(Q506:AB506)</f>
        <v>34778.90625</v>
      </c>
      <c r="E506" s="58" t="n">
        <f aca="false">IF(E$5="A",0,Project_Register!$AF$18+E505-(E505*MIN(1,Project_Register!$AY$18/30)+0*MIN(1,MAX(0,(Project_Register!$AY$18-30)/30))))</f>
        <v>0</v>
      </c>
      <c r="F506" s="58" t="n">
        <f aca="false">IF(F$5="A",0,E507+F505-(F505*MIN(1,Project_Register!$AY$18/30)+E505*MIN(1,MAX(0,(Project_Register!$AY$18-30)/30))))</f>
        <v>0</v>
      </c>
      <c r="G506" s="58" t="n">
        <f aca="false">IF(G$5="A",0,F507+G505-(G505*MIN(1,Project_Register!$AY$18/30)+F505*MIN(1,MAX(0,(Project_Register!$AY$18-30)/30))))</f>
        <v>0</v>
      </c>
      <c r="H506" s="58" t="n">
        <f aca="false">IF(H$5="A",0,G507+H505-(H505*MIN(1,Project_Register!$AY$18/30)+G505*MIN(1,MAX(0,(Project_Register!$AY$18-30)/30))))</f>
        <v>0</v>
      </c>
      <c r="I506" s="58" t="n">
        <f aca="false">IF(I$5="A",0,H507+I505-(I505*MIN(1,Project_Register!$AY$18/30)+H505*MIN(1,MAX(0,(Project_Register!$AY$18-30)/30))))</f>
        <v>0</v>
      </c>
      <c r="J506" s="58" t="n">
        <f aca="false">IF(J$5="A",0,I507+J505-(J505*MIN(1,Project_Register!$AY$18/30)+I505*MIN(1,MAX(0,(Project_Register!$AY$18-30)/30))))</f>
        <v>0</v>
      </c>
      <c r="K506" s="58" t="n">
        <f aca="false">IF(K$5="A",0,J507+K505-(K505*MIN(1,Project_Register!$AY$18/30)+J505*MIN(1,MAX(0,(Project_Register!$AY$18-30)/30))))</f>
        <v>0</v>
      </c>
      <c r="L506" s="58" t="n">
        <f aca="false">IF(L$5="A",0,K507+L505-(L505*MIN(1,Project_Register!$AY$18/30)+K505*MIN(1,MAX(0,(Project_Register!$AY$18-30)/30))))</f>
        <v>0</v>
      </c>
      <c r="M506" s="58" t="n">
        <f aca="false">IF(M$5="A",0,L507+M505-(M505*MIN(1,Project_Register!$AY$18/30)+L505*MIN(1,MAX(0,(Project_Register!$AY$18-30)/30))))</f>
        <v>0</v>
      </c>
      <c r="N506" s="58" t="n">
        <f aca="false">IF(N$5="A",0,M507+N505-(N505*MIN(1,Project_Register!$AY$18/30)+M505*MIN(1,MAX(0,(Project_Register!$AY$18-30)/30))))</f>
        <v>0</v>
      </c>
      <c r="O506" s="58" t="n">
        <f aca="false">IF(O$5="A",0,N507+O505-(O505*MIN(1,Project_Register!$AY$18/30)+N505*MIN(1,MAX(0,(Project_Register!$AY$18-30)/30))))</f>
        <v>0</v>
      </c>
      <c r="P506" s="58" t="n">
        <f aca="false">IF(P$5="A",0,O507+P505-(P505*MIN(1,Project_Register!$AY$18/30)+O505*MIN(1,MAX(0,(Project_Register!$AY$18-30)/30))))</f>
        <v>0</v>
      </c>
      <c r="Q506" s="58" t="n">
        <f aca="false">IF(Q$5="A",0,P507+Q505-(Q505*MIN(1,Project_Register!$AY$18/30)+P505*MIN(1,MAX(0,(Project_Register!$AY$18-30)/30))))</f>
        <v>0</v>
      </c>
      <c r="R506" s="58" t="n">
        <f aca="false">IF(R$5="A",0,Q507+R505-(R505*MIN(1,Project_Register!$AY$18/30)+Q505*MIN(1,MAX(0,(Project_Register!$AY$18-30)/30))))</f>
        <v>0</v>
      </c>
      <c r="S506" s="58" t="n">
        <f aca="false">IF(S$5="A",0,R507+S505-(S505*MIN(1,Project_Register!$AY$18/30)+R505*MIN(1,MAX(0,(Project_Register!$AY$18-30)/30))))</f>
        <v>0</v>
      </c>
      <c r="T506" s="58" t="n">
        <f aca="false">IF(T$5="A",0,S507+T505-(T505*MIN(1,Project_Register!$AY$18/30)+S505*MIN(1,MAX(0,(Project_Register!$AY$18-30)/30))))</f>
        <v>0</v>
      </c>
      <c r="U506" s="58" t="n">
        <f aca="false">IF(U$5="A",0,T507+U505-(U505*MIN(1,Project_Register!$AY$18/30)+T505*MIN(1,MAX(0,(Project_Register!$AY$18-30)/30))))</f>
        <v>0</v>
      </c>
      <c r="V506" s="58" t="n">
        <f aca="false">IF(V$5="A",0,U507+V505-(V505*MIN(1,Project_Register!$AY$18/30)+U505*MIN(1,MAX(0,(Project_Register!$AY$18-30)/30))))</f>
        <v>0</v>
      </c>
      <c r="W506" s="58" t="n">
        <f aca="false">IF(W$5="A",0,V507+W505-(W505*MIN(1,Project_Register!$AY$18/30)+V505*MIN(1,MAX(0,(Project_Register!$AY$18-30)/30))))</f>
        <v>0</v>
      </c>
      <c r="X506" s="58" t="n">
        <f aca="false">IF(X$5="A",0,W507+X505-(X505*MIN(1,Project_Register!$AY$18/30)+W505*MIN(1,MAX(0,(Project_Register!$AY$18-30)/30))))</f>
        <v>0</v>
      </c>
      <c r="Y506" s="58" t="n">
        <f aca="false">IF(Y$5="A",0,X507+Y505-(Y505*MIN(1,Project_Register!$AY$18/30)+X505*MIN(1,MAX(0,(Project_Register!$AY$18-30)/30))))</f>
        <v>0</v>
      </c>
      <c r="Z506" s="58" t="n">
        <f aca="false">IF(Z$5="A",0,Y507+Z505-(Z505*MIN(1,Project_Register!$AY$18/30)+Y505*MIN(1,MAX(0,(Project_Register!$AY$18-30)/30))))</f>
        <v>0</v>
      </c>
      <c r="AA506" s="58" t="n">
        <f aca="false">IF(AA$5="A",0,Z507+AA505-(AA505*MIN(1,Project_Register!$AY$18/30)+Z505*MIN(1,MAX(0,(Project_Register!$AY$18-30)/30))))</f>
        <v>0</v>
      </c>
      <c r="AB506" s="58" t="n">
        <f aca="false">IF(AB$5="A",0,AA507+AB505-(AB505*MIN(1,Project_Register!$AY$18/30)+AA505*MIN(1,MAX(0,(Project_Register!$AY$18-30)/30))))</f>
        <v>34778.90625</v>
      </c>
    </row>
    <row r="507" customFormat="false" ht="15" hidden="false" customHeight="false" outlineLevel="0" collapsed="false">
      <c r="A507" s="27" t="s">
        <v>763</v>
      </c>
      <c r="B507" s="56" t="s">
        <v>764</v>
      </c>
      <c r="C507" s="57" t="n">
        <f aca="false">P507</f>
        <v>0</v>
      </c>
      <c r="D507" s="57" t="n">
        <f aca="false">AB507</f>
        <v>91689.84375</v>
      </c>
      <c r="E507" s="58" t="n">
        <f aca="false">Project_Register!$AF$18+E505-E506</f>
        <v>0</v>
      </c>
      <c r="F507" s="70" t="n">
        <f aca="false">E507+F505-F506</f>
        <v>0</v>
      </c>
      <c r="G507" s="70" t="n">
        <f aca="false">F507+G505-G506</f>
        <v>0</v>
      </c>
      <c r="H507" s="70" t="n">
        <f aca="false">G507+H505-H506</f>
        <v>0</v>
      </c>
      <c r="I507" s="70" t="n">
        <f aca="false">H507+I505-I506</f>
        <v>0</v>
      </c>
      <c r="J507" s="70" t="n">
        <f aca="false">I507+J505-J506</f>
        <v>0</v>
      </c>
      <c r="K507" s="70" t="n">
        <f aca="false">J507+K505-K506</f>
        <v>0</v>
      </c>
      <c r="L507" s="70" t="n">
        <f aca="false">K507+L505-L506</f>
        <v>0</v>
      </c>
      <c r="M507" s="70" t="n">
        <f aca="false">L507+M505-M506</f>
        <v>0</v>
      </c>
      <c r="N507" s="70" t="n">
        <f aca="false">M507+N505-N506</f>
        <v>0</v>
      </c>
      <c r="O507" s="70" t="n">
        <f aca="false">N507+O505-O506</f>
        <v>0</v>
      </c>
      <c r="P507" s="70" t="n">
        <f aca="false">O507+P505-P506</f>
        <v>0</v>
      </c>
      <c r="Q507" s="70" t="n">
        <f aca="false">P507+Q505-Q506</f>
        <v>0</v>
      </c>
      <c r="R507" s="70" t="n">
        <f aca="false">Q507+R505-R506</f>
        <v>0</v>
      </c>
      <c r="S507" s="70" t="n">
        <f aca="false">R507+S505-S506</f>
        <v>0</v>
      </c>
      <c r="T507" s="70" t="n">
        <f aca="false">S507+T505-T506</f>
        <v>0</v>
      </c>
      <c r="U507" s="70" t="n">
        <f aca="false">T507+U505-U506</f>
        <v>0</v>
      </c>
      <c r="V507" s="70" t="n">
        <f aca="false">U507+V505-V506</f>
        <v>0</v>
      </c>
      <c r="W507" s="70" t="n">
        <f aca="false">V507+W505-W506</f>
        <v>0</v>
      </c>
      <c r="X507" s="70" t="n">
        <f aca="false">W507+X505-X506</f>
        <v>0</v>
      </c>
      <c r="Y507" s="70" t="n">
        <f aca="false">X507+Y505-Y506</f>
        <v>0</v>
      </c>
      <c r="Z507" s="70" t="n">
        <f aca="false">Y507+Z505-Z506</f>
        <v>0</v>
      </c>
      <c r="AA507" s="70" t="n">
        <f aca="false">Z507+AA505-AA506</f>
        <v>34778.90625</v>
      </c>
      <c r="AB507" s="70" t="n">
        <f aca="false">AA507+AB505-AB506</f>
        <v>91689.84375</v>
      </c>
    </row>
    <row r="508" customFormat="false" ht="15" hidden="false" customHeight="false" outlineLevel="0" collapsed="false">
      <c r="A508" s="27" t="s">
        <v>765</v>
      </c>
      <c r="B508" s="56" t="s">
        <v>766</v>
      </c>
      <c r="C508" s="57" t="n">
        <f aca="false">P508</f>
        <v>0</v>
      </c>
      <c r="D508" s="57" t="n">
        <f aca="false">AB508</f>
        <v>136453.125</v>
      </c>
      <c r="E508" s="70" t="n">
        <f aca="false">E493-E499</f>
        <v>0</v>
      </c>
      <c r="F508" s="70" t="n">
        <f aca="false">F493-F499</f>
        <v>0</v>
      </c>
      <c r="G508" s="70" t="n">
        <f aca="false">G493-G499</f>
        <v>0</v>
      </c>
      <c r="H508" s="70" t="n">
        <f aca="false">H493-H499</f>
        <v>0</v>
      </c>
      <c r="I508" s="70" t="n">
        <f aca="false">I493-I499</f>
        <v>0</v>
      </c>
      <c r="J508" s="70" t="n">
        <f aca="false">J493-J499</f>
        <v>0</v>
      </c>
      <c r="K508" s="70" t="n">
        <f aca="false">K493-K499</f>
        <v>0</v>
      </c>
      <c r="L508" s="70" t="n">
        <f aca="false">L493-L499</f>
        <v>0</v>
      </c>
      <c r="M508" s="70" t="n">
        <f aca="false">M493-M499</f>
        <v>0</v>
      </c>
      <c r="N508" s="70" t="n">
        <f aca="false">N493-N499</f>
        <v>0</v>
      </c>
      <c r="O508" s="70" t="n">
        <f aca="false">O493-O499</f>
        <v>0</v>
      </c>
      <c r="P508" s="70" t="n">
        <f aca="false">P493-P499</f>
        <v>0</v>
      </c>
      <c r="Q508" s="70" t="n">
        <f aca="false">Q493-Q499</f>
        <v>0</v>
      </c>
      <c r="R508" s="70" t="n">
        <f aca="false">R493-R499</f>
        <v>0</v>
      </c>
      <c r="S508" s="70" t="n">
        <f aca="false">S493-S499</f>
        <v>0</v>
      </c>
      <c r="T508" s="70" t="n">
        <f aca="false">T493-T499</f>
        <v>0</v>
      </c>
      <c r="U508" s="70" t="n">
        <f aca="false">U493-U499</f>
        <v>0</v>
      </c>
      <c r="V508" s="70" t="n">
        <f aca="false">V493-V499</f>
        <v>0</v>
      </c>
      <c r="W508" s="70" t="n">
        <f aca="false">W493-W499</f>
        <v>0</v>
      </c>
      <c r="X508" s="70" t="n">
        <f aca="false">X493-X499</f>
        <v>0</v>
      </c>
      <c r="Y508" s="70" t="n">
        <f aca="false">Y493-Y499</f>
        <v>0</v>
      </c>
      <c r="Z508" s="70" t="n">
        <f aca="false">Z493-Z499</f>
        <v>36609.375</v>
      </c>
      <c r="AA508" s="70" t="n">
        <f aca="false">AA493-AA499</f>
        <v>96515.625</v>
      </c>
      <c r="AB508" s="70" t="n">
        <f aca="false">AB493-AB499</f>
        <v>136453.125</v>
      </c>
    </row>
    <row r="509" customFormat="false" ht="15" hidden="false" customHeight="false" outlineLevel="0" collapsed="false">
      <c r="A509" s="27" t="s">
        <v>767</v>
      </c>
      <c r="B509" s="56"/>
      <c r="C509" s="57" t="n">
        <f aca="false">P509</f>
        <v>0</v>
      </c>
      <c r="D509" s="57" t="n">
        <f aca="false">AB509</f>
        <v>136453.125</v>
      </c>
      <c r="E509" s="70" t="n">
        <f aca="false">MAX(0,E508)</f>
        <v>0</v>
      </c>
      <c r="F509" s="70" t="n">
        <f aca="false">MAX(0,F508)</f>
        <v>0</v>
      </c>
      <c r="G509" s="70" t="n">
        <f aca="false">MAX(0,G508)</f>
        <v>0</v>
      </c>
      <c r="H509" s="70" t="n">
        <f aca="false">MAX(0,H508)</f>
        <v>0</v>
      </c>
      <c r="I509" s="70" t="n">
        <f aca="false">MAX(0,I508)</f>
        <v>0</v>
      </c>
      <c r="J509" s="70" t="n">
        <f aca="false">MAX(0,J508)</f>
        <v>0</v>
      </c>
      <c r="K509" s="70" t="n">
        <f aca="false">MAX(0,K508)</f>
        <v>0</v>
      </c>
      <c r="L509" s="70" t="n">
        <f aca="false">MAX(0,L508)</f>
        <v>0</v>
      </c>
      <c r="M509" s="70" t="n">
        <f aca="false">MAX(0,M508)</f>
        <v>0</v>
      </c>
      <c r="N509" s="70" t="n">
        <f aca="false">MAX(0,N508)</f>
        <v>0</v>
      </c>
      <c r="O509" s="70" t="n">
        <f aca="false">MAX(0,O508)</f>
        <v>0</v>
      </c>
      <c r="P509" s="70" t="n">
        <f aca="false">MAX(0,P508)</f>
        <v>0</v>
      </c>
      <c r="Q509" s="70" t="n">
        <f aca="false">MAX(0,Q508)</f>
        <v>0</v>
      </c>
      <c r="R509" s="70" t="n">
        <f aca="false">MAX(0,R508)</f>
        <v>0</v>
      </c>
      <c r="S509" s="70" t="n">
        <f aca="false">MAX(0,S508)</f>
        <v>0</v>
      </c>
      <c r="T509" s="70" t="n">
        <f aca="false">MAX(0,T508)</f>
        <v>0</v>
      </c>
      <c r="U509" s="70" t="n">
        <f aca="false">MAX(0,U508)</f>
        <v>0</v>
      </c>
      <c r="V509" s="70" t="n">
        <f aca="false">MAX(0,V508)</f>
        <v>0</v>
      </c>
      <c r="W509" s="70" t="n">
        <f aca="false">MAX(0,W508)</f>
        <v>0</v>
      </c>
      <c r="X509" s="70" t="n">
        <f aca="false">MAX(0,X508)</f>
        <v>0</v>
      </c>
      <c r="Y509" s="70" t="n">
        <f aca="false">MAX(0,Y508)</f>
        <v>0</v>
      </c>
      <c r="Z509" s="70" t="n">
        <f aca="false">MAX(0,Z508)</f>
        <v>36609.375</v>
      </c>
      <c r="AA509" s="70" t="n">
        <f aca="false">MAX(0,AA508)</f>
        <v>96515.625</v>
      </c>
      <c r="AB509" s="70" t="n">
        <f aca="false">MAX(0,AB508)</f>
        <v>136453.125</v>
      </c>
    </row>
    <row r="510" customFormat="false" ht="15" hidden="false" customHeight="false" outlineLevel="0" collapsed="false">
      <c r="A510" s="27" t="s">
        <v>768</v>
      </c>
      <c r="B510" s="56"/>
      <c r="C510" s="57" t="n">
        <f aca="false">P510</f>
        <v>-0</v>
      </c>
      <c r="D510" s="57" t="n">
        <f aca="false">AB510</f>
        <v>0</v>
      </c>
      <c r="E510" s="70" t="n">
        <f aca="false">MAX(0,-E508)</f>
        <v>-0</v>
      </c>
      <c r="F510" s="70" t="n">
        <f aca="false">MAX(0,-F508)</f>
        <v>-0</v>
      </c>
      <c r="G510" s="70" t="n">
        <f aca="false">MAX(0,-G508)</f>
        <v>-0</v>
      </c>
      <c r="H510" s="70" t="n">
        <f aca="false">MAX(0,-H508)</f>
        <v>-0</v>
      </c>
      <c r="I510" s="70" t="n">
        <f aca="false">MAX(0,-I508)</f>
        <v>-0</v>
      </c>
      <c r="J510" s="70" t="n">
        <f aca="false">MAX(0,-J508)</f>
        <v>-0</v>
      </c>
      <c r="K510" s="70" t="n">
        <f aca="false">MAX(0,-K508)</f>
        <v>-0</v>
      </c>
      <c r="L510" s="70" t="n">
        <f aca="false">MAX(0,-L508)</f>
        <v>-0</v>
      </c>
      <c r="M510" s="70" t="n">
        <f aca="false">MAX(0,-M508)</f>
        <v>-0</v>
      </c>
      <c r="N510" s="70" t="n">
        <f aca="false">MAX(0,-N508)</f>
        <v>-0</v>
      </c>
      <c r="O510" s="70" t="n">
        <f aca="false">MAX(0,-O508)</f>
        <v>-0</v>
      </c>
      <c r="P510" s="70" t="n">
        <f aca="false">MAX(0,-P508)</f>
        <v>-0</v>
      </c>
      <c r="Q510" s="70" t="n">
        <f aca="false">MAX(0,-Q508)</f>
        <v>-0</v>
      </c>
      <c r="R510" s="70" t="n">
        <f aca="false">MAX(0,-R508)</f>
        <v>-0</v>
      </c>
      <c r="S510" s="70" t="n">
        <f aca="false">MAX(0,-S508)</f>
        <v>-0</v>
      </c>
      <c r="T510" s="70" t="n">
        <f aca="false">MAX(0,-T508)</f>
        <v>-0</v>
      </c>
      <c r="U510" s="70" t="n">
        <f aca="false">MAX(0,-U508)</f>
        <v>-0</v>
      </c>
      <c r="V510" s="70" t="n">
        <f aca="false">MAX(0,-V508)</f>
        <v>-0</v>
      </c>
      <c r="W510" s="70" t="n">
        <f aca="false">MAX(0,-W508)</f>
        <v>-0</v>
      </c>
      <c r="X510" s="70" t="n">
        <f aca="false">MAX(0,-X508)</f>
        <v>-0</v>
      </c>
      <c r="Y510" s="70" t="n">
        <f aca="false">MAX(0,-Y508)</f>
        <v>-0</v>
      </c>
      <c r="Z510" s="70" t="n">
        <f aca="false">MAX(0,-Z508)</f>
        <v>0</v>
      </c>
      <c r="AA510" s="70" t="n">
        <f aca="false">MAX(0,-AA508)</f>
        <v>0</v>
      </c>
      <c r="AB510" s="70" t="n">
        <f aca="false">MAX(0,-AB508)</f>
        <v>0</v>
      </c>
    </row>
    <row r="511" customFormat="false" ht="15" hidden="false" customHeight="false" outlineLevel="0" collapsed="false">
      <c r="A511" s="27" t="s">
        <v>769</v>
      </c>
      <c r="B511" s="56"/>
      <c r="C511" s="57" t="n">
        <f aca="false">P511</f>
        <v>0</v>
      </c>
      <c r="D511" s="57" t="n">
        <f aca="false">AB511</f>
        <v>132890.625</v>
      </c>
      <c r="E511" s="58" t="n">
        <f aca="false">Project_Register!$AG$18+E481</f>
        <v>0</v>
      </c>
      <c r="F511" s="70" t="n">
        <f aca="false">E511+F481</f>
        <v>0</v>
      </c>
      <c r="G511" s="70" t="n">
        <f aca="false">F511+G481</f>
        <v>0</v>
      </c>
      <c r="H511" s="70" t="n">
        <f aca="false">G511+H481</f>
        <v>0</v>
      </c>
      <c r="I511" s="70" t="n">
        <f aca="false">H511+I481</f>
        <v>0</v>
      </c>
      <c r="J511" s="70" t="n">
        <f aca="false">I511+J481</f>
        <v>0</v>
      </c>
      <c r="K511" s="70" t="n">
        <f aca="false">J511+K481</f>
        <v>0</v>
      </c>
      <c r="L511" s="70" t="n">
        <f aca="false">K511+L481</f>
        <v>0</v>
      </c>
      <c r="M511" s="70" t="n">
        <f aca="false">L511+M481</f>
        <v>0</v>
      </c>
      <c r="N511" s="70" t="n">
        <f aca="false">M511+N481</f>
        <v>0</v>
      </c>
      <c r="O511" s="70" t="n">
        <f aca="false">N511+O481</f>
        <v>0</v>
      </c>
      <c r="P511" s="70" t="n">
        <f aca="false">O511+P481</f>
        <v>0</v>
      </c>
      <c r="Q511" s="70" t="n">
        <f aca="false">P511+Q481</f>
        <v>0</v>
      </c>
      <c r="R511" s="70" t="n">
        <f aca="false">Q511+R481</f>
        <v>0</v>
      </c>
      <c r="S511" s="70" t="n">
        <f aca="false">R511+S481</f>
        <v>0</v>
      </c>
      <c r="T511" s="70" t="n">
        <f aca="false">S511+T481</f>
        <v>0</v>
      </c>
      <c r="U511" s="70" t="n">
        <f aca="false">T511+U481</f>
        <v>0</v>
      </c>
      <c r="V511" s="70" t="n">
        <f aca="false">U511+V481</f>
        <v>0</v>
      </c>
      <c r="W511" s="70" t="n">
        <f aca="false">V511+W481</f>
        <v>0</v>
      </c>
      <c r="X511" s="70" t="n">
        <f aca="false">W511+X481</f>
        <v>0</v>
      </c>
      <c r="Y511" s="70" t="n">
        <f aca="false">X511+Y481</f>
        <v>0</v>
      </c>
      <c r="Z511" s="70" t="n">
        <f aca="false">Y511+Z481</f>
        <v>18046.875</v>
      </c>
      <c r="AA511" s="70" t="n">
        <f aca="false">Z511+AA481</f>
        <v>65625</v>
      </c>
      <c r="AB511" s="70" t="n">
        <f aca="false">AA511+AB481</f>
        <v>132890.625</v>
      </c>
    </row>
    <row r="512" customFormat="false" ht="15" hidden="false" customHeight="false" outlineLevel="0" collapsed="false">
      <c r="A512" s="27" t="s">
        <v>770</v>
      </c>
      <c r="B512" s="56"/>
      <c r="C512" s="57" t="n">
        <f aca="false">P512</f>
        <v>0</v>
      </c>
      <c r="D512" s="57" t="n">
        <f aca="false">AB512</f>
        <v>6644.53125</v>
      </c>
      <c r="E512" s="58" t="n">
        <f aca="false">Project_Register!$U$18*E511*(1-Project_Register!$R$18*(Assumptions!E$96&gt;=Project_Register!$AK$18+1)-(1-Project_Register!$R$18)*(Assumptions!E$96&gt;=Project_Register!$AN$18))</f>
        <v>0</v>
      </c>
      <c r="F512" s="58" t="n">
        <f aca="false">Project_Register!$U$18*F511*(1-Project_Register!$R$18*(Assumptions!F$96&gt;=Project_Register!$AK$18+1)-(1-Project_Register!$R$18)*(Assumptions!F$96&gt;=Project_Register!$AN$18))</f>
        <v>0</v>
      </c>
      <c r="G512" s="58" t="n">
        <f aca="false">Project_Register!$U$18*G511*(1-Project_Register!$R$18*(Assumptions!G$96&gt;=Project_Register!$AK$18+1)-(1-Project_Register!$R$18)*(Assumptions!G$96&gt;=Project_Register!$AN$18))</f>
        <v>0</v>
      </c>
      <c r="H512" s="58" t="n">
        <f aca="false">Project_Register!$U$18*H511*(1-Project_Register!$R$18*(Assumptions!H$96&gt;=Project_Register!$AK$18+1)-(1-Project_Register!$R$18)*(Assumptions!H$96&gt;=Project_Register!$AN$18))</f>
        <v>0</v>
      </c>
      <c r="I512" s="58" t="n">
        <f aca="false">Project_Register!$U$18*I511*(1-Project_Register!$R$18*(Assumptions!I$96&gt;=Project_Register!$AK$18+1)-(1-Project_Register!$R$18)*(Assumptions!I$96&gt;=Project_Register!$AN$18))</f>
        <v>0</v>
      </c>
      <c r="J512" s="58" t="n">
        <f aca="false">Project_Register!$U$18*J511*(1-Project_Register!$R$18*(Assumptions!J$96&gt;=Project_Register!$AK$18+1)-(1-Project_Register!$R$18)*(Assumptions!J$96&gt;=Project_Register!$AN$18))</f>
        <v>0</v>
      </c>
      <c r="K512" s="58" t="n">
        <f aca="false">Project_Register!$U$18*K511*(1-Project_Register!$R$18*(Assumptions!K$96&gt;=Project_Register!$AK$18+1)-(1-Project_Register!$R$18)*(Assumptions!K$96&gt;=Project_Register!$AN$18))</f>
        <v>0</v>
      </c>
      <c r="L512" s="58" t="n">
        <f aca="false">Project_Register!$U$18*L511*(1-Project_Register!$R$18*(Assumptions!L$96&gt;=Project_Register!$AK$18+1)-(1-Project_Register!$R$18)*(Assumptions!L$96&gt;=Project_Register!$AN$18))</f>
        <v>0</v>
      </c>
      <c r="M512" s="58" t="n">
        <f aca="false">Project_Register!$U$18*M511*(1-Project_Register!$R$18*(Assumptions!M$96&gt;=Project_Register!$AK$18+1)-(1-Project_Register!$R$18)*(Assumptions!M$96&gt;=Project_Register!$AN$18))</f>
        <v>0</v>
      </c>
      <c r="N512" s="58" t="n">
        <f aca="false">Project_Register!$U$18*N511*(1-Project_Register!$R$18*(Assumptions!N$96&gt;=Project_Register!$AK$18+1)-(1-Project_Register!$R$18)*(Assumptions!N$96&gt;=Project_Register!$AN$18))</f>
        <v>0</v>
      </c>
      <c r="O512" s="58" t="n">
        <f aca="false">Project_Register!$U$18*O511*(1-Project_Register!$R$18*(Assumptions!O$96&gt;=Project_Register!$AK$18+1)-(1-Project_Register!$R$18)*(Assumptions!O$96&gt;=Project_Register!$AN$18))</f>
        <v>0</v>
      </c>
      <c r="P512" s="58" t="n">
        <f aca="false">Project_Register!$U$18*P511*(1-Project_Register!$R$18*(Assumptions!P$96&gt;=Project_Register!$AK$18+1)-(1-Project_Register!$R$18)*(Assumptions!P$96&gt;=Project_Register!$AN$18))</f>
        <v>0</v>
      </c>
      <c r="Q512" s="58" t="n">
        <f aca="false">Project_Register!$U$18*Q511*(1-Project_Register!$R$18*(Assumptions!Q$96&gt;=Project_Register!$AK$18+1)-(1-Project_Register!$R$18)*(Assumptions!Q$96&gt;=Project_Register!$AN$18))</f>
        <v>0</v>
      </c>
      <c r="R512" s="58" t="n">
        <f aca="false">Project_Register!$U$18*R511*(1-Project_Register!$R$18*(Assumptions!R$96&gt;=Project_Register!$AK$18+1)-(1-Project_Register!$R$18)*(Assumptions!R$96&gt;=Project_Register!$AN$18))</f>
        <v>0</v>
      </c>
      <c r="S512" s="58" t="n">
        <f aca="false">Project_Register!$U$18*S511*(1-Project_Register!$R$18*(Assumptions!S$96&gt;=Project_Register!$AK$18+1)-(1-Project_Register!$R$18)*(Assumptions!S$96&gt;=Project_Register!$AN$18))</f>
        <v>0</v>
      </c>
      <c r="T512" s="58" t="n">
        <f aca="false">Project_Register!$U$18*T511*(1-Project_Register!$R$18*(Assumptions!T$96&gt;=Project_Register!$AK$18+1)-(1-Project_Register!$R$18)*(Assumptions!T$96&gt;=Project_Register!$AN$18))</f>
        <v>0</v>
      </c>
      <c r="U512" s="58" t="n">
        <f aca="false">Project_Register!$U$18*U511*(1-Project_Register!$R$18*(Assumptions!U$96&gt;=Project_Register!$AK$18+1)-(1-Project_Register!$R$18)*(Assumptions!U$96&gt;=Project_Register!$AN$18))</f>
        <v>0</v>
      </c>
      <c r="V512" s="58" t="n">
        <f aca="false">Project_Register!$U$18*V511*(1-Project_Register!$R$18*(Assumptions!V$96&gt;=Project_Register!$AK$18+1)-(1-Project_Register!$R$18)*(Assumptions!V$96&gt;=Project_Register!$AN$18))</f>
        <v>0</v>
      </c>
      <c r="W512" s="58" t="n">
        <f aca="false">Project_Register!$U$18*W511*(1-Project_Register!$R$18*(Assumptions!W$96&gt;=Project_Register!$AK$18+1)-(1-Project_Register!$R$18)*(Assumptions!W$96&gt;=Project_Register!$AN$18))</f>
        <v>0</v>
      </c>
      <c r="X512" s="58" t="n">
        <f aca="false">Project_Register!$U$18*X511*(1-Project_Register!$R$18*(Assumptions!X$96&gt;=Project_Register!$AK$18+1)-(1-Project_Register!$R$18)*(Assumptions!X$96&gt;=Project_Register!$AN$18))</f>
        <v>0</v>
      </c>
      <c r="Y512" s="58" t="n">
        <f aca="false">Project_Register!$U$18*Y511*(1-Project_Register!$R$18*(Assumptions!Y$96&gt;=Project_Register!$AK$18+1)-(1-Project_Register!$R$18)*(Assumptions!Y$96&gt;=Project_Register!$AN$18))</f>
        <v>0</v>
      </c>
      <c r="Z512" s="58" t="n">
        <f aca="false">Project_Register!$U$18*Z511*(1-Project_Register!$R$18*(Assumptions!Z$96&gt;=Project_Register!$AK$18+1)-(1-Project_Register!$R$18)*(Assumptions!Z$96&gt;=Project_Register!$AN$18))</f>
        <v>902.34375</v>
      </c>
      <c r="AA512" s="58" t="n">
        <f aca="false">Project_Register!$U$18*AA511*(1-Project_Register!$R$18*(Assumptions!AA$96&gt;=Project_Register!$AK$18+1)-(1-Project_Register!$R$18)*(Assumptions!AA$96&gt;=Project_Register!$AN$18))</f>
        <v>3281.25</v>
      </c>
      <c r="AB512" s="58" t="n">
        <f aca="false">Project_Register!$U$18*AB511*(1-Project_Register!$R$18*(Assumptions!AB$96&gt;=Project_Register!$AK$18+1)-(1-Project_Register!$R$18)*(Assumptions!AB$96&gt;=Project_Register!$AN$18))</f>
        <v>6644.53125</v>
      </c>
    </row>
    <row r="513" customFormat="false" ht="15" hidden="false" customHeight="false" outlineLevel="0" collapsed="false">
      <c r="A513" s="27" t="s">
        <v>771</v>
      </c>
      <c r="B513" s="56"/>
      <c r="C513" s="57" t="n">
        <f aca="false">SUM(E513:P513)</f>
        <v>0</v>
      </c>
      <c r="D513" s="57" t="n">
        <f aca="false">SUM(Q513:AB513)</f>
        <v>6644.53125</v>
      </c>
      <c r="E513" s="58" t="n">
        <f aca="false">E512-Project_Register!$AX$18</f>
        <v>0</v>
      </c>
      <c r="F513" s="70" t="n">
        <f aca="false">F512-E512</f>
        <v>0</v>
      </c>
      <c r="G513" s="70" t="n">
        <f aca="false">G512-F512</f>
        <v>0</v>
      </c>
      <c r="H513" s="70" t="n">
        <f aca="false">H512-G512</f>
        <v>0</v>
      </c>
      <c r="I513" s="70" t="n">
        <f aca="false">I512-H512</f>
        <v>0</v>
      </c>
      <c r="J513" s="70" t="n">
        <f aca="false">J512-I512</f>
        <v>0</v>
      </c>
      <c r="K513" s="70" t="n">
        <f aca="false">K512-J512</f>
        <v>0</v>
      </c>
      <c r="L513" s="70" t="n">
        <f aca="false">L512-K512</f>
        <v>0</v>
      </c>
      <c r="M513" s="70" t="n">
        <f aca="false">M512-L512</f>
        <v>0</v>
      </c>
      <c r="N513" s="70" t="n">
        <f aca="false">N512-M512</f>
        <v>0</v>
      </c>
      <c r="O513" s="70" t="n">
        <f aca="false">O512-N512</f>
        <v>0</v>
      </c>
      <c r="P513" s="70" t="n">
        <f aca="false">P512-O512</f>
        <v>0</v>
      </c>
      <c r="Q513" s="70" t="n">
        <f aca="false">Q512-P512</f>
        <v>0</v>
      </c>
      <c r="R513" s="70" t="n">
        <f aca="false">R512-Q512</f>
        <v>0</v>
      </c>
      <c r="S513" s="70" t="n">
        <f aca="false">S512-R512</f>
        <v>0</v>
      </c>
      <c r="T513" s="70" t="n">
        <f aca="false">T512-S512</f>
        <v>0</v>
      </c>
      <c r="U513" s="70" t="n">
        <f aca="false">U512-T512</f>
        <v>0</v>
      </c>
      <c r="V513" s="70" t="n">
        <f aca="false">V512-U512</f>
        <v>0</v>
      </c>
      <c r="W513" s="70" t="n">
        <f aca="false">W512-V512</f>
        <v>0</v>
      </c>
      <c r="X513" s="70" t="n">
        <f aca="false">X512-W512</f>
        <v>0</v>
      </c>
      <c r="Y513" s="70" t="n">
        <f aca="false">Y512-X512</f>
        <v>0</v>
      </c>
      <c r="Z513" s="70" t="n">
        <f aca="false">Z512-Y512</f>
        <v>902.34375</v>
      </c>
      <c r="AA513" s="70" t="n">
        <f aca="false">AA512-Z512</f>
        <v>2378.90625</v>
      </c>
      <c r="AB513" s="70" t="n">
        <f aca="false">AB512-AA512</f>
        <v>3363.28125</v>
      </c>
    </row>
    <row r="514" customFormat="false" ht="15" hidden="false" customHeight="false" outlineLevel="0" collapsed="false">
      <c r="A514" s="27" t="s">
        <v>772</v>
      </c>
      <c r="B514" s="56" t="s">
        <v>773</v>
      </c>
      <c r="C514" s="57" t="n">
        <f aca="false">P514</f>
        <v>0</v>
      </c>
      <c r="D514" s="57" t="n">
        <f aca="false">AB514</f>
        <v>85200</v>
      </c>
      <c r="E514" s="58" t="n">
        <f aca="false">Project_Register!$V$18*Project_Register!$AO$18*(Assumptions!E$96&gt;=Project_Register!$AL$18)*(Assumptions!E$96&lt;=Project_Register!$AK$18)</f>
        <v>0</v>
      </c>
      <c r="F514" s="58" t="n">
        <f aca="false">Project_Register!$V$18*Project_Register!$AO$18*(Assumptions!F$96&gt;=Project_Register!$AL$18)*(Assumptions!F$96&lt;=Project_Register!$AK$18)</f>
        <v>0</v>
      </c>
      <c r="G514" s="58" t="n">
        <f aca="false">Project_Register!$V$18*Project_Register!$AO$18*(Assumptions!G$96&gt;=Project_Register!$AL$18)*(Assumptions!G$96&lt;=Project_Register!$AK$18)</f>
        <v>0</v>
      </c>
      <c r="H514" s="58" t="n">
        <f aca="false">Project_Register!$V$18*Project_Register!$AO$18*(Assumptions!H$96&gt;=Project_Register!$AL$18)*(Assumptions!H$96&lt;=Project_Register!$AK$18)</f>
        <v>0</v>
      </c>
      <c r="I514" s="58" t="n">
        <f aca="false">Project_Register!$V$18*Project_Register!$AO$18*(Assumptions!I$96&gt;=Project_Register!$AL$18)*(Assumptions!I$96&lt;=Project_Register!$AK$18)</f>
        <v>0</v>
      </c>
      <c r="J514" s="58" t="n">
        <f aca="false">Project_Register!$V$18*Project_Register!$AO$18*(Assumptions!J$96&gt;=Project_Register!$AL$18)*(Assumptions!J$96&lt;=Project_Register!$AK$18)</f>
        <v>0</v>
      </c>
      <c r="K514" s="58" t="n">
        <f aca="false">Project_Register!$V$18*Project_Register!$AO$18*(Assumptions!K$96&gt;=Project_Register!$AL$18)*(Assumptions!K$96&lt;=Project_Register!$AK$18)</f>
        <v>0</v>
      </c>
      <c r="L514" s="58" t="n">
        <f aca="false">Project_Register!$V$18*Project_Register!$AO$18*(Assumptions!L$96&gt;=Project_Register!$AL$18)*(Assumptions!L$96&lt;=Project_Register!$AK$18)</f>
        <v>0</v>
      </c>
      <c r="M514" s="58" t="n">
        <f aca="false">Project_Register!$V$18*Project_Register!$AO$18*(Assumptions!M$96&gt;=Project_Register!$AL$18)*(Assumptions!M$96&lt;=Project_Register!$AK$18)</f>
        <v>0</v>
      </c>
      <c r="N514" s="58" t="n">
        <f aca="false">Project_Register!$V$18*Project_Register!$AO$18*(Assumptions!N$96&gt;=Project_Register!$AL$18)*(Assumptions!N$96&lt;=Project_Register!$AK$18)</f>
        <v>0</v>
      </c>
      <c r="O514" s="58" t="n">
        <f aca="false">Project_Register!$V$18*Project_Register!$AO$18*(Assumptions!O$96&gt;=Project_Register!$AL$18)*(Assumptions!O$96&lt;=Project_Register!$AK$18)</f>
        <v>0</v>
      </c>
      <c r="P514" s="58" t="n">
        <f aca="false">Project_Register!$V$18*Project_Register!$AO$18*(Assumptions!P$96&gt;=Project_Register!$AL$18)*(Assumptions!P$96&lt;=Project_Register!$AK$18)</f>
        <v>0</v>
      </c>
      <c r="Q514" s="58" t="n">
        <f aca="false">Project_Register!$V$18*Project_Register!$AO$18*(Assumptions!Q$96&gt;=Project_Register!$AL$18)*(Assumptions!Q$96&lt;=Project_Register!$AK$18)</f>
        <v>0</v>
      </c>
      <c r="R514" s="58" t="n">
        <f aca="false">Project_Register!$V$18*Project_Register!$AO$18*(Assumptions!R$96&gt;=Project_Register!$AL$18)*(Assumptions!R$96&lt;=Project_Register!$AK$18)</f>
        <v>0</v>
      </c>
      <c r="S514" s="58" t="n">
        <f aca="false">Project_Register!$V$18*Project_Register!$AO$18*(Assumptions!S$96&gt;=Project_Register!$AL$18)*(Assumptions!S$96&lt;=Project_Register!$AK$18)</f>
        <v>0</v>
      </c>
      <c r="T514" s="58" t="n">
        <f aca="false">Project_Register!$V$18*Project_Register!$AO$18*(Assumptions!T$96&gt;=Project_Register!$AL$18)*(Assumptions!T$96&lt;=Project_Register!$AK$18)</f>
        <v>0</v>
      </c>
      <c r="U514" s="58" t="n">
        <f aca="false">Project_Register!$V$18*Project_Register!$AO$18*(Assumptions!U$96&gt;=Project_Register!$AL$18)*(Assumptions!U$96&lt;=Project_Register!$AK$18)</f>
        <v>0</v>
      </c>
      <c r="V514" s="58" t="n">
        <f aca="false">Project_Register!$V$18*Project_Register!$AO$18*(Assumptions!V$96&gt;=Project_Register!$AL$18)*(Assumptions!V$96&lt;=Project_Register!$AK$18)</f>
        <v>0</v>
      </c>
      <c r="W514" s="58" t="n">
        <f aca="false">Project_Register!$V$18*Project_Register!$AO$18*(Assumptions!W$96&gt;=Project_Register!$AL$18)*(Assumptions!W$96&lt;=Project_Register!$AK$18)</f>
        <v>0</v>
      </c>
      <c r="X514" s="58" t="n">
        <f aca="false">Project_Register!$V$18*Project_Register!$AO$18*(Assumptions!X$96&gt;=Project_Register!$AL$18)*(Assumptions!X$96&lt;=Project_Register!$AK$18)</f>
        <v>0</v>
      </c>
      <c r="Y514" s="58" t="n">
        <f aca="false">Project_Register!$V$18*Project_Register!$AO$18*(Assumptions!Y$96&gt;=Project_Register!$AL$18)*(Assumptions!Y$96&lt;=Project_Register!$AK$18)</f>
        <v>85200</v>
      </c>
      <c r="Z514" s="58" t="n">
        <f aca="false">Project_Register!$V$18*Project_Register!$AO$18*(Assumptions!Z$96&gt;=Project_Register!$AL$18)*(Assumptions!Z$96&lt;=Project_Register!$AK$18)</f>
        <v>85200</v>
      </c>
      <c r="AA514" s="58" t="n">
        <f aca="false">Project_Register!$V$18*Project_Register!$AO$18*(Assumptions!AA$96&gt;=Project_Register!$AL$18)*(Assumptions!AA$96&lt;=Project_Register!$AK$18)</f>
        <v>85200</v>
      </c>
      <c r="AB514" s="58" t="n">
        <f aca="false">Project_Register!$V$18*Project_Register!$AO$18*(Assumptions!AB$96&gt;=Project_Register!$AL$18)*(Assumptions!AB$96&lt;=Project_Register!$AK$18)</f>
        <v>85200</v>
      </c>
    </row>
    <row r="515" customFormat="false" ht="15" hidden="false" customHeight="false" outlineLevel="0" collapsed="false">
      <c r="A515" s="27" t="s">
        <v>774</v>
      </c>
      <c r="B515" s="56"/>
      <c r="C515" s="57" t="n">
        <f aca="false">P515</f>
        <v>852000</v>
      </c>
      <c r="D515" s="57" t="n">
        <f aca="false">AB515</f>
        <v>582421.875</v>
      </c>
      <c r="E515" s="58" t="n">
        <f aca="false">IF(OR(Project_Register!$E$18="Pipeline",Assumptions!E$96&gt;=Project_Register!$AL$18),MAX(0,E492-E493),0)</f>
        <v>852000</v>
      </c>
      <c r="F515" s="58" t="n">
        <f aca="false">IF(OR(Project_Register!$E$18="Pipeline",Assumptions!F$96&gt;=Project_Register!$AL$18),MAX(0,F492-F493),0)</f>
        <v>852000</v>
      </c>
      <c r="G515" s="58" t="n">
        <f aca="false">IF(OR(Project_Register!$E$18="Pipeline",Assumptions!G$96&gt;=Project_Register!$AL$18),MAX(0,G492-G493),0)</f>
        <v>852000</v>
      </c>
      <c r="H515" s="58" t="n">
        <f aca="false">IF(OR(Project_Register!$E$18="Pipeline",Assumptions!H$96&gt;=Project_Register!$AL$18),MAX(0,H492-H493),0)</f>
        <v>852000</v>
      </c>
      <c r="I515" s="58" t="n">
        <f aca="false">IF(OR(Project_Register!$E$18="Pipeline",Assumptions!I$96&gt;=Project_Register!$AL$18),MAX(0,I492-I493),0)</f>
        <v>852000</v>
      </c>
      <c r="J515" s="58" t="n">
        <f aca="false">IF(OR(Project_Register!$E$18="Pipeline",Assumptions!J$96&gt;=Project_Register!$AL$18),MAX(0,J492-J493),0)</f>
        <v>852000</v>
      </c>
      <c r="K515" s="58" t="n">
        <f aca="false">IF(OR(Project_Register!$E$18="Pipeline",Assumptions!K$96&gt;=Project_Register!$AL$18),MAX(0,K492-K493),0)</f>
        <v>852000</v>
      </c>
      <c r="L515" s="58" t="n">
        <f aca="false">IF(OR(Project_Register!$E$18="Pipeline",Assumptions!L$96&gt;=Project_Register!$AL$18),MAX(0,L492-L493),0)</f>
        <v>852000</v>
      </c>
      <c r="M515" s="58" t="n">
        <f aca="false">IF(OR(Project_Register!$E$18="Pipeline",Assumptions!M$96&gt;=Project_Register!$AL$18),MAX(0,M492-M493),0)</f>
        <v>852000</v>
      </c>
      <c r="N515" s="58" t="n">
        <f aca="false">IF(OR(Project_Register!$E$18="Pipeline",Assumptions!N$96&gt;=Project_Register!$AL$18),MAX(0,N492-N493),0)</f>
        <v>852000</v>
      </c>
      <c r="O515" s="58" t="n">
        <f aca="false">IF(OR(Project_Register!$E$18="Pipeline",Assumptions!O$96&gt;=Project_Register!$AL$18),MAX(0,O492-O493),0)</f>
        <v>852000</v>
      </c>
      <c r="P515" s="58" t="n">
        <f aca="false">IF(OR(Project_Register!$E$18="Pipeline",Assumptions!P$96&gt;=Project_Register!$AL$18),MAX(0,P492-P493),0)</f>
        <v>852000</v>
      </c>
      <c r="Q515" s="58" t="n">
        <f aca="false">IF(OR(Project_Register!$E$18="Pipeline",Assumptions!Q$96&gt;=Project_Register!$AL$18),MAX(0,Q492-Q493),0)</f>
        <v>852000</v>
      </c>
      <c r="R515" s="58" t="n">
        <f aca="false">IF(OR(Project_Register!$E$18="Pipeline",Assumptions!R$96&gt;=Project_Register!$AL$18),MAX(0,R492-R493),0)</f>
        <v>852000</v>
      </c>
      <c r="S515" s="58" t="n">
        <f aca="false">IF(OR(Project_Register!$E$18="Pipeline",Assumptions!S$96&gt;=Project_Register!$AL$18),MAX(0,S492-S493),0)</f>
        <v>852000</v>
      </c>
      <c r="T515" s="58" t="n">
        <f aca="false">IF(OR(Project_Register!$E$18="Pipeline",Assumptions!T$96&gt;=Project_Register!$AL$18),MAX(0,T492-T493),0)</f>
        <v>852000</v>
      </c>
      <c r="U515" s="58" t="n">
        <f aca="false">IF(OR(Project_Register!$E$18="Pipeline",Assumptions!U$96&gt;=Project_Register!$AL$18),MAX(0,U492-U493),0)</f>
        <v>852000</v>
      </c>
      <c r="V515" s="58" t="n">
        <f aca="false">IF(OR(Project_Register!$E$18="Pipeline",Assumptions!V$96&gt;=Project_Register!$AL$18),MAX(0,V492-V493),0)</f>
        <v>852000</v>
      </c>
      <c r="W515" s="58" t="n">
        <f aca="false">IF(OR(Project_Register!$E$18="Pipeline",Assumptions!W$96&gt;=Project_Register!$AL$18),MAX(0,W492-W493),0)</f>
        <v>852000</v>
      </c>
      <c r="X515" s="58" t="n">
        <f aca="false">IF(OR(Project_Register!$E$18="Pipeline",Assumptions!X$96&gt;=Project_Register!$AL$18),MAX(0,X492-X493),0)</f>
        <v>852000</v>
      </c>
      <c r="Y515" s="58" t="n">
        <f aca="false">IF(OR(Project_Register!$E$18="Pipeline",Assumptions!Y$96&gt;=Project_Register!$AL$18),MAX(0,Y492-Y493),0)</f>
        <v>852000</v>
      </c>
      <c r="Z515" s="58" t="n">
        <f aca="false">IF(OR(Project_Register!$E$18="Pipeline",Assumptions!Z$96&gt;=Project_Register!$AL$18),MAX(0,Z492-Z493),0)</f>
        <v>815390.625</v>
      </c>
      <c r="AA515" s="58" t="n">
        <f aca="false">IF(OR(Project_Register!$E$18="Pipeline",Assumptions!AA$96&gt;=Project_Register!$AL$18),MAX(0,AA492-AA493),0)</f>
        <v>718875</v>
      </c>
      <c r="AB515" s="58" t="n">
        <f aca="false">IF(OR(Project_Register!$E$18="Pipeline",Assumptions!AB$96&gt;=Project_Register!$AL$18),MAX(0,AB492-AB493),0)</f>
        <v>582421.875</v>
      </c>
    </row>
    <row r="516" customFormat="false" ht="15" hidden="false" customHeight="false" outlineLevel="0" collapsed="false">
      <c r="A516" s="27" t="s">
        <v>775</v>
      </c>
      <c r="B516" s="56"/>
      <c r="C516" s="57" t="n">
        <f aca="false">SUM(E516:P516)</f>
        <v>0</v>
      </c>
      <c r="D516" s="57" t="n">
        <f aca="false">SUM(Q516:AB516)</f>
        <v>852000</v>
      </c>
      <c r="E516" s="58" t="n">
        <f aca="false">IF(Assumptions!E$96=Project_Register!$AL$18,Project_Register!$AO$18,0)</f>
        <v>0</v>
      </c>
      <c r="F516" s="58" t="n">
        <f aca="false">IF(Assumptions!F$96=Project_Register!$AL$18,Project_Register!$AO$18,0)</f>
        <v>0</v>
      </c>
      <c r="G516" s="58" t="n">
        <f aca="false">IF(Assumptions!G$96=Project_Register!$AL$18,Project_Register!$AO$18,0)</f>
        <v>0</v>
      </c>
      <c r="H516" s="58" t="n">
        <f aca="false">IF(Assumptions!H$96=Project_Register!$AL$18,Project_Register!$AO$18,0)</f>
        <v>0</v>
      </c>
      <c r="I516" s="58" t="n">
        <f aca="false">IF(Assumptions!I$96=Project_Register!$AL$18,Project_Register!$AO$18,0)</f>
        <v>0</v>
      </c>
      <c r="J516" s="58" t="n">
        <f aca="false">IF(Assumptions!J$96=Project_Register!$AL$18,Project_Register!$AO$18,0)</f>
        <v>0</v>
      </c>
      <c r="K516" s="58" t="n">
        <f aca="false">IF(Assumptions!K$96=Project_Register!$AL$18,Project_Register!$AO$18,0)</f>
        <v>0</v>
      </c>
      <c r="L516" s="58" t="n">
        <f aca="false">IF(Assumptions!L$96=Project_Register!$AL$18,Project_Register!$AO$18,0)</f>
        <v>0</v>
      </c>
      <c r="M516" s="58" t="n">
        <f aca="false">IF(Assumptions!M$96=Project_Register!$AL$18,Project_Register!$AO$18,0)</f>
        <v>0</v>
      </c>
      <c r="N516" s="58" t="n">
        <f aca="false">IF(Assumptions!N$96=Project_Register!$AL$18,Project_Register!$AO$18,0)</f>
        <v>0</v>
      </c>
      <c r="O516" s="58" t="n">
        <f aca="false">IF(Assumptions!O$96=Project_Register!$AL$18,Project_Register!$AO$18,0)</f>
        <v>0</v>
      </c>
      <c r="P516" s="58" t="n">
        <f aca="false">IF(Assumptions!P$96=Project_Register!$AL$18,Project_Register!$AO$18,0)</f>
        <v>0</v>
      </c>
      <c r="Q516" s="58" t="n">
        <f aca="false">IF(Assumptions!Q$96=Project_Register!$AL$18,Project_Register!$AO$18,0)</f>
        <v>0</v>
      </c>
      <c r="R516" s="58" t="n">
        <f aca="false">IF(Assumptions!R$96=Project_Register!$AL$18,Project_Register!$AO$18,0)</f>
        <v>0</v>
      </c>
      <c r="S516" s="58" t="n">
        <f aca="false">IF(Assumptions!S$96=Project_Register!$AL$18,Project_Register!$AO$18,0)</f>
        <v>0</v>
      </c>
      <c r="T516" s="58" t="n">
        <f aca="false">IF(Assumptions!T$96=Project_Register!$AL$18,Project_Register!$AO$18,0)</f>
        <v>0</v>
      </c>
      <c r="U516" s="58" t="n">
        <f aca="false">IF(Assumptions!U$96=Project_Register!$AL$18,Project_Register!$AO$18,0)</f>
        <v>0</v>
      </c>
      <c r="V516" s="58" t="n">
        <f aca="false">IF(Assumptions!V$96=Project_Register!$AL$18,Project_Register!$AO$18,0)</f>
        <v>0</v>
      </c>
      <c r="W516" s="58" t="n">
        <f aca="false">IF(Assumptions!W$96=Project_Register!$AL$18,Project_Register!$AO$18,0)</f>
        <v>0</v>
      </c>
      <c r="X516" s="58" t="n">
        <f aca="false">IF(Assumptions!X$96=Project_Register!$AL$18,Project_Register!$AO$18,0)</f>
        <v>0</v>
      </c>
      <c r="Y516" s="58" t="n">
        <f aca="false">IF(Assumptions!Y$96=Project_Register!$AL$18,Project_Register!$AO$18,0)</f>
        <v>852000</v>
      </c>
      <c r="Z516" s="58" t="n">
        <f aca="false">IF(Assumptions!Z$96=Project_Register!$AL$18,Project_Register!$AO$18,0)</f>
        <v>0</v>
      </c>
      <c r="AA516" s="58" t="n">
        <f aca="false">IF(Assumptions!AA$96=Project_Register!$AL$18,Project_Register!$AO$18,0)</f>
        <v>0</v>
      </c>
      <c r="AB516" s="58" t="n">
        <f aca="false">IF(Assumptions!AB$96=Project_Register!$AL$18,Project_Register!$AO$18,0)</f>
        <v>0</v>
      </c>
    </row>
    <row r="518" customFormat="false" ht="15" hidden="false" customHeight="false" outlineLevel="0" collapsed="false">
      <c r="A518" s="21" t="s">
        <v>789</v>
      </c>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row>
    <row r="519" customFormat="false" ht="15" hidden="false" customHeight="false" outlineLevel="0" collapsed="false">
      <c r="A519" s="27" t="s">
        <v>716</v>
      </c>
      <c r="B519" s="56" t="s">
        <v>717</v>
      </c>
      <c r="E519" s="104" t="n">
        <f aca="false">MIN(1,MAX(0,(Assumptions!E$96-Project_Register!$AJ$19+1)/(Project_Register!$AK$19-Project_Register!$AJ$19+1)))</f>
        <v>0</v>
      </c>
      <c r="F519" s="104" t="n">
        <f aca="false">MIN(1,MAX(0,(Assumptions!F$96-Project_Register!$AJ$19+1)/(Project_Register!$AK$19-Project_Register!$AJ$19+1)))</f>
        <v>0</v>
      </c>
      <c r="G519" s="104" t="n">
        <f aca="false">MIN(1,MAX(0,(Assumptions!G$96-Project_Register!$AJ$19+1)/(Project_Register!$AK$19-Project_Register!$AJ$19+1)))</f>
        <v>0</v>
      </c>
      <c r="H519" s="104" t="n">
        <f aca="false">MIN(1,MAX(0,(Assumptions!H$96-Project_Register!$AJ$19+1)/(Project_Register!$AK$19-Project_Register!$AJ$19+1)))</f>
        <v>0</v>
      </c>
      <c r="I519" s="104" t="n">
        <f aca="false">MIN(1,MAX(0,(Assumptions!I$96-Project_Register!$AJ$19+1)/(Project_Register!$AK$19-Project_Register!$AJ$19+1)))</f>
        <v>0</v>
      </c>
      <c r="J519" s="104" t="n">
        <f aca="false">MIN(1,MAX(0,(Assumptions!J$96-Project_Register!$AJ$19+1)/(Project_Register!$AK$19-Project_Register!$AJ$19+1)))</f>
        <v>0</v>
      </c>
      <c r="K519" s="104" t="n">
        <f aca="false">MIN(1,MAX(0,(Assumptions!K$96-Project_Register!$AJ$19+1)/(Project_Register!$AK$19-Project_Register!$AJ$19+1)))</f>
        <v>0</v>
      </c>
      <c r="L519" s="104" t="n">
        <f aca="false">MIN(1,MAX(0,(Assumptions!L$96-Project_Register!$AJ$19+1)/(Project_Register!$AK$19-Project_Register!$AJ$19+1)))</f>
        <v>0</v>
      </c>
      <c r="M519" s="104" t="n">
        <f aca="false">MIN(1,MAX(0,(Assumptions!M$96-Project_Register!$AJ$19+1)/(Project_Register!$AK$19-Project_Register!$AJ$19+1)))</f>
        <v>0</v>
      </c>
      <c r="N519" s="104" t="n">
        <f aca="false">MIN(1,MAX(0,(Assumptions!N$96-Project_Register!$AJ$19+1)/(Project_Register!$AK$19-Project_Register!$AJ$19+1)))</f>
        <v>0</v>
      </c>
      <c r="O519" s="104" t="n">
        <f aca="false">MIN(1,MAX(0,(Assumptions!O$96-Project_Register!$AJ$19+1)/(Project_Register!$AK$19-Project_Register!$AJ$19+1)))</f>
        <v>0</v>
      </c>
      <c r="P519" s="104" t="n">
        <f aca="false">MIN(1,MAX(0,(Assumptions!P$96-Project_Register!$AJ$19+1)/(Project_Register!$AK$19-Project_Register!$AJ$19+1)))</f>
        <v>0</v>
      </c>
      <c r="Q519" s="104" t="n">
        <f aca="false">MIN(1,MAX(0,(Assumptions!Q$96-Project_Register!$AJ$19+1)/(Project_Register!$AK$19-Project_Register!$AJ$19+1)))</f>
        <v>0</v>
      </c>
      <c r="R519" s="104" t="n">
        <f aca="false">MIN(1,MAX(0,(Assumptions!R$96-Project_Register!$AJ$19+1)/(Project_Register!$AK$19-Project_Register!$AJ$19+1)))</f>
        <v>0</v>
      </c>
      <c r="S519" s="104" t="n">
        <f aca="false">MIN(1,MAX(0,(Assumptions!S$96-Project_Register!$AJ$19+1)/(Project_Register!$AK$19-Project_Register!$AJ$19+1)))</f>
        <v>0</v>
      </c>
      <c r="T519" s="104" t="n">
        <f aca="false">MIN(1,MAX(0,(Assumptions!T$96-Project_Register!$AJ$19+1)/(Project_Register!$AK$19-Project_Register!$AJ$19+1)))</f>
        <v>0</v>
      </c>
      <c r="U519" s="104" t="n">
        <f aca="false">MIN(1,MAX(0,(Assumptions!U$96-Project_Register!$AJ$19+1)/(Project_Register!$AK$19-Project_Register!$AJ$19+1)))</f>
        <v>0</v>
      </c>
      <c r="V519" s="104" t="n">
        <f aca="false">MIN(1,MAX(0,(Assumptions!V$96-Project_Register!$AJ$19+1)/(Project_Register!$AK$19-Project_Register!$AJ$19+1)))</f>
        <v>0.2</v>
      </c>
      <c r="W519" s="104" t="n">
        <f aca="false">MIN(1,MAX(0,(Assumptions!W$96-Project_Register!$AJ$19+1)/(Project_Register!$AK$19-Project_Register!$AJ$19+1)))</f>
        <v>0.4</v>
      </c>
      <c r="X519" s="104" t="n">
        <f aca="false">MIN(1,MAX(0,(Assumptions!X$96-Project_Register!$AJ$19+1)/(Project_Register!$AK$19-Project_Register!$AJ$19+1)))</f>
        <v>0.6</v>
      </c>
      <c r="Y519" s="104" t="n">
        <f aca="false">MIN(1,MAX(0,(Assumptions!Y$96-Project_Register!$AJ$19+1)/(Project_Register!$AK$19-Project_Register!$AJ$19+1)))</f>
        <v>0.8</v>
      </c>
      <c r="Z519" s="104" t="n">
        <f aca="false">MIN(1,MAX(0,(Assumptions!Z$96-Project_Register!$AJ$19+1)/(Project_Register!$AK$19-Project_Register!$AJ$19+1)))</f>
        <v>1</v>
      </c>
      <c r="AA519" s="104" t="n">
        <f aca="false">MIN(1,MAX(0,(Assumptions!AA$96-Project_Register!$AJ$19+1)/(Project_Register!$AK$19-Project_Register!$AJ$19+1)))</f>
        <v>1</v>
      </c>
      <c r="AB519" s="104" t="n">
        <f aca="false">MIN(1,MAX(0,(Assumptions!AB$96-Project_Register!$AJ$19+1)/(Project_Register!$AK$19-Project_Register!$AJ$19+1)))</f>
        <v>1</v>
      </c>
    </row>
    <row r="520" customFormat="false" ht="15" hidden="false" customHeight="false" outlineLevel="0" collapsed="false">
      <c r="A520" s="27" t="s">
        <v>718</v>
      </c>
      <c r="B520" s="56" t="s">
        <v>719</v>
      </c>
      <c r="E520" s="105" t="n">
        <f aca="false">3*E519^2-2*E519^3</f>
        <v>0</v>
      </c>
      <c r="F520" s="105" t="n">
        <f aca="false">3*F519^2-2*F519^3</f>
        <v>0</v>
      </c>
      <c r="G520" s="105" t="n">
        <f aca="false">3*G519^2-2*G519^3</f>
        <v>0</v>
      </c>
      <c r="H520" s="105" t="n">
        <f aca="false">3*H519^2-2*H519^3</f>
        <v>0</v>
      </c>
      <c r="I520" s="105" t="n">
        <f aca="false">3*I519^2-2*I519^3</f>
        <v>0</v>
      </c>
      <c r="J520" s="105" t="n">
        <f aca="false">3*J519^2-2*J519^3</f>
        <v>0</v>
      </c>
      <c r="K520" s="105" t="n">
        <f aca="false">3*K519^2-2*K519^3</f>
        <v>0</v>
      </c>
      <c r="L520" s="105" t="n">
        <f aca="false">3*L519^2-2*L519^3</f>
        <v>0</v>
      </c>
      <c r="M520" s="105" t="n">
        <f aca="false">3*M519^2-2*M519^3</f>
        <v>0</v>
      </c>
      <c r="N520" s="105" t="n">
        <f aca="false">3*N519^2-2*N519^3</f>
        <v>0</v>
      </c>
      <c r="O520" s="105" t="n">
        <f aca="false">3*O519^2-2*O519^3</f>
        <v>0</v>
      </c>
      <c r="P520" s="105" t="n">
        <f aca="false">3*P519^2-2*P519^3</f>
        <v>0</v>
      </c>
      <c r="Q520" s="105" t="n">
        <f aca="false">3*Q519^2-2*Q519^3</f>
        <v>0</v>
      </c>
      <c r="R520" s="105" t="n">
        <f aca="false">3*R519^2-2*R519^3</f>
        <v>0</v>
      </c>
      <c r="S520" s="105" t="n">
        <f aca="false">3*S519^2-2*S519^3</f>
        <v>0</v>
      </c>
      <c r="T520" s="105" t="n">
        <f aca="false">3*T519^2-2*T519^3</f>
        <v>0</v>
      </c>
      <c r="U520" s="105" t="n">
        <f aca="false">3*U519^2-2*U519^3</f>
        <v>0</v>
      </c>
      <c r="V520" s="105" t="n">
        <f aca="false">3*V519^2-2*V519^3</f>
        <v>0.104</v>
      </c>
      <c r="W520" s="105" t="n">
        <f aca="false">3*W519^2-2*W519^3</f>
        <v>0.352</v>
      </c>
      <c r="X520" s="105" t="n">
        <f aca="false">3*X519^2-2*X519^3</f>
        <v>0.648</v>
      </c>
      <c r="Y520" s="105" t="n">
        <f aca="false">3*Y519^2-2*Y519^3</f>
        <v>0.896</v>
      </c>
      <c r="Z520" s="105" t="n">
        <f aca="false">3*Z519^2-2*Z519^3</f>
        <v>1</v>
      </c>
      <c r="AA520" s="105" t="n">
        <f aca="false">3*AA519^2-2*AA519^3</f>
        <v>1</v>
      </c>
      <c r="AB520" s="105" t="n">
        <f aca="false">3*AB519^2-2*AB519^3</f>
        <v>1</v>
      </c>
    </row>
    <row r="521" customFormat="false" ht="15" hidden="false" customHeight="false" outlineLevel="0" collapsed="false">
      <c r="A521" s="27" t="s">
        <v>720</v>
      </c>
      <c r="B521" s="56"/>
      <c r="E521" s="104" t="n">
        <f aca="false">3*MIN(1,MAX(0,(Assumptions!E$96-Project_Register!$AJ$19)/(Project_Register!$AK$19-Project_Register!$AJ$19+1)))^2-2*MIN(1,MAX(0,(Assumptions!E$96-Project_Register!$AJ$19)/(Project_Register!$AK$19-Project_Register!$AJ$19+1)))^3</f>
        <v>0</v>
      </c>
      <c r="F521" s="104" t="n">
        <f aca="false">3*MIN(1,MAX(0,(Assumptions!F$96-Project_Register!$AJ$19)/(Project_Register!$AK$19-Project_Register!$AJ$19+1)))^2-2*MIN(1,MAX(0,(Assumptions!F$96-Project_Register!$AJ$19)/(Project_Register!$AK$19-Project_Register!$AJ$19+1)))^3</f>
        <v>0</v>
      </c>
      <c r="G521" s="104" t="n">
        <f aca="false">3*MIN(1,MAX(0,(Assumptions!G$96-Project_Register!$AJ$19)/(Project_Register!$AK$19-Project_Register!$AJ$19+1)))^2-2*MIN(1,MAX(0,(Assumptions!G$96-Project_Register!$AJ$19)/(Project_Register!$AK$19-Project_Register!$AJ$19+1)))^3</f>
        <v>0</v>
      </c>
      <c r="H521" s="104" t="n">
        <f aca="false">3*MIN(1,MAX(0,(Assumptions!H$96-Project_Register!$AJ$19)/(Project_Register!$AK$19-Project_Register!$AJ$19+1)))^2-2*MIN(1,MAX(0,(Assumptions!H$96-Project_Register!$AJ$19)/(Project_Register!$AK$19-Project_Register!$AJ$19+1)))^3</f>
        <v>0</v>
      </c>
      <c r="I521" s="104" t="n">
        <f aca="false">3*MIN(1,MAX(0,(Assumptions!I$96-Project_Register!$AJ$19)/(Project_Register!$AK$19-Project_Register!$AJ$19+1)))^2-2*MIN(1,MAX(0,(Assumptions!I$96-Project_Register!$AJ$19)/(Project_Register!$AK$19-Project_Register!$AJ$19+1)))^3</f>
        <v>0</v>
      </c>
      <c r="J521" s="104" t="n">
        <f aca="false">3*MIN(1,MAX(0,(Assumptions!J$96-Project_Register!$AJ$19)/(Project_Register!$AK$19-Project_Register!$AJ$19+1)))^2-2*MIN(1,MAX(0,(Assumptions!J$96-Project_Register!$AJ$19)/(Project_Register!$AK$19-Project_Register!$AJ$19+1)))^3</f>
        <v>0</v>
      </c>
      <c r="K521" s="104" t="n">
        <f aca="false">3*MIN(1,MAX(0,(Assumptions!K$96-Project_Register!$AJ$19)/(Project_Register!$AK$19-Project_Register!$AJ$19+1)))^2-2*MIN(1,MAX(0,(Assumptions!K$96-Project_Register!$AJ$19)/(Project_Register!$AK$19-Project_Register!$AJ$19+1)))^3</f>
        <v>0</v>
      </c>
      <c r="L521" s="104" t="n">
        <f aca="false">3*MIN(1,MAX(0,(Assumptions!L$96-Project_Register!$AJ$19)/(Project_Register!$AK$19-Project_Register!$AJ$19+1)))^2-2*MIN(1,MAX(0,(Assumptions!L$96-Project_Register!$AJ$19)/(Project_Register!$AK$19-Project_Register!$AJ$19+1)))^3</f>
        <v>0</v>
      </c>
      <c r="M521" s="104" t="n">
        <f aca="false">3*MIN(1,MAX(0,(Assumptions!M$96-Project_Register!$AJ$19)/(Project_Register!$AK$19-Project_Register!$AJ$19+1)))^2-2*MIN(1,MAX(0,(Assumptions!M$96-Project_Register!$AJ$19)/(Project_Register!$AK$19-Project_Register!$AJ$19+1)))^3</f>
        <v>0</v>
      </c>
      <c r="N521" s="104" t="n">
        <f aca="false">3*MIN(1,MAX(0,(Assumptions!N$96-Project_Register!$AJ$19)/(Project_Register!$AK$19-Project_Register!$AJ$19+1)))^2-2*MIN(1,MAX(0,(Assumptions!N$96-Project_Register!$AJ$19)/(Project_Register!$AK$19-Project_Register!$AJ$19+1)))^3</f>
        <v>0</v>
      </c>
      <c r="O521" s="104" t="n">
        <f aca="false">3*MIN(1,MAX(0,(Assumptions!O$96-Project_Register!$AJ$19)/(Project_Register!$AK$19-Project_Register!$AJ$19+1)))^2-2*MIN(1,MAX(0,(Assumptions!O$96-Project_Register!$AJ$19)/(Project_Register!$AK$19-Project_Register!$AJ$19+1)))^3</f>
        <v>0</v>
      </c>
      <c r="P521" s="104" t="n">
        <f aca="false">3*MIN(1,MAX(0,(Assumptions!P$96-Project_Register!$AJ$19)/(Project_Register!$AK$19-Project_Register!$AJ$19+1)))^2-2*MIN(1,MAX(0,(Assumptions!P$96-Project_Register!$AJ$19)/(Project_Register!$AK$19-Project_Register!$AJ$19+1)))^3</f>
        <v>0</v>
      </c>
      <c r="Q521" s="104" t="n">
        <f aca="false">3*MIN(1,MAX(0,(Assumptions!Q$96-Project_Register!$AJ$19)/(Project_Register!$AK$19-Project_Register!$AJ$19+1)))^2-2*MIN(1,MAX(0,(Assumptions!Q$96-Project_Register!$AJ$19)/(Project_Register!$AK$19-Project_Register!$AJ$19+1)))^3</f>
        <v>0</v>
      </c>
      <c r="R521" s="104" t="n">
        <f aca="false">3*MIN(1,MAX(0,(Assumptions!R$96-Project_Register!$AJ$19)/(Project_Register!$AK$19-Project_Register!$AJ$19+1)))^2-2*MIN(1,MAX(0,(Assumptions!R$96-Project_Register!$AJ$19)/(Project_Register!$AK$19-Project_Register!$AJ$19+1)))^3</f>
        <v>0</v>
      </c>
      <c r="S521" s="104" t="n">
        <f aca="false">3*MIN(1,MAX(0,(Assumptions!S$96-Project_Register!$AJ$19)/(Project_Register!$AK$19-Project_Register!$AJ$19+1)))^2-2*MIN(1,MAX(0,(Assumptions!S$96-Project_Register!$AJ$19)/(Project_Register!$AK$19-Project_Register!$AJ$19+1)))^3</f>
        <v>0</v>
      </c>
      <c r="T521" s="104" t="n">
        <f aca="false">3*MIN(1,MAX(0,(Assumptions!T$96-Project_Register!$AJ$19)/(Project_Register!$AK$19-Project_Register!$AJ$19+1)))^2-2*MIN(1,MAX(0,(Assumptions!T$96-Project_Register!$AJ$19)/(Project_Register!$AK$19-Project_Register!$AJ$19+1)))^3</f>
        <v>0</v>
      </c>
      <c r="U521" s="104" t="n">
        <f aca="false">3*MIN(1,MAX(0,(Assumptions!U$96-Project_Register!$AJ$19)/(Project_Register!$AK$19-Project_Register!$AJ$19+1)))^2-2*MIN(1,MAX(0,(Assumptions!U$96-Project_Register!$AJ$19)/(Project_Register!$AK$19-Project_Register!$AJ$19+1)))^3</f>
        <v>0</v>
      </c>
      <c r="V521" s="104" t="n">
        <f aca="false">3*MIN(1,MAX(0,(Assumptions!V$96-Project_Register!$AJ$19)/(Project_Register!$AK$19-Project_Register!$AJ$19+1)))^2-2*MIN(1,MAX(0,(Assumptions!V$96-Project_Register!$AJ$19)/(Project_Register!$AK$19-Project_Register!$AJ$19+1)))^3</f>
        <v>0</v>
      </c>
      <c r="W521" s="104" t="n">
        <f aca="false">3*MIN(1,MAX(0,(Assumptions!W$96-Project_Register!$AJ$19)/(Project_Register!$AK$19-Project_Register!$AJ$19+1)))^2-2*MIN(1,MAX(0,(Assumptions!W$96-Project_Register!$AJ$19)/(Project_Register!$AK$19-Project_Register!$AJ$19+1)))^3</f>
        <v>0.104</v>
      </c>
      <c r="X521" s="104" t="n">
        <f aca="false">3*MIN(1,MAX(0,(Assumptions!X$96-Project_Register!$AJ$19)/(Project_Register!$AK$19-Project_Register!$AJ$19+1)))^2-2*MIN(1,MAX(0,(Assumptions!X$96-Project_Register!$AJ$19)/(Project_Register!$AK$19-Project_Register!$AJ$19+1)))^3</f>
        <v>0.352</v>
      </c>
      <c r="Y521" s="104" t="n">
        <f aca="false">3*MIN(1,MAX(0,(Assumptions!Y$96-Project_Register!$AJ$19)/(Project_Register!$AK$19-Project_Register!$AJ$19+1)))^2-2*MIN(1,MAX(0,(Assumptions!Y$96-Project_Register!$AJ$19)/(Project_Register!$AK$19-Project_Register!$AJ$19+1)))^3</f>
        <v>0.648</v>
      </c>
      <c r="Z521" s="104" t="n">
        <f aca="false">3*MIN(1,MAX(0,(Assumptions!Z$96-Project_Register!$AJ$19)/(Project_Register!$AK$19-Project_Register!$AJ$19+1)))^2-2*MIN(1,MAX(0,(Assumptions!Z$96-Project_Register!$AJ$19)/(Project_Register!$AK$19-Project_Register!$AJ$19+1)))^3</f>
        <v>0.896</v>
      </c>
      <c r="AA521" s="104" t="n">
        <f aca="false">3*MIN(1,MAX(0,(Assumptions!AA$96-Project_Register!$AJ$19)/(Project_Register!$AK$19-Project_Register!$AJ$19+1)))^2-2*MIN(1,MAX(0,(Assumptions!AA$96-Project_Register!$AJ$19)/(Project_Register!$AK$19-Project_Register!$AJ$19+1)))^3</f>
        <v>1</v>
      </c>
      <c r="AB521" s="104" t="n">
        <f aca="false">3*MIN(1,MAX(0,(Assumptions!AB$96-Project_Register!$AJ$19)/(Project_Register!$AK$19-Project_Register!$AJ$19+1)))^2-2*MIN(1,MAX(0,(Assumptions!AB$96-Project_Register!$AJ$19)/(Project_Register!$AK$19-Project_Register!$AJ$19+1)))^3</f>
        <v>1</v>
      </c>
    </row>
    <row r="522" customFormat="false" ht="15" hidden="false" customHeight="false" outlineLevel="0" collapsed="false">
      <c r="A522" s="27" t="s">
        <v>721</v>
      </c>
      <c r="B522" s="56" t="s">
        <v>722</v>
      </c>
      <c r="C522" s="57" t="n">
        <f aca="false">SUM(E522:P522)</f>
        <v>0</v>
      </c>
      <c r="D522" s="57" t="n">
        <f aca="false">SUM(Q522:AB522)</f>
        <v>24880</v>
      </c>
      <c r="E522" s="58" t="n">
        <f aca="false">IF(E$5="A",0,IF((Project_Register!$AT$19-Project_Register!$AQ$19)&lt;=0,0,IF(1-Project_Register!$AV$19&lt;=0.000001,IF(Assumptions!E$96=Assumptions!$C$10+1,(Project_Register!$AT$19-Project_Register!$AQ$19),0),(Project_Register!$AT$19-Project_Register!$AQ$19)*(E520-E521)/(1-Project_Register!$AV$19)))*Project_Register!$X$19)</f>
        <v>0</v>
      </c>
      <c r="F522" s="58" t="n">
        <f aca="false">IF(F$5="A",0,IF((Project_Register!$AT$19-Project_Register!$AQ$19)&lt;=0,0,IF(1-Project_Register!$AV$19&lt;=0.000001,IF(Assumptions!F$96=Assumptions!$C$10+1,(Project_Register!$AT$19-Project_Register!$AQ$19),0),(Project_Register!$AT$19-Project_Register!$AQ$19)*(F520-F521)/(1-Project_Register!$AV$19)))*Project_Register!$X$19)</f>
        <v>0</v>
      </c>
      <c r="G522" s="58" t="n">
        <f aca="false">IF(G$5="A",0,IF((Project_Register!$AT$19-Project_Register!$AQ$19)&lt;=0,0,IF(1-Project_Register!$AV$19&lt;=0.000001,IF(Assumptions!G$96=Assumptions!$C$10+1,(Project_Register!$AT$19-Project_Register!$AQ$19),0),(Project_Register!$AT$19-Project_Register!$AQ$19)*(G520-G521)/(1-Project_Register!$AV$19)))*Project_Register!$X$19)</f>
        <v>0</v>
      </c>
      <c r="H522" s="58" t="n">
        <f aca="false">IF(H$5="A",0,IF((Project_Register!$AT$19-Project_Register!$AQ$19)&lt;=0,0,IF(1-Project_Register!$AV$19&lt;=0.000001,IF(Assumptions!H$96=Assumptions!$C$10+1,(Project_Register!$AT$19-Project_Register!$AQ$19),0),(Project_Register!$AT$19-Project_Register!$AQ$19)*(H520-H521)/(1-Project_Register!$AV$19)))*Project_Register!$X$19)</f>
        <v>0</v>
      </c>
      <c r="I522" s="58" t="n">
        <f aca="false">IF(I$5="A",0,IF((Project_Register!$AT$19-Project_Register!$AQ$19)&lt;=0,0,IF(1-Project_Register!$AV$19&lt;=0.000001,IF(Assumptions!I$96=Assumptions!$C$10+1,(Project_Register!$AT$19-Project_Register!$AQ$19),0),(Project_Register!$AT$19-Project_Register!$AQ$19)*(I520-I521)/(1-Project_Register!$AV$19)))*Project_Register!$X$19)</f>
        <v>0</v>
      </c>
      <c r="J522" s="58" t="n">
        <f aca="false">IF(J$5="A",0,IF((Project_Register!$AT$19-Project_Register!$AQ$19)&lt;=0,0,IF(1-Project_Register!$AV$19&lt;=0.000001,IF(Assumptions!J$96=Assumptions!$C$10+1,(Project_Register!$AT$19-Project_Register!$AQ$19),0),(Project_Register!$AT$19-Project_Register!$AQ$19)*(J520-J521)/(1-Project_Register!$AV$19)))*Project_Register!$X$19)</f>
        <v>0</v>
      </c>
      <c r="K522" s="58" t="n">
        <f aca="false">IF(K$5="A",0,IF((Project_Register!$AT$19-Project_Register!$AQ$19)&lt;=0,0,IF(1-Project_Register!$AV$19&lt;=0.000001,IF(Assumptions!K$96=Assumptions!$C$10+1,(Project_Register!$AT$19-Project_Register!$AQ$19),0),(Project_Register!$AT$19-Project_Register!$AQ$19)*(K520-K521)/(1-Project_Register!$AV$19)))*Project_Register!$X$19)</f>
        <v>0</v>
      </c>
      <c r="L522" s="58" t="n">
        <f aca="false">IF(L$5="A",0,IF((Project_Register!$AT$19-Project_Register!$AQ$19)&lt;=0,0,IF(1-Project_Register!$AV$19&lt;=0.000001,IF(Assumptions!L$96=Assumptions!$C$10+1,(Project_Register!$AT$19-Project_Register!$AQ$19),0),(Project_Register!$AT$19-Project_Register!$AQ$19)*(L520-L521)/(1-Project_Register!$AV$19)))*Project_Register!$X$19)</f>
        <v>0</v>
      </c>
      <c r="M522" s="58" t="n">
        <f aca="false">IF(M$5="A",0,IF((Project_Register!$AT$19-Project_Register!$AQ$19)&lt;=0,0,IF(1-Project_Register!$AV$19&lt;=0.000001,IF(Assumptions!M$96=Assumptions!$C$10+1,(Project_Register!$AT$19-Project_Register!$AQ$19),0),(Project_Register!$AT$19-Project_Register!$AQ$19)*(M520-M521)/(1-Project_Register!$AV$19)))*Project_Register!$X$19)</f>
        <v>0</v>
      </c>
      <c r="N522" s="58" t="n">
        <f aca="false">IF(N$5="A",0,IF((Project_Register!$AT$19-Project_Register!$AQ$19)&lt;=0,0,IF(1-Project_Register!$AV$19&lt;=0.000001,IF(Assumptions!N$96=Assumptions!$C$10+1,(Project_Register!$AT$19-Project_Register!$AQ$19),0),(Project_Register!$AT$19-Project_Register!$AQ$19)*(N520-N521)/(1-Project_Register!$AV$19)))*Project_Register!$X$19)</f>
        <v>0</v>
      </c>
      <c r="O522" s="58" t="n">
        <f aca="false">IF(O$5="A",0,IF((Project_Register!$AT$19-Project_Register!$AQ$19)&lt;=0,0,IF(1-Project_Register!$AV$19&lt;=0.000001,IF(Assumptions!O$96=Assumptions!$C$10+1,(Project_Register!$AT$19-Project_Register!$AQ$19),0),(Project_Register!$AT$19-Project_Register!$AQ$19)*(O520-O521)/(1-Project_Register!$AV$19)))*Project_Register!$X$19)</f>
        <v>0</v>
      </c>
      <c r="P522" s="58" t="n">
        <f aca="false">IF(P$5="A",0,IF((Project_Register!$AT$19-Project_Register!$AQ$19)&lt;=0,0,IF(1-Project_Register!$AV$19&lt;=0.000001,IF(Assumptions!P$96=Assumptions!$C$10+1,(Project_Register!$AT$19-Project_Register!$AQ$19),0),(Project_Register!$AT$19-Project_Register!$AQ$19)*(P520-P521)/(1-Project_Register!$AV$19)))*Project_Register!$X$19)</f>
        <v>0</v>
      </c>
      <c r="Q522" s="58" t="n">
        <f aca="false">IF(Q$5="A",0,IF((Project_Register!$AT$19-Project_Register!$AQ$19)&lt;=0,0,IF(1-Project_Register!$AV$19&lt;=0.000001,IF(Assumptions!Q$96=Assumptions!$C$10+1,(Project_Register!$AT$19-Project_Register!$AQ$19),0),(Project_Register!$AT$19-Project_Register!$AQ$19)*(Q520-Q521)/(1-Project_Register!$AV$19)))*Project_Register!$X$19)</f>
        <v>0</v>
      </c>
      <c r="R522" s="58" t="n">
        <f aca="false">IF(R$5="A",0,IF((Project_Register!$AT$19-Project_Register!$AQ$19)&lt;=0,0,IF(1-Project_Register!$AV$19&lt;=0.000001,IF(Assumptions!R$96=Assumptions!$C$10+1,(Project_Register!$AT$19-Project_Register!$AQ$19),0),(Project_Register!$AT$19-Project_Register!$AQ$19)*(R520-R521)/(1-Project_Register!$AV$19)))*Project_Register!$X$19)</f>
        <v>0</v>
      </c>
      <c r="S522" s="58" t="n">
        <f aca="false">IF(S$5="A",0,IF((Project_Register!$AT$19-Project_Register!$AQ$19)&lt;=0,0,IF(1-Project_Register!$AV$19&lt;=0.000001,IF(Assumptions!S$96=Assumptions!$C$10+1,(Project_Register!$AT$19-Project_Register!$AQ$19),0),(Project_Register!$AT$19-Project_Register!$AQ$19)*(S520-S521)/(1-Project_Register!$AV$19)))*Project_Register!$X$19)</f>
        <v>0</v>
      </c>
      <c r="T522" s="58" t="n">
        <f aca="false">IF(T$5="A",0,IF((Project_Register!$AT$19-Project_Register!$AQ$19)&lt;=0,0,IF(1-Project_Register!$AV$19&lt;=0.000001,IF(Assumptions!T$96=Assumptions!$C$10+1,(Project_Register!$AT$19-Project_Register!$AQ$19),0),(Project_Register!$AT$19-Project_Register!$AQ$19)*(T520-T521)/(1-Project_Register!$AV$19)))*Project_Register!$X$19)</f>
        <v>0</v>
      </c>
      <c r="U522" s="58" t="n">
        <f aca="false">IF(U$5="A",0,IF((Project_Register!$AT$19-Project_Register!$AQ$19)&lt;=0,0,IF(1-Project_Register!$AV$19&lt;=0.000001,IF(Assumptions!U$96=Assumptions!$C$10+1,(Project_Register!$AT$19-Project_Register!$AQ$19),0),(Project_Register!$AT$19-Project_Register!$AQ$19)*(U520-U521)/(1-Project_Register!$AV$19)))*Project_Register!$X$19)</f>
        <v>0</v>
      </c>
      <c r="V522" s="58" t="n">
        <f aca="false">IF(V$5="A",0,IF((Project_Register!$AT$19-Project_Register!$AQ$19)&lt;=0,0,IF(1-Project_Register!$AV$19&lt;=0.000001,IF(Assumptions!V$96=Assumptions!$C$10+1,(Project_Register!$AT$19-Project_Register!$AQ$19),0),(Project_Register!$AT$19-Project_Register!$AQ$19)*(V520-V521)/(1-Project_Register!$AV$19)))*Project_Register!$X$19)</f>
        <v>2587.52</v>
      </c>
      <c r="W522" s="58" t="n">
        <f aca="false">IF(W$5="A",0,IF((Project_Register!$AT$19-Project_Register!$AQ$19)&lt;=0,0,IF(1-Project_Register!$AV$19&lt;=0.000001,IF(Assumptions!W$96=Assumptions!$C$10+1,(Project_Register!$AT$19-Project_Register!$AQ$19),0),(Project_Register!$AT$19-Project_Register!$AQ$19)*(W520-W521)/(1-Project_Register!$AV$19)))*Project_Register!$X$19)</f>
        <v>6170.24</v>
      </c>
      <c r="X522" s="58" t="n">
        <f aca="false">IF(X$5="A",0,IF((Project_Register!$AT$19-Project_Register!$AQ$19)&lt;=0,0,IF(1-Project_Register!$AV$19&lt;=0.000001,IF(Assumptions!X$96=Assumptions!$C$10+1,(Project_Register!$AT$19-Project_Register!$AQ$19),0),(Project_Register!$AT$19-Project_Register!$AQ$19)*(X520-X521)/(1-Project_Register!$AV$19)))*Project_Register!$X$19)</f>
        <v>7364.48</v>
      </c>
      <c r="Y522" s="58" t="n">
        <f aca="false">IF(Y$5="A",0,IF((Project_Register!$AT$19-Project_Register!$AQ$19)&lt;=0,0,IF(1-Project_Register!$AV$19&lt;=0.000001,IF(Assumptions!Y$96=Assumptions!$C$10+1,(Project_Register!$AT$19-Project_Register!$AQ$19),0),(Project_Register!$AT$19-Project_Register!$AQ$19)*(Y520-Y521)/(1-Project_Register!$AV$19)))*Project_Register!$X$19)</f>
        <v>6170.24</v>
      </c>
      <c r="Z522" s="58" t="n">
        <f aca="false">IF(Z$5="A",0,IF((Project_Register!$AT$19-Project_Register!$AQ$19)&lt;=0,0,IF(1-Project_Register!$AV$19&lt;=0.000001,IF(Assumptions!Z$96=Assumptions!$C$10+1,(Project_Register!$AT$19-Project_Register!$AQ$19),0),(Project_Register!$AT$19-Project_Register!$AQ$19)*(Z520-Z521)/(1-Project_Register!$AV$19)))*Project_Register!$X$19)</f>
        <v>2587.52</v>
      </c>
      <c r="AA522" s="58" t="n">
        <f aca="false">IF(AA$5="A",0,IF((Project_Register!$AT$19-Project_Register!$AQ$19)&lt;=0,0,IF(1-Project_Register!$AV$19&lt;=0.000001,IF(Assumptions!AA$96=Assumptions!$C$10+1,(Project_Register!$AT$19-Project_Register!$AQ$19),0),(Project_Register!$AT$19-Project_Register!$AQ$19)*(AA520-AA521)/(1-Project_Register!$AV$19)))*Project_Register!$X$19)</f>
        <v>0</v>
      </c>
      <c r="AB522" s="58" t="n">
        <f aca="false">IF(AB$5="A",0,IF((Project_Register!$AT$19-Project_Register!$AQ$19)&lt;=0,0,IF(1-Project_Register!$AV$19&lt;=0.000001,IF(Assumptions!AB$96=Assumptions!$C$10+1,(Project_Register!$AT$19-Project_Register!$AQ$19),0),(Project_Register!$AT$19-Project_Register!$AQ$19)*(AB520-AB521)/(1-Project_Register!$AV$19)))*Project_Register!$X$19)</f>
        <v>0</v>
      </c>
    </row>
    <row r="523" customFormat="false" ht="15" hidden="false" customHeight="false" outlineLevel="0" collapsed="false">
      <c r="A523" s="27" t="s">
        <v>723</v>
      </c>
      <c r="B523" s="56" t="s">
        <v>722</v>
      </c>
      <c r="C523" s="57" t="n">
        <f aca="false">SUM(E523:P523)</f>
        <v>0</v>
      </c>
      <c r="D523" s="57" t="n">
        <f aca="false">SUM(Q523:AB523)</f>
        <v>77750</v>
      </c>
      <c r="E523" s="58" t="n">
        <f aca="false">IF(E$5="A",0,IF((Project_Register!$AT$19-Project_Register!$AQ$19)&lt;=0,0,IF(1-Project_Register!$AV$19&lt;=0.000001,IF(Assumptions!E$96=Assumptions!$C$10+1,(Project_Register!$AT$19-Project_Register!$AQ$19),0),(Project_Register!$AT$19-Project_Register!$AQ$19)*(E520-E521)/(1-Project_Register!$AV$19)))*Project_Register!$Y$19)</f>
        <v>0</v>
      </c>
      <c r="F523" s="58" t="n">
        <f aca="false">IF(F$5="A",0,IF((Project_Register!$AT$19-Project_Register!$AQ$19)&lt;=0,0,IF(1-Project_Register!$AV$19&lt;=0.000001,IF(Assumptions!F$96=Assumptions!$C$10+1,(Project_Register!$AT$19-Project_Register!$AQ$19),0),(Project_Register!$AT$19-Project_Register!$AQ$19)*(F520-F521)/(1-Project_Register!$AV$19)))*Project_Register!$Y$19)</f>
        <v>0</v>
      </c>
      <c r="G523" s="58" t="n">
        <f aca="false">IF(G$5="A",0,IF((Project_Register!$AT$19-Project_Register!$AQ$19)&lt;=0,0,IF(1-Project_Register!$AV$19&lt;=0.000001,IF(Assumptions!G$96=Assumptions!$C$10+1,(Project_Register!$AT$19-Project_Register!$AQ$19),0),(Project_Register!$AT$19-Project_Register!$AQ$19)*(G520-G521)/(1-Project_Register!$AV$19)))*Project_Register!$Y$19)</f>
        <v>0</v>
      </c>
      <c r="H523" s="58" t="n">
        <f aca="false">IF(H$5="A",0,IF((Project_Register!$AT$19-Project_Register!$AQ$19)&lt;=0,0,IF(1-Project_Register!$AV$19&lt;=0.000001,IF(Assumptions!H$96=Assumptions!$C$10+1,(Project_Register!$AT$19-Project_Register!$AQ$19),0),(Project_Register!$AT$19-Project_Register!$AQ$19)*(H520-H521)/(1-Project_Register!$AV$19)))*Project_Register!$Y$19)</f>
        <v>0</v>
      </c>
      <c r="I523" s="58" t="n">
        <f aca="false">IF(I$5="A",0,IF((Project_Register!$AT$19-Project_Register!$AQ$19)&lt;=0,0,IF(1-Project_Register!$AV$19&lt;=0.000001,IF(Assumptions!I$96=Assumptions!$C$10+1,(Project_Register!$AT$19-Project_Register!$AQ$19),0),(Project_Register!$AT$19-Project_Register!$AQ$19)*(I520-I521)/(1-Project_Register!$AV$19)))*Project_Register!$Y$19)</f>
        <v>0</v>
      </c>
      <c r="J523" s="58" t="n">
        <f aca="false">IF(J$5="A",0,IF((Project_Register!$AT$19-Project_Register!$AQ$19)&lt;=0,0,IF(1-Project_Register!$AV$19&lt;=0.000001,IF(Assumptions!J$96=Assumptions!$C$10+1,(Project_Register!$AT$19-Project_Register!$AQ$19),0),(Project_Register!$AT$19-Project_Register!$AQ$19)*(J520-J521)/(1-Project_Register!$AV$19)))*Project_Register!$Y$19)</f>
        <v>0</v>
      </c>
      <c r="K523" s="58" t="n">
        <f aca="false">IF(K$5="A",0,IF((Project_Register!$AT$19-Project_Register!$AQ$19)&lt;=0,0,IF(1-Project_Register!$AV$19&lt;=0.000001,IF(Assumptions!K$96=Assumptions!$C$10+1,(Project_Register!$AT$19-Project_Register!$AQ$19),0),(Project_Register!$AT$19-Project_Register!$AQ$19)*(K520-K521)/(1-Project_Register!$AV$19)))*Project_Register!$Y$19)</f>
        <v>0</v>
      </c>
      <c r="L523" s="58" t="n">
        <f aca="false">IF(L$5="A",0,IF((Project_Register!$AT$19-Project_Register!$AQ$19)&lt;=0,0,IF(1-Project_Register!$AV$19&lt;=0.000001,IF(Assumptions!L$96=Assumptions!$C$10+1,(Project_Register!$AT$19-Project_Register!$AQ$19),0),(Project_Register!$AT$19-Project_Register!$AQ$19)*(L520-L521)/(1-Project_Register!$AV$19)))*Project_Register!$Y$19)</f>
        <v>0</v>
      </c>
      <c r="M523" s="58" t="n">
        <f aca="false">IF(M$5="A",0,IF((Project_Register!$AT$19-Project_Register!$AQ$19)&lt;=0,0,IF(1-Project_Register!$AV$19&lt;=0.000001,IF(Assumptions!M$96=Assumptions!$C$10+1,(Project_Register!$AT$19-Project_Register!$AQ$19),0),(Project_Register!$AT$19-Project_Register!$AQ$19)*(M520-M521)/(1-Project_Register!$AV$19)))*Project_Register!$Y$19)</f>
        <v>0</v>
      </c>
      <c r="N523" s="58" t="n">
        <f aca="false">IF(N$5="A",0,IF((Project_Register!$AT$19-Project_Register!$AQ$19)&lt;=0,0,IF(1-Project_Register!$AV$19&lt;=0.000001,IF(Assumptions!N$96=Assumptions!$C$10+1,(Project_Register!$AT$19-Project_Register!$AQ$19),0),(Project_Register!$AT$19-Project_Register!$AQ$19)*(N520-N521)/(1-Project_Register!$AV$19)))*Project_Register!$Y$19)</f>
        <v>0</v>
      </c>
      <c r="O523" s="58" t="n">
        <f aca="false">IF(O$5="A",0,IF((Project_Register!$AT$19-Project_Register!$AQ$19)&lt;=0,0,IF(1-Project_Register!$AV$19&lt;=0.000001,IF(Assumptions!O$96=Assumptions!$C$10+1,(Project_Register!$AT$19-Project_Register!$AQ$19),0),(Project_Register!$AT$19-Project_Register!$AQ$19)*(O520-O521)/(1-Project_Register!$AV$19)))*Project_Register!$Y$19)</f>
        <v>0</v>
      </c>
      <c r="P523" s="58" t="n">
        <f aca="false">IF(P$5="A",0,IF((Project_Register!$AT$19-Project_Register!$AQ$19)&lt;=0,0,IF(1-Project_Register!$AV$19&lt;=0.000001,IF(Assumptions!P$96=Assumptions!$C$10+1,(Project_Register!$AT$19-Project_Register!$AQ$19),0),(Project_Register!$AT$19-Project_Register!$AQ$19)*(P520-P521)/(1-Project_Register!$AV$19)))*Project_Register!$Y$19)</f>
        <v>0</v>
      </c>
      <c r="Q523" s="58" t="n">
        <f aca="false">IF(Q$5="A",0,IF((Project_Register!$AT$19-Project_Register!$AQ$19)&lt;=0,0,IF(1-Project_Register!$AV$19&lt;=0.000001,IF(Assumptions!Q$96=Assumptions!$C$10+1,(Project_Register!$AT$19-Project_Register!$AQ$19),0),(Project_Register!$AT$19-Project_Register!$AQ$19)*(Q520-Q521)/(1-Project_Register!$AV$19)))*Project_Register!$Y$19)</f>
        <v>0</v>
      </c>
      <c r="R523" s="58" t="n">
        <f aca="false">IF(R$5="A",0,IF((Project_Register!$AT$19-Project_Register!$AQ$19)&lt;=0,0,IF(1-Project_Register!$AV$19&lt;=0.000001,IF(Assumptions!R$96=Assumptions!$C$10+1,(Project_Register!$AT$19-Project_Register!$AQ$19),0),(Project_Register!$AT$19-Project_Register!$AQ$19)*(R520-R521)/(1-Project_Register!$AV$19)))*Project_Register!$Y$19)</f>
        <v>0</v>
      </c>
      <c r="S523" s="58" t="n">
        <f aca="false">IF(S$5="A",0,IF((Project_Register!$AT$19-Project_Register!$AQ$19)&lt;=0,0,IF(1-Project_Register!$AV$19&lt;=0.000001,IF(Assumptions!S$96=Assumptions!$C$10+1,(Project_Register!$AT$19-Project_Register!$AQ$19),0),(Project_Register!$AT$19-Project_Register!$AQ$19)*(S520-S521)/(1-Project_Register!$AV$19)))*Project_Register!$Y$19)</f>
        <v>0</v>
      </c>
      <c r="T523" s="58" t="n">
        <f aca="false">IF(T$5="A",0,IF((Project_Register!$AT$19-Project_Register!$AQ$19)&lt;=0,0,IF(1-Project_Register!$AV$19&lt;=0.000001,IF(Assumptions!T$96=Assumptions!$C$10+1,(Project_Register!$AT$19-Project_Register!$AQ$19),0),(Project_Register!$AT$19-Project_Register!$AQ$19)*(T520-T521)/(1-Project_Register!$AV$19)))*Project_Register!$Y$19)</f>
        <v>0</v>
      </c>
      <c r="U523" s="58" t="n">
        <f aca="false">IF(U$5="A",0,IF((Project_Register!$AT$19-Project_Register!$AQ$19)&lt;=0,0,IF(1-Project_Register!$AV$19&lt;=0.000001,IF(Assumptions!U$96=Assumptions!$C$10+1,(Project_Register!$AT$19-Project_Register!$AQ$19),0),(Project_Register!$AT$19-Project_Register!$AQ$19)*(U520-U521)/(1-Project_Register!$AV$19)))*Project_Register!$Y$19)</f>
        <v>0</v>
      </c>
      <c r="V523" s="58" t="n">
        <f aca="false">IF(V$5="A",0,IF((Project_Register!$AT$19-Project_Register!$AQ$19)&lt;=0,0,IF(1-Project_Register!$AV$19&lt;=0.000001,IF(Assumptions!V$96=Assumptions!$C$10+1,(Project_Register!$AT$19-Project_Register!$AQ$19),0),(Project_Register!$AT$19-Project_Register!$AQ$19)*(V520-V521)/(1-Project_Register!$AV$19)))*Project_Register!$Y$19)</f>
        <v>8086</v>
      </c>
      <c r="W523" s="58" t="n">
        <f aca="false">IF(W$5="A",0,IF((Project_Register!$AT$19-Project_Register!$AQ$19)&lt;=0,0,IF(1-Project_Register!$AV$19&lt;=0.000001,IF(Assumptions!W$96=Assumptions!$C$10+1,(Project_Register!$AT$19-Project_Register!$AQ$19),0),(Project_Register!$AT$19-Project_Register!$AQ$19)*(W520-W521)/(1-Project_Register!$AV$19)))*Project_Register!$Y$19)</f>
        <v>19282</v>
      </c>
      <c r="X523" s="58" t="n">
        <f aca="false">IF(X$5="A",0,IF((Project_Register!$AT$19-Project_Register!$AQ$19)&lt;=0,0,IF(1-Project_Register!$AV$19&lt;=0.000001,IF(Assumptions!X$96=Assumptions!$C$10+1,(Project_Register!$AT$19-Project_Register!$AQ$19),0),(Project_Register!$AT$19-Project_Register!$AQ$19)*(X520-X521)/(1-Project_Register!$AV$19)))*Project_Register!$Y$19)</f>
        <v>23014</v>
      </c>
      <c r="Y523" s="58" t="n">
        <f aca="false">IF(Y$5="A",0,IF((Project_Register!$AT$19-Project_Register!$AQ$19)&lt;=0,0,IF(1-Project_Register!$AV$19&lt;=0.000001,IF(Assumptions!Y$96=Assumptions!$C$10+1,(Project_Register!$AT$19-Project_Register!$AQ$19),0),(Project_Register!$AT$19-Project_Register!$AQ$19)*(Y520-Y521)/(1-Project_Register!$AV$19)))*Project_Register!$Y$19)</f>
        <v>19282</v>
      </c>
      <c r="Z523" s="58" t="n">
        <f aca="false">IF(Z$5="A",0,IF((Project_Register!$AT$19-Project_Register!$AQ$19)&lt;=0,0,IF(1-Project_Register!$AV$19&lt;=0.000001,IF(Assumptions!Z$96=Assumptions!$C$10+1,(Project_Register!$AT$19-Project_Register!$AQ$19),0),(Project_Register!$AT$19-Project_Register!$AQ$19)*(Z520-Z521)/(1-Project_Register!$AV$19)))*Project_Register!$Y$19)</f>
        <v>8085.99999999999</v>
      </c>
      <c r="AA523" s="58" t="n">
        <f aca="false">IF(AA$5="A",0,IF((Project_Register!$AT$19-Project_Register!$AQ$19)&lt;=0,0,IF(1-Project_Register!$AV$19&lt;=0.000001,IF(Assumptions!AA$96=Assumptions!$C$10+1,(Project_Register!$AT$19-Project_Register!$AQ$19),0),(Project_Register!$AT$19-Project_Register!$AQ$19)*(AA520-AA521)/(1-Project_Register!$AV$19)))*Project_Register!$Y$19)</f>
        <v>0</v>
      </c>
      <c r="AB523" s="58" t="n">
        <f aca="false">IF(AB$5="A",0,IF((Project_Register!$AT$19-Project_Register!$AQ$19)&lt;=0,0,IF(1-Project_Register!$AV$19&lt;=0.000001,IF(Assumptions!AB$96=Assumptions!$C$10+1,(Project_Register!$AT$19-Project_Register!$AQ$19),0),(Project_Register!$AT$19-Project_Register!$AQ$19)*(AB520-AB521)/(1-Project_Register!$AV$19)))*Project_Register!$Y$19)</f>
        <v>0</v>
      </c>
    </row>
    <row r="524" customFormat="false" ht="15" hidden="false" customHeight="false" outlineLevel="0" collapsed="false">
      <c r="A524" s="27" t="s">
        <v>724</v>
      </c>
      <c r="B524" s="56" t="s">
        <v>722</v>
      </c>
      <c r="C524" s="57" t="n">
        <f aca="false">SUM(E524:P524)</f>
        <v>0</v>
      </c>
      <c r="D524" s="57" t="n">
        <f aca="false">SUM(Q524:AB524)</f>
        <v>37320</v>
      </c>
      <c r="E524" s="58" t="n">
        <f aca="false">IF(E$5="A",0,IF((Project_Register!$AT$19-Project_Register!$AQ$19)&lt;=0,0,IF(1-Project_Register!$AV$19&lt;=0.000001,IF(Assumptions!E$96=Assumptions!$C$10+1,(Project_Register!$AT$19-Project_Register!$AQ$19),0),(Project_Register!$AT$19-Project_Register!$AQ$19)*(E520-E521)/(1-Project_Register!$AV$19)))*Project_Register!$Z$19)</f>
        <v>0</v>
      </c>
      <c r="F524" s="58" t="n">
        <f aca="false">IF(F$5="A",0,IF((Project_Register!$AT$19-Project_Register!$AQ$19)&lt;=0,0,IF(1-Project_Register!$AV$19&lt;=0.000001,IF(Assumptions!F$96=Assumptions!$C$10+1,(Project_Register!$AT$19-Project_Register!$AQ$19),0),(Project_Register!$AT$19-Project_Register!$AQ$19)*(F520-F521)/(1-Project_Register!$AV$19)))*Project_Register!$Z$19)</f>
        <v>0</v>
      </c>
      <c r="G524" s="58" t="n">
        <f aca="false">IF(G$5="A",0,IF((Project_Register!$AT$19-Project_Register!$AQ$19)&lt;=0,0,IF(1-Project_Register!$AV$19&lt;=0.000001,IF(Assumptions!G$96=Assumptions!$C$10+1,(Project_Register!$AT$19-Project_Register!$AQ$19),0),(Project_Register!$AT$19-Project_Register!$AQ$19)*(G520-G521)/(1-Project_Register!$AV$19)))*Project_Register!$Z$19)</f>
        <v>0</v>
      </c>
      <c r="H524" s="58" t="n">
        <f aca="false">IF(H$5="A",0,IF((Project_Register!$AT$19-Project_Register!$AQ$19)&lt;=0,0,IF(1-Project_Register!$AV$19&lt;=0.000001,IF(Assumptions!H$96=Assumptions!$C$10+1,(Project_Register!$AT$19-Project_Register!$AQ$19),0),(Project_Register!$AT$19-Project_Register!$AQ$19)*(H520-H521)/(1-Project_Register!$AV$19)))*Project_Register!$Z$19)</f>
        <v>0</v>
      </c>
      <c r="I524" s="58" t="n">
        <f aca="false">IF(I$5="A",0,IF((Project_Register!$AT$19-Project_Register!$AQ$19)&lt;=0,0,IF(1-Project_Register!$AV$19&lt;=0.000001,IF(Assumptions!I$96=Assumptions!$C$10+1,(Project_Register!$AT$19-Project_Register!$AQ$19),0),(Project_Register!$AT$19-Project_Register!$AQ$19)*(I520-I521)/(1-Project_Register!$AV$19)))*Project_Register!$Z$19)</f>
        <v>0</v>
      </c>
      <c r="J524" s="58" t="n">
        <f aca="false">IF(J$5="A",0,IF((Project_Register!$AT$19-Project_Register!$AQ$19)&lt;=0,0,IF(1-Project_Register!$AV$19&lt;=0.000001,IF(Assumptions!J$96=Assumptions!$C$10+1,(Project_Register!$AT$19-Project_Register!$AQ$19),0),(Project_Register!$AT$19-Project_Register!$AQ$19)*(J520-J521)/(1-Project_Register!$AV$19)))*Project_Register!$Z$19)</f>
        <v>0</v>
      </c>
      <c r="K524" s="58" t="n">
        <f aca="false">IF(K$5="A",0,IF((Project_Register!$AT$19-Project_Register!$AQ$19)&lt;=0,0,IF(1-Project_Register!$AV$19&lt;=0.000001,IF(Assumptions!K$96=Assumptions!$C$10+1,(Project_Register!$AT$19-Project_Register!$AQ$19),0),(Project_Register!$AT$19-Project_Register!$AQ$19)*(K520-K521)/(1-Project_Register!$AV$19)))*Project_Register!$Z$19)</f>
        <v>0</v>
      </c>
      <c r="L524" s="58" t="n">
        <f aca="false">IF(L$5="A",0,IF((Project_Register!$AT$19-Project_Register!$AQ$19)&lt;=0,0,IF(1-Project_Register!$AV$19&lt;=0.000001,IF(Assumptions!L$96=Assumptions!$C$10+1,(Project_Register!$AT$19-Project_Register!$AQ$19),0),(Project_Register!$AT$19-Project_Register!$AQ$19)*(L520-L521)/(1-Project_Register!$AV$19)))*Project_Register!$Z$19)</f>
        <v>0</v>
      </c>
      <c r="M524" s="58" t="n">
        <f aca="false">IF(M$5="A",0,IF((Project_Register!$AT$19-Project_Register!$AQ$19)&lt;=0,0,IF(1-Project_Register!$AV$19&lt;=0.000001,IF(Assumptions!M$96=Assumptions!$C$10+1,(Project_Register!$AT$19-Project_Register!$AQ$19),0),(Project_Register!$AT$19-Project_Register!$AQ$19)*(M520-M521)/(1-Project_Register!$AV$19)))*Project_Register!$Z$19)</f>
        <v>0</v>
      </c>
      <c r="N524" s="58" t="n">
        <f aca="false">IF(N$5="A",0,IF((Project_Register!$AT$19-Project_Register!$AQ$19)&lt;=0,0,IF(1-Project_Register!$AV$19&lt;=0.000001,IF(Assumptions!N$96=Assumptions!$C$10+1,(Project_Register!$AT$19-Project_Register!$AQ$19),0),(Project_Register!$AT$19-Project_Register!$AQ$19)*(N520-N521)/(1-Project_Register!$AV$19)))*Project_Register!$Z$19)</f>
        <v>0</v>
      </c>
      <c r="O524" s="58" t="n">
        <f aca="false">IF(O$5="A",0,IF((Project_Register!$AT$19-Project_Register!$AQ$19)&lt;=0,0,IF(1-Project_Register!$AV$19&lt;=0.000001,IF(Assumptions!O$96=Assumptions!$C$10+1,(Project_Register!$AT$19-Project_Register!$AQ$19),0),(Project_Register!$AT$19-Project_Register!$AQ$19)*(O520-O521)/(1-Project_Register!$AV$19)))*Project_Register!$Z$19)</f>
        <v>0</v>
      </c>
      <c r="P524" s="58" t="n">
        <f aca="false">IF(P$5="A",0,IF((Project_Register!$AT$19-Project_Register!$AQ$19)&lt;=0,0,IF(1-Project_Register!$AV$19&lt;=0.000001,IF(Assumptions!P$96=Assumptions!$C$10+1,(Project_Register!$AT$19-Project_Register!$AQ$19),0),(Project_Register!$AT$19-Project_Register!$AQ$19)*(P520-P521)/(1-Project_Register!$AV$19)))*Project_Register!$Z$19)</f>
        <v>0</v>
      </c>
      <c r="Q524" s="58" t="n">
        <f aca="false">IF(Q$5="A",0,IF((Project_Register!$AT$19-Project_Register!$AQ$19)&lt;=0,0,IF(1-Project_Register!$AV$19&lt;=0.000001,IF(Assumptions!Q$96=Assumptions!$C$10+1,(Project_Register!$AT$19-Project_Register!$AQ$19),0),(Project_Register!$AT$19-Project_Register!$AQ$19)*(Q520-Q521)/(1-Project_Register!$AV$19)))*Project_Register!$Z$19)</f>
        <v>0</v>
      </c>
      <c r="R524" s="58" t="n">
        <f aca="false">IF(R$5="A",0,IF((Project_Register!$AT$19-Project_Register!$AQ$19)&lt;=0,0,IF(1-Project_Register!$AV$19&lt;=0.000001,IF(Assumptions!R$96=Assumptions!$C$10+1,(Project_Register!$AT$19-Project_Register!$AQ$19),0),(Project_Register!$AT$19-Project_Register!$AQ$19)*(R520-R521)/(1-Project_Register!$AV$19)))*Project_Register!$Z$19)</f>
        <v>0</v>
      </c>
      <c r="S524" s="58" t="n">
        <f aca="false">IF(S$5="A",0,IF((Project_Register!$AT$19-Project_Register!$AQ$19)&lt;=0,0,IF(1-Project_Register!$AV$19&lt;=0.000001,IF(Assumptions!S$96=Assumptions!$C$10+1,(Project_Register!$AT$19-Project_Register!$AQ$19),0),(Project_Register!$AT$19-Project_Register!$AQ$19)*(S520-S521)/(1-Project_Register!$AV$19)))*Project_Register!$Z$19)</f>
        <v>0</v>
      </c>
      <c r="T524" s="58" t="n">
        <f aca="false">IF(T$5="A",0,IF((Project_Register!$AT$19-Project_Register!$AQ$19)&lt;=0,0,IF(1-Project_Register!$AV$19&lt;=0.000001,IF(Assumptions!T$96=Assumptions!$C$10+1,(Project_Register!$AT$19-Project_Register!$AQ$19),0),(Project_Register!$AT$19-Project_Register!$AQ$19)*(T520-T521)/(1-Project_Register!$AV$19)))*Project_Register!$Z$19)</f>
        <v>0</v>
      </c>
      <c r="U524" s="58" t="n">
        <f aca="false">IF(U$5="A",0,IF((Project_Register!$AT$19-Project_Register!$AQ$19)&lt;=0,0,IF(1-Project_Register!$AV$19&lt;=0.000001,IF(Assumptions!U$96=Assumptions!$C$10+1,(Project_Register!$AT$19-Project_Register!$AQ$19),0),(Project_Register!$AT$19-Project_Register!$AQ$19)*(U520-U521)/(1-Project_Register!$AV$19)))*Project_Register!$Z$19)</f>
        <v>0</v>
      </c>
      <c r="V524" s="58" t="n">
        <f aca="false">IF(V$5="A",0,IF((Project_Register!$AT$19-Project_Register!$AQ$19)&lt;=0,0,IF(1-Project_Register!$AV$19&lt;=0.000001,IF(Assumptions!V$96=Assumptions!$C$10+1,(Project_Register!$AT$19-Project_Register!$AQ$19),0),(Project_Register!$AT$19-Project_Register!$AQ$19)*(V520-V521)/(1-Project_Register!$AV$19)))*Project_Register!$Z$19)</f>
        <v>3881.28</v>
      </c>
      <c r="W524" s="58" t="n">
        <f aca="false">IF(W$5="A",0,IF((Project_Register!$AT$19-Project_Register!$AQ$19)&lt;=0,0,IF(1-Project_Register!$AV$19&lt;=0.000001,IF(Assumptions!W$96=Assumptions!$C$10+1,(Project_Register!$AT$19-Project_Register!$AQ$19),0),(Project_Register!$AT$19-Project_Register!$AQ$19)*(W520-W521)/(1-Project_Register!$AV$19)))*Project_Register!$Z$19)</f>
        <v>9255.36</v>
      </c>
      <c r="X524" s="58" t="n">
        <f aca="false">IF(X$5="A",0,IF((Project_Register!$AT$19-Project_Register!$AQ$19)&lt;=0,0,IF(1-Project_Register!$AV$19&lt;=0.000001,IF(Assumptions!X$96=Assumptions!$C$10+1,(Project_Register!$AT$19-Project_Register!$AQ$19),0),(Project_Register!$AT$19-Project_Register!$AQ$19)*(X520-X521)/(1-Project_Register!$AV$19)))*Project_Register!$Z$19)</f>
        <v>11046.72</v>
      </c>
      <c r="Y524" s="58" t="n">
        <f aca="false">IF(Y$5="A",0,IF((Project_Register!$AT$19-Project_Register!$AQ$19)&lt;=0,0,IF(1-Project_Register!$AV$19&lt;=0.000001,IF(Assumptions!Y$96=Assumptions!$C$10+1,(Project_Register!$AT$19-Project_Register!$AQ$19),0),(Project_Register!$AT$19-Project_Register!$AQ$19)*(Y520-Y521)/(1-Project_Register!$AV$19)))*Project_Register!$Z$19)</f>
        <v>9255.36</v>
      </c>
      <c r="Z524" s="58" t="n">
        <f aca="false">IF(Z$5="A",0,IF((Project_Register!$AT$19-Project_Register!$AQ$19)&lt;=0,0,IF(1-Project_Register!$AV$19&lt;=0.000001,IF(Assumptions!Z$96=Assumptions!$C$10+1,(Project_Register!$AT$19-Project_Register!$AQ$19),0),(Project_Register!$AT$19-Project_Register!$AQ$19)*(Z520-Z521)/(1-Project_Register!$AV$19)))*Project_Register!$Z$19)</f>
        <v>3881.28</v>
      </c>
      <c r="AA524" s="58" t="n">
        <f aca="false">IF(AA$5="A",0,IF((Project_Register!$AT$19-Project_Register!$AQ$19)&lt;=0,0,IF(1-Project_Register!$AV$19&lt;=0.000001,IF(Assumptions!AA$96=Assumptions!$C$10+1,(Project_Register!$AT$19-Project_Register!$AQ$19),0),(Project_Register!$AT$19-Project_Register!$AQ$19)*(AA520-AA521)/(1-Project_Register!$AV$19)))*Project_Register!$Z$19)</f>
        <v>0</v>
      </c>
      <c r="AB524" s="58" t="n">
        <f aca="false">IF(AB$5="A",0,IF((Project_Register!$AT$19-Project_Register!$AQ$19)&lt;=0,0,IF(1-Project_Register!$AV$19&lt;=0.000001,IF(Assumptions!AB$96=Assumptions!$C$10+1,(Project_Register!$AT$19-Project_Register!$AQ$19),0),(Project_Register!$AT$19-Project_Register!$AQ$19)*(AB520-AB521)/(1-Project_Register!$AV$19)))*Project_Register!$Z$19)</f>
        <v>0</v>
      </c>
    </row>
    <row r="525" customFormat="false" ht="15" hidden="false" customHeight="false" outlineLevel="0" collapsed="false">
      <c r="A525" s="27" t="s">
        <v>725</v>
      </c>
      <c r="B525" s="56" t="s">
        <v>722</v>
      </c>
      <c r="C525" s="57" t="n">
        <f aca="false">SUM(E525:P525)</f>
        <v>0</v>
      </c>
      <c r="D525" s="57" t="n">
        <f aca="false">SUM(Q525:AB525)</f>
        <v>4665</v>
      </c>
      <c r="E525" s="58" t="n">
        <f aca="false">IF(E$5="A",0,IF((Project_Register!$AT$19-Project_Register!$AQ$19)&lt;=0,0,IF(1-Project_Register!$AV$19&lt;=0.000001,IF(Assumptions!E$96=Assumptions!$C$10+1,(Project_Register!$AT$19-Project_Register!$AQ$19),0),(Project_Register!$AT$19-Project_Register!$AQ$19)*(E520-E521)/(1-Project_Register!$AV$19)))*Project_Register!$AA$19)</f>
        <v>0</v>
      </c>
      <c r="F525" s="58" t="n">
        <f aca="false">IF(F$5="A",0,IF((Project_Register!$AT$19-Project_Register!$AQ$19)&lt;=0,0,IF(1-Project_Register!$AV$19&lt;=0.000001,IF(Assumptions!F$96=Assumptions!$C$10+1,(Project_Register!$AT$19-Project_Register!$AQ$19),0),(Project_Register!$AT$19-Project_Register!$AQ$19)*(F520-F521)/(1-Project_Register!$AV$19)))*Project_Register!$AA$19)</f>
        <v>0</v>
      </c>
      <c r="G525" s="58" t="n">
        <f aca="false">IF(G$5="A",0,IF((Project_Register!$AT$19-Project_Register!$AQ$19)&lt;=0,0,IF(1-Project_Register!$AV$19&lt;=0.000001,IF(Assumptions!G$96=Assumptions!$C$10+1,(Project_Register!$AT$19-Project_Register!$AQ$19),0),(Project_Register!$AT$19-Project_Register!$AQ$19)*(G520-G521)/(1-Project_Register!$AV$19)))*Project_Register!$AA$19)</f>
        <v>0</v>
      </c>
      <c r="H525" s="58" t="n">
        <f aca="false">IF(H$5="A",0,IF((Project_Register!$AT$19-Project_Register!$AQ$19)&lt;=0,0,IF(1-Project_Register!$AV$19&lt;=0.000001,IF(Assumptions!H$96=Assumptions!$C$10+1,(Project_Register!$AT$19-Project_Register!$AQ$19),0),(Project_Register!$AT$19-Project_Register!$AQ$19)*(H520-H521)/(1-Project_Register!$AV$19)))*Project_Register!$AA$19)</f>
        <v>0</v>
      </c>
      <c r="I525" s="58" t="n">
        <f aca="false">IF(I$5="A",0,IF((Project_Register!$AT$19-Project_Register!$AQ$19)&lt;=0,0,IF(1-Project_Register!$AV$19&lt;=0.000001,IF(Assumptions!I$96=Assumptions!$C$10+1,(Project_Register!$AT$19-Project_Register!$AQ$19),0),(Project_Register!$AT$19-Project_Register!$AQ$19)*(I520-I521)/(1-Project_Register!$AV$19)))*Project_Register!$AA$19)</f>
        <v>0</v>
      </c>
      <c r="J525" s="58" t="n">
        <f aca="false">IF(J$5="A",0,IF((Project_Register!$AT$19-Project_Register!$AQ$19)&lt;=0,0,IF(1-Project_Register!$AV$19&lt;=0.000001,IF(Assumptions!J$96=Assumptions!$C$10+1,(Project_Register!$AT$19-Project_Register!$AQ$19),0),(Project_Register!$AT$19-Project_Register!$AQ$19)*(J520-J521)/(1-Project_Register!$AV$19)))*Project_Register!$AA$19)</f>
        <v>0</v>
      </c>
      <c r="K525" s="58" t="n">
        <f aca="false">IF(K$5="A",0,IF((Project_Register!$AT$19-Project_Register!$AQ$19)&lt;=0,0,IF(1-Project_Register!$AV$19&lt;=0.000001,IF(Assumptions!K$96=Assumptions!$C$10+1,(Project_Register!$AT$19-Project_Register!$AQ$19),0),(Project_Register!$AT$19-Project_Register!$AQ$19)*(K520-K521)/(1-Project_Register!$AV$19)))*Project_Register!$AA$19)</f>
        <v>0</v>
      </c>
      <c r="L525" s="58" t="n">
        <f aca="false">IF(L$5="A",0,IF((Project_Register!$AT$19-Project_Register!$AQ$19)&lt;=0,0,IF(1-Project_Register!$AV$19&lt;=0.000001,IF(Assumptions!L$96=Assumptions!$C$10+1,(Project_Register!$AT$19-Project_Register!$AQ$19),0),(Project_Register!$AT$19-Project_Register!$AQ$19)*(L520-L521)/(1-Project_Register!$AV$19)))*Project_Register!$AA$19)</f>
        <v>0</v>
      </c>
      <c r="M525" s="58" t="n">
        <f aca="false">IF(M$5="A",0,IF((Project_Register!$AT$19-Project_Register!$AQ$19)&lt;=0,0,IF(1-Project_Register!$AV$19&lt;=0.000001,IF(Assumptions!M$96=Assumptions!$C$10+1,(Project_Register!$AT$19-Project_Register!$AQ$19),0),(Project_Register!$AT$19-Project_Register!$AQ$19)*(M520-M521)/(1-Project_Register!$AV$19)))*Project_Register!$AA$19)</f>
        <v>0</v>
      </c>
      <c r="N525" s="58" t="n">
        <f aca="false">IF(N$5="A",0,IF((Project_Register!$AT$19-Project_Register!$AQ$19)&lt;=0,0,IF(1-Project_Register!$AV$19&lt;=0.000001,IF(Assumptions!N$96=Assumptions!$C$10+1,(Project_Register!$AT$19-Project_Register!$AQ$19),0),(Project_Register!$AT$19-Project_Register!$AQ$19)*(N520-N521)/(1-Project_Register!$AV$19)))*Project_Register!$AA$19)</f>
        <v>0</v>
      </c>
      <c r="O525" s="58" t="n">
        <f aca="false">IF(O$5="A",0,IF((Project_Register!$AT$19-Project_Register!$AQ$19)&lt;=0,0,IF(1-Project_Register!$AV$19&lt;=0.000001,IF(Assumptions!O$96=Assumptions!$C$10+1,(Project_Register!$AT$19-Project_Register!$AQ$19),0),(Project_Register!$AT$19-Project_Register!$AQ$19)*(O520-O521)/(1-Project_Register!$AV$19)))*Project_Register!$AA$19)</f>
        <v>0</v>
      </c>
      <c r="P525" s="58" t="n">
        <f aca="false">IF(P$5="A",0,IF((Project_Register!$AT$19-Project_Register!$AQ$19)&lt;=0,0,IF(1-Project_Register!$AV$19&lt;=0.000001,IF(Assumptions!P$96=Assumptions!$C$10+1,(Project_Register!$AT$19-Project_Register!$AQ$19),0),(Project_Register!$AT$19-Project_Register!$AQ$19)*(P520-P521)/(1-Project_Register!$AV$19)))*Project_Register!$AA$19)</f>
        <v>0</v>
      </c>
      <c r="Q525" s="58" t="n">
        <f aca="false">IF(Q$5="A",0,IF((Project_Register!$AT$19-Project_Register!$AQ$19)&lt;=0,0,IF(1-Project_Register!$AV$19&lt;=0.000001,IF(Assumptions!Q$96=Assumptions!$C$10+1,(Project_Register!$AT$19-Project_Register!$AQ$19),0),(Project_Register!$AT$19-Project_Register!$AQ$19)*(Q520-Q521)/(1-Project_Register!$AV$19)))*Project_Register!$AA$19)</f>
        <v>0</v>
      </c>
      <c r="R525" s="58" t="n">
        <f aca="false">IF(R$5="A",0,IF((Project_Register!$AT$19-Project_Register!$AQ$19)&lt;=0,0,IF(1-Project_Register!$AV$19&lt;=0.000001,IF(Assumptions!R$96=Assumptions!$C$10+1,(Project_Register!$AT$19-Project_Register!$AQ$19),0),(Project_Register!$AT$19-Project_Register!$AQ$19)*(R520-R521)/(1-Project_Register!$AV$19)))*Project_Register!$AA$19)</f>
        <v>0</v>
      </c>
      <c r="S525" s="58" t="n">
        <f aca="false">IF(S$5="A",0,IF((Project_Register!$AT$19-Project_Register!$AQ$19)&lt;=0,0,IF(1-Project_Register!$AV$19&lt;=0.000001,IF(Assumptions!S$96=Assumptions!$C$10+1,(Project_Register!$AT$19-Project_Register!$AQ$19),0),(Project_Register!$AT$19-Project_Register!$AQ$19)*(S520-S521)/(1-Project_Register!$AV$19)))*Project_Register!$AA$19)</f>
        <v>0</v>
      </c>
      <c r="T525" s="58" t="n">
        <f aca="false">IF(T$5="A",0,IF((Project_Register!$AT$19-Project_Register!$AQ$19)&lt;=0,0,IF(1-Project_Register!$AV$19&lt;=0.000001,IF(Assumptions!T$96=Assumptions!$C$10+1,(Project_Register!$AT$19-Project_Register!$AQ$19),0),(Project_Register!$AT$19-Project_Register!$AQ$19)*(T520-T521)/(1-Project_Register!$AV$19)))*Project_Register!$AA$19)</f>
        <v>0</v>
      </c>
      <c r="U525" s="58" t="n">
        <f aca="false">IF(U$5="A",0,IF((Project_Register!$AT$19-Project_Register!$AQ$19)&lt;=0,0,IF(1-Project_Register!$AV$19&lt;=0.000001,IF(Assumptions!U$96=Assumptions!$C$10+1,(Project_Register!$AT$19-Project_Register!$AQ$19),0),(Project_Register!$AT$19-Project_Register!$AQ$19)*(U520-U521)/(1-Project_Register!$AV$19)))*Project_Register!$AA$19)</f>
        <v>0</v>
      </c>
      <c r="V525" s="58" t="n">
        <f aca="false">IF(V$5="A",0,IF((Project_Register!$AT$19-Project_Register!$AQ$19)&lt;=0,0,IF(1-Project_Register!$AV$19&lt;=0.000001,IF(Assumptions!V$96=Assumptions!$C$10+1,(Project_Register!$AT$19-Project_Register!$AQ$19),0),(Project_Register!$AT$19-Project_Register!$AQ$19)*(V520-V521)/(1-Project_Register!$AV$19)))*Project_Register!$AA$19)</f>
        <v>485.16</v>
      </c>
      <c r="W525" s="58" t="n">
        <f aca="false">IF(W$5="A",0,IF((Project_Register!$AT$19-Project_Register!$AQ$19)&lt;=0,0,IF(1-Project_Register!$AV$19&lt;=0.000001,IF(Assumptions!W$96=Assumptions!$C$10+1,(Project_Register!$AT$19-Project_Register!$AQ$19),0),(Project_Register!$AT$19-Project_Register!$AQ$19)*(W520-W521)/(1-Project_Register!$AV$19)))*Project_Register!$AA$19)</f>
        <v>1156.92</v>
      </c>
      <c r="X525" s="58" t="n">
        <f aca="false">IF(X$5="A",0,IF((Project_Register!$AT$19-Project_Register!$AQ$19)&lt;=0,0,IF(1-Project_Register!$AV$19&lt;=0.000001,IF(Assumptions!X$96=Assumptions!$C$10+1,(Project_Register!$AT$19-Project_Register!$AQ$19),0),(Project_Register!$AT$19-Project_Register!$AQ$19)*(X520-X521)/(1-Project_Register!$AV$19)))*Project_Register!$AA$19)</f>
        <v>1380.84</v>
      </c>
      <c r="Y525" s="58" t="n">
        <f aca="false">IF(Y$5="A",0,IF((Project_Register!$AT$19-Project_Register!$AQ$19)&lt;=0,0,IF(1-Project_Register!$AV$19&lt;=0.000001,IF(Assumptions!Y$96=Assumptions!$C$10+1,(Project_Register!$AT$19-Project_Register!$AQ$19),0),(Project_Register!$AT$19-Project_Register!$AQ$19)*(Y520-Y521)/(1-Project_Register!$AV$19)))*Project_Register!$AA$19)</f>
        <v>1156.92</v>
      </c>
      <c r="Z525" s="58" t="n">
        <f aca="false">IF(Z$5="A",0,IF((Project_Register!$AT$19-Project_Register!$AQ$19)&lt;=0,0,IF(1-Project_Register!$AV$19&lt;=0.000001,IF(Assumptions!Z$96=Assumptions!$C$10+1,(Project_Register!$AT$19-Project_Register!$AQ$19),0),(Project_Register!$AT$19-Project_Register!$AQ$19)*(Z520-Z521)/(1-Project_Register!$AV$19)))*Project_Register!$AA$19)</f>
        <v>485.159999999999</v>
      </c>
      <c r="AA525" s="58" t="n">
        <f aca="false">IF(AA$5="A",0,IF((Project_Register!$AT$19-Project_Register!$AQ$19)&lt;=0,0,IF(1-Project_Register!$AV$19&lt;=0.000001,IF(Assumptions!AA$96=Assumptions!$C$10+1,(Project_Register!$AT$19-Project_Register!$AQ$19),0),(Project_Register!$AT$19-Project_Register!$AQ$19)*(AA520-AA521)/(1-Project_Register!$AV$19)))*Project_Register!$AA$19)</f>
        <v>0</v>
      </c>
      <c r="AB525" s="58" t="n">
        <f aca="false">IF(AB$5="A",0,IF((Project_Register!$AT$19-Project_Register!$AQ$19)&lt;=0,0,IF(1-Project_Register!$AV$19&lt;=0.000001,IF(Assumptions!AB$96=Assumptions!$C$10+1,(Project_Register!$AT$19-Project_Register!$AQ$19),0),(Project_Register!$AT$19-Project_Register!$AQ$19)*(AB520-AB521)/(1-Project_Register!$AV$19)))*Project_Register!$AA$19)</f>
        <v>0</v>
      </c>
    </row>
    <row r="526" customFormat="false" ht="15" hidden="false" customHeight="false" outlineLevel="0" collapsed="false">
      <c r="A526" s="27" t="s">
        <v>726</v>
      </c>
      <c r="B526" s="56" t="s">
        <v>722</v>
      </c>
      <c r="C526" s="57" t="n">
        <f aca="false">SUM(E526:P526)</f>
        <v>0</v>
      </c>
      <c r="D526" s="57" t="n">
        <f aca="false">SUM(Q526:AB526)</f>
        <v>10885</v>
      </c>
      <c r="E526" s="58" t="n">
        <f aca="false">IF(E$5="A",0,IF((Project_Register!$AT$19-Project_Register!$AQ$19)&lt;=0,0,IF(1-Project_Register!$AV$19&lt;=0.000001,IF(Assumptions!E$96=Assumptions!$C$10+1,(Project_Register!$AT$19-Project_Register!$AQ$19),0),(Project_Register!$AT$19-Project_Register!$AQ$19)*(E520-E521)/(1-Project_Register!$AV$19)))*Project_Register!$AB$19)</f>
        <v>0</v>
      </c>
      <c r="F526" s="58" t="n">
        <f aca="false">IF(F$5="A",0,IF((Project_Register!$AT$19-Project_Register!$AQ$19)&lt;=0,0,IF(1-Project_Register!$AV$19&lt;=0.000001,IF(Assumptions!F$96=Assumptions!$C$10+1,(Project_Register!$AT$19-Project_Register!$AQ$19),0),(Project_Register!$AT$19-Project_Register!$AQ$19)*(F520-F521)/(1-Project_Register!$AV$19)))*Project_Register!$AB$19)</f>
        <v>0</v>
      </c>
      <c r="G526" s="58" t="n">
        <f aca="false">IF(G$5="A",0,IF((Project_Register!$AT$19-Project_Register!$AQ$19)&lt;=0,0,IF(1-Project_Register!$AV$19&lt;=0.000001,IF(Assumptions!G$96=Assumptions!$C$10+1,(Project_Register!$AT$19-Project_Register!$AQ$19),0),(Project_Register!$AT$19-Project_Register!$AQ$19)*(G520-G521)/(1-Project_Register!$AV$19)))*Project_Register!$AB$19)</f>
        <v>0</v>
      </c>
      <c r="H526" s="58" t="n">
        <f aca="false">IF(H$5="A",0,IF((Project_Register!$AT$19-Project_Register!$AQ$19)&lt;=0,0,IF(1-Project_Register!$AV$19&lt;=0.000001,IF(Assumptions!H$96=Assumptions!$C$10+1,(Project_Register!$AT$19-Project_Register!$AQ$19),0),(Project_Register!$AT$19-Project_Register!$AQ$19)*(H520-H521)/(1-Project_Register!$AV$19)))*Project_Register!$AB$19)</f>
        <v>0</v>
      </c>
      <c r="I526" s="58" t="n">
        <f aca="false">IF(I$5="A",0,IF((Project_Register!$AT$19-Project_Register!$AQ$19)&lt;=0,0,IF(1-Project_Register!$AV$19&lt;=0.000001,IF(Assumptions!I$96=Assumptions!$C$10+1,(Project_Register!$AT$19-Project_Register!$AQ$19),0),(Project_Register!$AT$19-Project_Register!$AQ$19)*(I520-I521)/(1-Project_Register!$AV$19)))*Project_Register!$AB$19)</f>
        <v>0</v>
      </c>
      <c r="J526" s="58" t="n">
        <f aca="false">IF(J$5="A",0,IF((Project_Register!$AT$19-Project_Register!$AQ$19)&lt;=0,0,IF(1-Project_Register!$AV$19&lt;=0.000001,IF(Assumptions!J$96=Assumptions!$C$10+1,(Project_Register!$AT$19-Project_Register!$AQ$19),0),(Project_Register!$AT$19-Project_Register!$AQ$19)*(J520-J521)/(1-Project_Register!$AV$19)))*Project_Register!$AB$19)</f>
        <v>0</v>
      </c>
      <c r="K526" s="58" t="n">
        <f aca="false">IF(K$5="A",0,IF((Project_Register!$AT$19-Project_Register!$AQ$19)&lt;=0,0,IF(1-Project_Register!$AV$19&lt;=0.000001,IF(Assumptions!K$96=Assumptions!$C$10+1,(Project_Register!$AT$19-Project_Register!$AQ$19),0),(Project_Register!$AT$19-Project_Register!$AQ$19)*(K520-K521)/(1-Project_Register!$AV$19)))*Project_Register!$AB$19)</f>
        <v>0</v>
      </c>
      <c r="L526" s="58" t="n">
        <f aca="false">IF(L$5="A",0,IF((Project_Register!$AT$19-Project_Register!$AQ$19)&lt;=0,0,IF(1-Project_Register!$AV$19&lt;=0.000001,IF(Assumptions!L$96=Assumptions!$C$10+1,(Project_Register!$AT$19-Project_Register!$AQ$19),0),(Project_Register!$AT$19-Project_Register!$AQ$19)*(L520-L521)/(1-Project_Register!$AV$19)))*Project_Register!$AB$19)</f>
        <v>0</v>
      </c>
      <c r="M526" s="58" t="n">
        <f aca="false">IF(M$5="A",0,IF((Project_Register!$AT$19-Project_Register!$AQ$19)&lt;=0,0,IF(1-Project_Register!$AV$19&lt;=0.000001,IF(Assumptions!M$96=Assumptions!$C$10+1,(Project_Register!$AT$19-Project_Register!$AQ$19),0),(Project_Register!$AT$19-Project_Register!$AQ$19)*(M520-M521)/(1-Project_Register!$AV$19)))*Project_Register!$AB$19)</f>
        <v>0</v>
      </c>
      <c r="N526" s="58" t="n">
        <f aca="false">IF(N$5="A",0,IF((Project_Register!$AT$19-Project_Register!$AQ$19)&lt;=0,0,IF(1-Project_Register!$AV$19&lt;=0.000001,IF(Assumptions!N$96=Assumptions!$C$10+1,(Project_Register!$AT$19-Project_Register!$AQ$19),0),(Project_Register!$AT$19-Project_Register!$AQ$19)*(N520-N521)/(1-Project_Register!$AV$19)))*Project_Register!$AB$19)</f>
        <v>0</v>
      </c>
      <c r="O526" s="58" t="n">
        <f aca="false">IF(O$5="A",0,IF((Project_Register!$AT$19-Project_Register!$AQ$19)&lt;=0,0,IF(1-Project_Register!$AV$19&lt;=0.000001,IF(Assumptions!O$96=Assumptions!$C$10+1,(Project_Register!$AT$19-Project_Register!$AQ$19),0),(Project_Register!$AT$19-Project_Register!$AQ$19)*(O520-O521)/(1-Project_Register!$AV$19)))*Project_Register!$AB$19)</f>
        <v>0</v>
      </c>
      <c r="P526" s="58" t="n">
        <f aca="false">IF(P$5="A",0,IF((Project_Register!$AT$19-Project_Register!$AQ$19)&lt;=0,0,IF(1-Project_Register!$AV$19&lt;=0.000001,IF(Assumptions!P$96=Assumptions!$C$10+1,(Project_Register!$AT$19-Project_Register!$AQ$19),0),(Project_Register!$AT$19-Project_Register!$AQ$19)*(P520-P521)/(1-Project_Register!$AV$19)))*Project_Register!$AB$19)</f>
        <v>0</v>
      </c>
      <c r="Q526" s="58" t="n">
        <f aca="false">IF(Q$5="A",0,IF((Project_Register!$AT$19-Project_Register!$AQ$19)&lt;=0,0,IF(1-Project_Register!$AV$19&lt;=0.000001,IF(Assumptions!Q$96=Assumptions!$C$10+1,(Project_Register!$AT$19-Project_Register!$AQ$19),0),(Project_Register!$AT$19-Project_Register!$AQ$19)*(Q520-Q521)/(1-Project_Register!$AV$19)))*Project_Register!$AB$19)</f>
        <v>0</v>
      </c>
      <c r="R526" s="58" t="n">
        <f aca="false">IF(R$5="A",0,IF((Project_Register!$AT$19-Project_Register!$AQ$19)&lt;=0,0,IF(1-Project_Register!$AV$19&lt;=0.000001,IF(Assumptions!R$96=Assumptions!$C$10+1,(Project_Register!$AT$19-Project_Register!$AQ$19),0),(Project_Register!$AT$19-Project_Register!$AQ$19)*(R520-R521)/(1-Project_Register!$AV$19)))*Project_Register!$AB$19)</f>
        <v>0</v>
      </c>
      <c r="S526" s="58" t="n">
        <f aca="false">IF(S$5="A",0,IF((Project_Register!$AT$19-Project_Register!$AQ$19)&lt;=0,0,IF(1-Project_Register!$AV$19&lt;=0.000001,IF(Assumptions!S$96=Assumptions!$C$10+1,(Project_Register!$AT$19-Project_Register!$AQ$19),0),(Project_Register!$AT$19-Project_Register!$AQ$19)*(S520-S521)/(1-Project_Register!$AV$19)))*Project_Register!$AB$19)</f>
        <v>0</v>
      </c>
      <c r="T526" s="58" t="n">
        <f aca="false">IF(T$5="A",0,IF((Project_Register!$AT$19-Project_Register!$AQ$19)&lt;=0,0,IF(1-Project_Register!$AV$19&lt;=0.000001,IF(Assumptions!T$96=Assumptions!$C$10+1,(Project_Register!$AT$19-Project_Register!$AQ$19),0),(Project_Register!$AT$19-Project_Register!$AQ$19)*(T520-T521)/(1-Project_Register!$AV$19)))*Project_Register!$AB$19)</f>
        <v>0</v>
      </c>
      <c r="U526" s="58" t="n">
        <f aca="false">IF(U$5="A",0,IF((Project_Register!$AT$19-Project_Register!$AQ$19)&lt;=0,0,IF(1-Project_Register!$AV$19&lt;=0.000001,IF(Assumptions!U$96=Assumptions!$C$10+1,(Project_Register!$AT$19-Project_Register!$AQ$19),0),(Project_Register!$AT$19-Project_Register!$AQ$19)*(U520-U521)/(1-Project_Register!$AV$19)))*Project_Register!$AB$19)</f>
        <v>0</v>
      </c>
      <c r="V526" s="58" t="n">
        <f aca="false">IF(V$5="A",0,IF((Project_Register!$AT$19-Project_Register!$AQ$19)&lt;=0,0,IF(1-Project_Register!$AV$19&lt;=0.000001,IF(Assumptions!V$96=Assumptions!$C$10+1,(Project_Register!$AT$19-Project_Register!$AQ$19),0),(Project_Register!$AT$19-Project_Register!$AQ$19)*(V520-V521)/(1-Project_Register!$AV$19)))*Project_Register!$AB$19)</f>
        <v>1132.04</v>
      </c>
      <c r="W526" s="58" t="n">
        <f aca="false">IF(W$5="A",0,IF((Project_Register!$AT$19-Project_Register!$AQ$19)&lt;=0,0,IF(1-Project_Register!$AV$19&lt;=0.000001,IF(Assumptions!W$96=Assumptions!$C$10+1,(Project_Register!$AT$19-Project_Register!$AQ$19),0),(Project_Register!$AT$19-Project_Register!$AQ$19)*(W520-W521)/(1-Project_Register!$AV$19)))*Project_Register!$AB$19)</f>
        <v>2699.48</v>
      </c>
      <c r="X526" s="58" t="n">
        <f aca="false">IF(X$5="A",0,IF((Project_Register!$AT$19-Project_Register!$AQ$19)&lt;=0,0,IF(1-Project_Register!$AV$19&lt;=0.000001,IF(Assumptions!X$96=Assumptions!$C$10+1,(Project_Register!$AT$19-Project_Register!$AQ$19),0),(Project_Register!$AT$19-Project_Register!$AQ$19)*(X520-X521)/(1-Project_Register!$AV$19)))*Project_Register!$AB$19)</f>
        <v>3221.96</v>
      </c>
      <c r="Y526" s="58" t="n">
        <f aca="false">IF(Y$5="A",0,IF((Project_Register!$AT$19-Project_Register!$AQ$19)&lt;=0,0,IF(1-Project_Register!$AV$19&lt;=0.000001,IF(Assumptions!Y$96=Assumptions!$C$10+1,(Project_Register!$AT$19-Project_Register!$AQ$19),0),(Project_Register!$AT$19-Project_Register!$AQ$19)*(Y520-Y521)/(1-Project_Register!$AV$19)))*Project_Register!$AB$19)</f>
        <v>2699.48</v>
      </c>
      <c r="Z526" s="58" t="n">
        <f aca="false">IF(Z$5="A",0,IF((Project_Register!$AT$19-Project_Register!$AQ$19)&lt;=0,0,IF(1-Project_Register!$AV$19&lt;=0.000001,IF(Assumptions!Z$96=Assumptions!$C$10+1,(Project_Register!$AT$19-Project_Register!$AQ$19),0),(Project_Register!$AT$19-Project_Register!$AQ$19)*(Z520-Z521)/(1-Project_Register!$AV$19)))*Project_Register!$AB$19)</f>
        <v>1132.04</v>
      </c>
      <c r="AA526" s="58" t="n">
        <f aca="false">IF(AA$5="A",0,IF((Project_Register!$AT$19-Project_Register!$AQ$19)&lt;=0,0,IF(1-Project_Register!$AV$19&lt;=0.000001,IF(Assumptions!AA$96=Assumptions!$C$10+1,(Project_Register!$AT$19-Project_Register!$AQ$19),0),(Project_Register!$AT$19-Project_Register!$AQ$19)*(AA520-AA521)/(1-Project_Register!$AV$19)))*Project_Register!$AB$19)</f>
        <v>0</v>
      </c>
      <c r="AB526" s="58" t="n">
        <f aca="false">IF(AB$5="A",0,IF((Project_Register!$AT$19-Project_Register!$AQ$19)&lt;=0,0,IF(1-Project_Register!$AV$19&lt;=0.000001,IF(Assumptions!AB$96=Assumptions!$C$10+1,(Project_Register!$AT$19-Project_Register!$AQ$19),0),(Project_Register!$AT$19-Project_Register!$AQ$19)*(AB520-AB521)/(1-Project_Register!$AV$19)))*Project_Register!$AB$19)</f>
        <v>0</v>
      </c>
    </row>
    <row r="527" customFormat="false" ht="15" hidden="false" customHeight="false" outlineLevel="0" collapsed="false">
      <c r="A527" s="67" t="s">
        <v>727</v>
      </c>
      <c r="B527" s="68" t="s">
        <v>728</v>
      </c>
      <c r="C527" s="69" t="n">
        <f aca="false">SUM(E527:P527)</f>
        <v>0</v>
      </c>
      <c r="D527" s="69" t="n">
        <f aca="false">SUM(Q527:AB527)</f>
        <v>155500</v>
      </c>
      <c r="E527" s="69" t="n">
        <f aca="false">SUM(E522:E526)</f>
        <v>0</v>
      </c>
      <c r="F527" s="69" t="n">
        <f aca="false">SUM(F522:F526)</f>
        <v>0</v>
      </c>
      <c r="G527" s="69" t="n">
        <f aca="false">SUM(G522:G526)</f>
        <v>0</v>
      </c>
      <c r="H527" s="69" t="n">
        <f aca="false">SUM(H522:H526)</f>
        <v>0</v>
      </c>
      <c r="I527" s="69" t="n">
        <f aca="false">SUM(I522:I526)</f>
        <v>0</v>
      </c>
      <c r="J527" s="69" t="n">
        <f aca="false">SUM(J522:J526)</f>
        <v>0</v>
      </c>
      <c r="K527" s="69" t="n">
        <f aca="false">SUM(K522:K526)</f>
        <v>0</v>
      </c>
      <c r="L527" s="69" t="n">
        <f aca="false">SUM(L522:L526)</f>
        <v>0</v>
      </c>
      <c r="M527" s="69" t="n">
        <f aca="false">SUM(M522:M526)</f>
        <v>0</v>
      </c>
      <c r="N527" s="69" t="n">
        <f aca="false">SUM(N522:N526)</f>
        <v>0</v>
      </c>
      <c r="O527" s="69" t="n">
        <f aca="false">SUM(O522:O526)</f>
        <v>0</v>
      </c>
      <c r="P527" s="69" t="n">
        <f aca="false">SUM(P522:P526)</f>
        <v>0</v>
      </c>
      <c r="Q527" s="69" t="n">
        <f aca="false">SUM(Q522:Q526)</f>
        <v>0</v>
      </c>
      <c r="R527" s="69" t="n">
        <f aca="false">SUM(R522:R526)</f>
        <v>0</v>
      </c>
      <c r="S527" s="69" t="n">
        <f aca="false">SUM(S522:S526)</f>
        <v>0</v>
      </c>
      <c r="T527" s="69" t="n">
        <f aca="false">SUM(T522:T526)</f>
        <v>0</v>
      </c>
      <c r="U527" s="69" t="n">
        <f aca="false">SUM(U522:U526)</f>
        <v>0</v>
      </c>
      <c r="V527" s="69" t="n">
        <f aca="false">SUM(V522:V526)</f>
        <v>16172</v>
      </c>
      <c r="W527" s="69" t="n">
        <f aca="false">SUM(W522:W526)</f>
        <v>38564</v>
      </c>
      <c r="X527" s="69" t="n">
        <f aca="false">SUM(X522:X526)</f>
        <v>46028</v>
      </c>
      <c r="Y527" s="69" t="n">
        <f aca="false">SUM(Y522:Y526)</f>
        <v>38564</v>
      </c>
      <c r="Z527" s="69" t="n">
        <f aca="false">SUM(Z522:Z526)</f>
        <v>16172</v>
      </c>
      <c r="AA527" s="69" t="n">
        <f aca="false">SUM(AA522:AA526)</f>
        <v>0</v>
      </c>
      <c r="AB527" s="69" t="n">
        <f aca="false">SUM(AB522:AB526)</f>
        <v>0</v>
      </c>
    </row>
    <row r="528" customFormat="false" ht="15" hidden="false" customHeight="false" outlineLevel="0" collapsed="false">
      <c r="A528" s="27" t="s">
        <v>729</v>
      </c>
      <c r="B528" s="56" t="s">
        <v>730</v>
      </c>
      <c r="C528" s="57" t="n">
        <f aca="false">P528</f>
        <v>0</v>
      </c>
      <c r="D528" s="57" t="n">
        <f aca="false">AB528</f>
        <v>155500</v>
      </c>
      <c r="E528" s="58" t="n">
        <f aca="false">Project_Register!$AC$19+E527</f>
        <v>0</v>
      </c>
      <c r="F528" s="70" t="n">
        <f aca="false">E528+F527</f>
        <v>0</v>
      </c>
      <c r="G528" s="70" t="n">
        <f aca="false">F528+G527</f>
        <v>0</v>
      </c>
      <c r="H528" s="70" t="n">
        <f aca="false">G528+H527</f>
        <v>0</v>
      </c>
      <c r="I528" s="70" t="n">
        <f aca="false">H528+I527</f>
        <v>0</v>
      </c>
      <c r="J528" s="70" t="n">
        <f aca="false">I528+J527</f>
        <v>0</v>
      </c>
      <c r="K528" s="70" t="n">
        <f aca="false">J528+K527</f>
        <v>0</v>
      </c>
      <c r="L528" s="70" t="n">
        <f aca="false">K528+L527</f>
        <v>0</v>
      </c>
      <c r="M528" s="70" t="n">
        <f aca="false">L528+M527</f>
        <v>0</v>
      </c>
      <c r="N528" s="70" t="n">
        <f aca="false">M528+N527</f>
        <v>0</v>
      </c>
      <c r="O528" s="70" t="n">
        <f aca="false">N528+O527</f>
        <v>0</v>
      </c>
      <c r="P528" s="70" t="n">
        <f aca="false">O528+P527</f>
        <v>0</v>
      </c>
      <c r="Q528" s="70" t="n">
        <f aca="false">P528+Q527</f>
        <v>0</v>
      </c>
      <c r="R528" s="70" t="n">
        <f aca="false">Q528+R527</f>
        <v>0</v>
      </c>
      <c r="S528" s="70" t="n">
        <f aca="false">R528+S527</f>
        <v>0</v>
      </c>
      <c r="T528" s="70" t="n">
        <f aca="false">S528+T527</f>
        <v>0</v>
      </c>
      <c r="U528" s="70" t="n">
        <f aca="false">T528+U527</f>
        <v>0</v>
      </c>
      <c r="V528" s="70" t="n">
        <f aca="false">U528+V527</f>
        <v>16172</v>
      </c>
      <c r="W528" s="70" t="n">
        <f aca="false">V528+W527</f>
        <v>54736</v>
      </c>
      <c r="X528" s="70" t="n">
        <f aca="false">W528+X527</f>
        <v>100764</v>
      </c>
      <c r="Y528" s="70" t="n">
        <f aca="false">X528+Y527</f>
        <v>139328</v>
      </c>
      <c r="Z528" s="70" t="n">
        <f aca="false">Y528+Z527</f>
        <v>155500</v>
      </c>
      <c r="AA528" s="70" t="n">
        <f aca="false">Z528+AA527</f>
        <v>155500</v>
      </c>
      <c r="AB528" s="70" t="n">
        <f aca="false">AA528+AB527</f>
        <v>155500</v>
      </c>
    </row>
    <row r="529" customFormat="false" ht="15" hidden="false" customHeight="false" outlineLevel="0" collapsed="false">
      <c r="A529" s="27" t="s">
        <v>731</v>
      </c>
      <c r="B529" s="56" t="s">
        <v>732</v>
      </c>
      <c r="C529" s="57" t="n">
        <f aca="false">P529</f>
        <v>155500</v>
      </c>
      <c r="D529" s="57" t="n">
        <f aca="false">AB529</f>
        <v>155500</v>
      </c>
      <c r="E529" s="58" t="n">
        <f aca="false">IF(E$5="A",IF(E528+Project_Register!$AP$19&lt;=0,Project_Register!$AP$19,E528+Project_Register!$AP$19),Project_Register!$AT$19)</f>
        <v>155500</v>
      </c>
      <c r="F529" s="58" t="n">
        <f aca="false">IF(F$5="A",IF(F528+Project_Register!$AP$19&lt;=0,Project_Register!$AP$19,F528+Project_Register!$AP$19),Project_Register!$AT$19)</f>
        <v>155500</v>
      </c>
      <c r="G529" s="58" t="n">
        <f aca="false">IF(G$5="A",IF(G528+Project_Register!$AP$19&lt;=0,Project_Register!$AP$19,G528+Project_Register!$AP$19),Project_Register!$AT$19)</f>
        <v>155500</v>
      </c>
      <c r="H529" s="58" t="n">
        <f aca="false">IF(H$5="A",IF(H528+Project_Register!$AP$19&lt;=0,Project_Register!$AP$19,H528+Project_Register!$AP$19),Project_Register!$AT$19)</f>
        <v>155500</v>
      </c>
      <c r="I529" s="58" t="n">
        <f aca="false">IF(I$5="A",IF(I528+Project_Register!$AP$19&lt;=0,Project_Register!$AP$19,I528+Project_Register!$AP$19),Project_Register!$AT$19)</f>
        <v>155500</v>
      </c>
      <c r="J529" s="58" t="n">
        <f aca="false">IF(J$5="A",IF(J528+Project_Register!$AP$19&lt;=0,Project_Register!$AP$19,J528+Project_Register!$AP$19),Project_Register!$AT$19)</f>
        <v>155500</v>
      </c>
      <c r="K529" s="58" t="n">
        <f aca="false">IF(K$5="A",IF(K528+Project_Register!$AP$19&lt;=0,Project_Register!$AP$19,K528+Project_Register!$AP$19),Project_Register!$AT$19)</f>
        <v>155500</v>
      </c>
      <c r="L529" s="58" t="n">
        <f aca="false">IF(L$5="A",IF(L528+Project_Register!$AP$19&lt;=0,Project_Register!$AP$19,L528+Project_Register!$AP$19),Project_Register!$AT$19)</f>
        <v>155500</v>
      </c>
      <c r="M529" s="58" t="n">
        <f aca="false">IF(M$5="A",IF(M528+Project_Register!$AP$19&lt;=0,Project_Register!$AP$19,M528+Project_Register!$AP$19),Project_Register!$AT$19)</f>
        <v>155500</v>
      </c>
      <c r="N529" s="58" t="n">
        <f aca="false">IF(N$5="A",IF(N528+Project_Register!$AP$19&lt;=0,Project_Register!$AP$19,N528+Project_Register!$AP$19),Project_Register!$AT$19)</f>
        <v>155500</v>
      </c>
      <c r="O529" s="58" t="n">
        <f aca="false">IF(O$5="A",IF(O528+Project_Register!$AP$19&lt;=0,Project_Register!$AP$19,O528+Project_Register!$AP$19),Project_Register!$AT$19)</f>
        <v>155500</v>
      </c>
      <c r="P529" s="58" t="n">
        <f aca="false">IF(P$5="A",IF(P528+Project_Register!$AP$19&lt;=0,Project_Register!$AP$19,P528+Project_Register!$AP$19),Project_Register!$AT$19)</f>
        <v>155500</v>
      </c>
      <c r="Q529" s="58" t="n">
        <f aca="false">IF(Q$5="A",IF(Q528+Project_Register!$AP$19&lt;=0,Project_Register!$AP$19,Q528+Project_Register!$AP$19),Project_Register!$AT$19)</f>
        <v>155500</v>
      </c>
      <c r="R529" s="58" t="n">
        <f aca="false">IF(R$5="A",IF(R528+Project_Register!$AP$19&lt;=0,Project_Register!$AP$19,R528+Project_Register!$AP$19),Project_Register!$AT$19)</f>
        <v>155500</v>
      </c>
      <c r="S529" s="58" t="n">
        <f aca="false">IF(S$5="A",IF(S528+Project_Register!$AP$19&lt;=0,Project_Register!$AP$19,S528+Project_Register!$AP$19),Project_Register!$AT$19)</f>
        <v>155500</v>
      </c>
      <c r="T529" s="58" t="n">
        <f aca="false">IF(T$5="A",IF(T528+Project_Register!$AP$19&lt;=0,Project_Register!$AP$19,T528+Project_Register!$AP$19),Project_Register!$AT$19)</f>
        <v>155500</v>
      </c>
      <c r="U529" s="58" t="n">
        <f aca="false">IF(U$5="A",IF(U528+Project_Register!$AP$19&lt;=0,Project_Register!$AP$19,U528+Project_Register!$AP$19),Project_Register!$AT$19)</f>
        <v>155500</v>
      </c>
      <c r="V529" s="58" t="n">
        <f aca="false">IF(V$5="A",IF(V528+Project_Register!$AP$19&lt;=0,Project_Register!$AP$19,V528+Project_Register!$AP$19),Project_Register!$AT$19)</f>
        <v>155500</v>
      </c>
      <c r="W529" s="58" t="n">
        <f aca="false">IF(W$5="A",IF(W528+Project_Register!$AP$19&lt;=0,Project_Register!$AP$19,W528+Project_Register!$AP$19),Project_Register!$AT$19)</f>
        <v>155500</v>
      </c>
      <c r="X529" s="58" t="n">
        <f aca="false">IF(X$5="A",IF(X528+Project_Register!$AP$19&lt;=0,Project_Register!$AP$19,X528+Project_Register!$AP$19),Project_Register!$AT$19)</f>
        <v>155500</v>
      </c>
      <c r="Y529" s="58" t="n">
        <f aca="false">IF(Y$5="A",IF(Y528+Project_Register!$AP$19&lt;=0,Project_Register!$AP$19,Y528+Project_Register!$AP$19),Project_Register!$AT$19)</f>
        <v>155500</v>
      </c>
      <c r="Z529" s="58" t="n">
        <f aca="false">IF(Z$5="A",IF(Z528+Project_Register!$AP$19&lt;=0,Project_Register!$AP$19,Z528+Project_Register!$AP$19),Project_Register!$AT$19)</f>
        <v>155500</v>
      </c>
      <c r="AA529" s="58" t="n">
        <f aca="false">IF(AA$5="A",IF(AA528+Project_Register!$AP$19&lt;=0,Project_Register!$AP$19,AA528+Project_Register!$AP$19),Project_Register!$AT$19)</f>
        <v>155500</v>
      </c>
      <c r="AB529" s="58" t="n">
        <f aca="false">IF(AB$5="A",IF(AB528+Project_Register!$AP$19&lt;=0,Project_Register!$AP$19,AB528+Project_Register!$AP$19),Project_Register!$AT$19)</f>
        <v>155500</v>
      </c>
    </row>
    <row r="530" customFormat="false" ht="15" hidden="false" customHeight="false" outlineLevel="0" collapsed="false">
      <c r="A530" s="27" t="s">
        <v>733</v>
      </c>
      <c r="B530" s="56" t="s">
        <v>734</v>
      </c>
      <c r="C530" s="59" t="n">
        <f aca="false">P530</f>
        <v>0</v>
      </c>
      <c r="D530" s="59" t="n">
        <f aca="false">AB530</f>
        <v>1</v>
      </c>
      <c r="E530" s="60" t="n">
        <f aca="false">IF(E529&lt;=0,0,MIN(1,E528/E529))</f>
        <v>0</v>
      </c>
      <c r="F530" s="60" t="n">
        <f aca="false">IF(F529&lt;=0,0,MIN(1,F528/F529))</f>
        <v>0</v>
      </c>
      <c r="G530" s="60" t="n">
        <f aca="false">IF(G529&lt;=0,0,MIN(1,G528/G529))</f>
        <v>0</v>
      </c>
      <c r="H530" s="60" t="n">
        <f aca="false">IF(H529&lt;=0,0,MIN(1,H528/H529))</f>
        <v>0</v>
      </c>
      <c r="I530" s="60" t="n">
        <f aca="false">IF(I529&lt;=0,0,MIN(1,I528/I529))</f>
        <v>0</v>
      </c>
      <c r="J530" s="60" t="n">
        <f aca="false">IF(J529&lt;=0,0,MIN(1,J528/J529))</f>
        <v>0</v>
      </c>
      <c r="K530" s="60" t="n">
        <f aca="false">IF(K529&lt;=0,0,MIN(1,K528/K529))</f>
        <v>0</v>
      </c>
      <c r="L530" s="60" t="n">
        <f aca="false">IF(L529&lt;=0,0,MIN(1,L528/L529))</f>
        <v>0</v>
      </c>
      <c r="M530" s="60" t="n">
        <f aca="false">IF(M529&lt;=0,0,MIN(1,M528/M529))</f>
        <v>0</v>
      </c>
      <c r="N530" s="60" t="n">
        <f aca="false">IF(N529&lt;=0,0,MIN(1,N528/N529))</f>
        <v>0</v>
      </c>
      <c r="O530" s="60" t="n">
        <f aca="false">IF(O529&lt;=0,0,MIN(1,O528/O529))</f>
        <v>0</v>
      </c>
      <c r="P530" s="60" t="n">
        <f aca="false">IF(P529&lt;=0,0,MIN(1,P528/P529))</f>
        <v>0</v>
      </c>
      <c r="Q530" s="60" t="n">
        <f aca="false">IF(Q529&lt;=0,0,MIN(1,Q528/Q529))</f>
        <v>0</v>
      </c>
      <c r="R530" s="60" t="n">
        <f aca="false">IF(R529&lt;=0,0,MIN(1,R528/R529))</f>
        <v>0</v>
      </c>
      <c r="S530" s="60" t="n">
        <f aca="false">IF(S529&lt;=0,0,MIN(1,S528/S529))</f>
        <v>0</v>
      </c>
      <c r="T530" s="60" t="n">
        <f aca="false">IF(T529&lt;=0,0,MIN(1,T528/T529))</f>
        <v>0</v>
      </c>
      <c r="U530" s="60" t="n">
        <f aca="false">IF(U529&lt;=0,0,MIN(1,U528/U529))</f>
        <v>0</v>
      </c>
      <c r="V530" s="60" t="n">
        <f aca="false">IF(V529&lt;=0,0,MIN(1,V528/V529))</f>
        <v>0.104</v>
      </c>
      <c r="W530" s="60" t="n">
        <f aca="false">IF(W529&lt;=0,0,MIN(1,W528/W529))</f>
        <v>0.352</v>
      </c>
      <c r="X530" s="60" t="n">
        <f aca="false">IF(X529&lt;=0,0,MIN(1,X528/X529))</f>
        <v>0.648</v>
      </c>
      <c r="Y530" s="60" t="n">
        <f aca="false">IF(Y529&lt;=0,0,MIN(1,Y528/Y529))</f>
        <v>0.896</v>
      </c>
      <c r="Z530" s="60" t="n">
        <f aca="false">IF(Z529&lt;=0,0,MIN(1,Z528/Z529))</f>
        <v>1</v>
      </c>
      <c r="AA530" s="60" t="n">
        <f aca="false">IF(AA529&lt;=0,0,MIN(1,AA528/AA529))</f>
        <v>1</v>
      </c>
      <c r="AB530" s="60" t="n">
        <f aca="false">IF(AB529&lt;=0,0,MIN(1,AB528/AB529))</f>
        <v>1</v>
      </c>
    </row>
    <row r="531" customFormat="false" ht="15" hidden="false" customHeight="false" outlineLevel="0" collapsed="false">
      <c r="A531" s="27" t="s">
        <v>735</v>
      </c>
      <c r="B531" s="56" t="s">
        <v>736</v>
      </c>
      <c r="C531" s="57" t="n">
        <f aca="false">P531</f>
        <v>0</v>
      </c>
      <c r="D531" s="57" t="n">
        <f aca="false">AB531</f>
        <v>0</v>
      </c>
      <c r="E531" s="58" t="n">
        <f aca="false">SUMIFS(Variations!$H$6:$H$21,Variations!$B$6:$B$21,"CF-P04",Variations!$F$6:$F$21,"Approved",Variations!$G$6:$G$21,"&lt;="&amp;Assumptions!E$95)</f>
        <v>0</v>
      </c>
      <c r="F531" s="58" t="n">
        <f aca="false">SUMIFS(Variations!$H$6:$H$21,Variations!$B$6:$B$21,"CF-P04",Variations!$F$6:$F$21,"Approved",Variations!$G$6:$G$21,"&lt;="&amp;Assumptions!F$95)</f>
        <v>0</v>
      </c>
      <c r="G531" s="58" t="n">
        <f aca="false">SUMIFS(Variations!$H$6:$H$21,Variations!$B$6:$B$21,"CF-P04",Variations!$F$6:$F$21,"Approved",Variations!$G$6:$G$21,"&lt;="&amp;Assumptions!G$95)</f>
        <v>0</v>
      </c>
      <c r="H531" s="58" t="n">
        <f aca="false">SUMIFS(Variations!$H$6:$H$21,Variations!$B$6:$B$21,"CF-P04",Variations!$F$6:$F$21,"Approved",Variations!$G$6:$G$21,"&lt;="&amp;Assumptions!H$95)</f>
        <v>0</v>
      </c>
      <c r="I531" s="58" t="n">
        <f aca="false">SUMIFS(Variations!$H$6:$H$21,Variations!$B$6:$B$21,"CF-P04",Variations!$F$6:$F$21,"Approved",Variations!$G$6:$G$21,"&lt;="&amp;Assumptions!I$95)</f>
        <v>0</v>
      </c>
      <c r="J531" s="58" t="n">
        <f aca="false">SUMIFS(Variations!$H$6:$H$21,Variations!$B$6:$B$21,"CF-P04",Variations!$F$6:$F$21,"Approved",Variations!$G$6:$G$21,"&lt;="&amp;Assumptions!J$95)</f>
        <v>0</v>
      </c>
      <c r="K531" s="58" t="n">
        <f aca="false">SUMIFS(Variations!$H$6:$H$21,Variations!$B$6:$B$21,"CF-P04",Variations!$F$6:$F$21,"Approved",Variations!$G$6:$G$21,"&lt;="&amp;Assumptions!K$95)</f>
        <v>0</v>
      </c>
      <c r="L531" s="58" t="n">
        <f aca="false">SUMIFS(Variations!$H$6:$H$21,Variations!$B$6:$B$21,"CF-P04",Variations!$F$6:$F$21,"Approved",Variations!$G$6:$G$21,"&lt;="&amp;Assumptions!L$95)</f>
        <v>0</v>
      </c>
      <c r="M531" s="58" t="n">
        <f aca="false">SUMIFS(Variations!$H$6:$H$21,Variations!$B$6:$B$21,"CF-P04",Variations!$F$6:$F$21,"Approved",Variations!$G$6:$G$21,"&lt;="&amp;Assumptions!M$95)</f>
        <v>0</v>
      </c>
      <c r="N531" s="58" t="n">
        <f aca="false">SUMIFS(Variations!$H$6:$H$21,Variations!$B$6:$B$21,"CF-P04",Variations!$F$6:$F$21,"Approved",Variations!$G$6:$G$21,"&lt;="&amp;Assumptions!N$95)</f>
        <v>0</v>
      </c>
      <c r="O531" s="58" t="n">
        <f aca="false">SUMIFS(Variations!$H$6:$H$21,Variations!$B$6:$B$21,"CF-P04",Variations!$F$6:$F$21,"Approved",Variations!$G$6:$G$21,"&lt;="&amp;Assumptions!O$95)</f>
        <v>0</v>
      </c>
      <c r="P531" s="58" t="n">
        <f aca="false">SUMIFS(Variations!$H$6:$H$21,Variations!$B$6:$B$21,"CF-P04",Variations!$F$6:$F$21,"Approved",Variations!$G$6:$G$21,"&lt;="&amp;Assumptions!P$95)</f>
        <v>0</v>
      </c>
      <c r="Q531" s="58" t="n">
        <f aca="false">SUMIFS(Variations!$H$6:$H$21,Variations!$B$6:$B$21,"CF-P04",Variations!$F$6:$F$21,"Approved",Variations!$G$6:$G$21,"&lt;="&amp;Assumptions!Q$95)</f>
        <v>0</v>
      </c>
      <c r="R531" s="58" t="n">
        <f aca="false">SUMIFS(Variations!$H$6:$H$21,Variations!$B$6:$B$21,"CF-P04",Variations!$F$6:$F$21,"Approved",Variations!$G$6:$G$21,"&lt;="&amp;Assumptions!R$95)</f>
        <v>0</v>
      </c>
      <c r="S531" s="58" t="n">
        <f aca="false">SUMIFS(Variations!$H$6:$H$21,Variations!$B$6:$B$21,"CF-P04",Variations!$F$6:$F$21,"Approved",Variations!$G$6:$G$21,"&lt;="&amp;Assumptions!S$95)</f>
        <v>0</v>
      </c>
      <c r="T531" s="58" t="n">
        <f aca="false">SUMIFS(Variations!$H$6:$H$21,Variations!$B$6:$B$21,"CF-P04",Variations!$F$6:$F$21,"Approved",Variations!$G$6:$G$21,"&lt;="&amp;Assumptions!T$95)</f>
        <v>0</v>
      </c>
      <c r="U531" s="58" t="n">
        <f aca="false">SUMIFS(Variations!$H$6:$H$21,Variations!$B$6:$B$21,"CF-P04",Variations!$F$6:$F$21,"Approved",Variations!$G$6:$G$21,"&lt;="&amp;Assumptions!U$95)</f>
        <v>0</v>
      </c>
      <c r="V531" s="58" t="n">
        <f aca="false">SUMIFS(Variations!$H$6:$H$21,Variations!$B$6:$B$21,"CF-P04",Variations!$F$6:$F$21,"Approved",Variations!$G$6:$G$21,"&lt;="&amp;Assumptions!V$95)</f>
        <v>0</v>
      </c>
      <c r="W531" s="58" t="n">
        <f aca="false">SUMIFS(Variations!$H$6:$H$21,Variations!$B$6:$B$21,"CF-P04",Variations!$F$6:$F$21,"Approved",Variations!$G$6:$G$21,"&lt;="&amp;Assumptions!W$95)</f>
        <v>0</v>
      </c>
      <c r="X531" s="58" t="n">
        <f aca="false">SUMIFS(Variations!$H$6:$H$21,Variations!$B$6:$B$21,"CF-P04",Variations!$F$6:$F$21,"Approved",Variations!$G$6:$G$21,"&lt;="&amp;Assumptions!X$95)</f>
        <v>0</v>
      </c>
      <c r="Y531" s="58" t="n">
        <f aca="false">SUMIFS(Variations!$H$6:$H$21,Variations!$B$6:$B$21,"CF-P04",Variations!$F$6:$F$21,"Approved",Variations!$G$6:$G$21,"&lt;="&amp;Assumptions!Y$95)</f>
        <v>0</v>
      </c>
      <c r="Z531" s="58" t="n">
        <f aca="false">SUMIFS(Variations!$H$6:$H$21,Variations!$B$6:$B$21,"CF-P04",Variations!$F$6:$F$21,"Approved",Variations!$G$6:$G$21,"&lt;="&amp;Assumptions!Z$95)</f>
        <v>0</v>
      </c>
      <c r="AA531" s="58" t="n">
        <f aca="false">SUMIFS(Variations!$H$6:$H$21,Variations!$B$6:$B$21,"CF-P04",Variations!$F$6:$F$21,"Approved",Variations!$G$6:$G$21,"&lt;="&amp;Assumptions!AA$95)</f>
        <v>0</v>
      </c>
      <c r="AB531" s="58" t="n">
        <f aca="false">SUMIFS(Variations!$H$6:$H$21,Variations!$B$6:$B$21,"CF-P04",Variations!$F$6:$F$21,"Approved",Variations!$G$6:$G$21,"&lt;="&amp;Assumptions!AB$95)</f>
        <v>0</v>
      </c>
    </row>
    <row r="532" customFormat="false" ht="15" hidden="false" customHeight="false" outlineLevel="0" collapsed="false">
      <c r="A532" s="27" t="s">
        <v>737</v>
      </c>
      <c r="B532" s="56"/>
      <c r="C532" s="57" t="n">
        <f aca="false">P532</f>
        <v>0</v>
      </c>
      <c r="D532" s="57" t="n">
        <f aca="false">AB532</f>
        <v>0</v>
      </c>
      <c r="E532" s="58" t="n">
        <f aca="false">SUMIFS(Variations!$E$6:$E$21,Variations!$B$6:$B$21,"CF-P04",Variations!$D$6:$D$21,"&lt;="&amp;Assumptions!E$95,Variations!$G$6:$G$21,"&gt;"&amp;Assumptions!E$95)</f>
        <v>0</v>
      </c>
      <c r="F532" s="58" t="n">
        <f aca="false">SUMIFS(Variations!$E$6:$E$21,Variations!$B$6:$B$21,"CF-P04",Variations!$D$6:$D$21,"&lt;="&amp;Assumptions!F$95,Variations!$G$6:$G$21,"&gt;"&amp;Assumptions!F$95)</f>
        <v>0</v>
      </c>
      <c r="G532" s="58" t="n">
        <f aca="false">SUMIFS(Variations!$E$6:$E$21,Variations!$B$6:$B$21,"CF-P04",Variations!$D$6:$D$21,"&lt;="&amp;Assumptions!G$95,Variations!$G$6:$G$21,"&gt;"&amp;Assumptions!G$95)</f>
        <v>0</v>
      </c>
      <c r="H532" s="58" t="n">
        <f aca="false">SUMIFS(Variations!$E$6:$E$21,Variations!$B$6:$B$21,"CF-P04",Variations!$D$6:$D$21,"&lt;="&amp;Assumptions!H$95,Variations!$G$6:$G$21,"&gt;"&amp;Assumptions!H$95)</f>
        <v>0</v>
      </c>
      <c r="I532" s="58" t="n">
        <f aca="false">SUMIFS(Variations!$E$6:$E$21,Variations!$B$6:$B$21,"CF-P04",Variations!$D$6:$D$21,"&lt;="&amp;Assumptions!I$95,Variations!$G$6:$G$21,"&gt;"&amp;Assumptions!I$95)</f>
        <v>0</v>
      </c>
      <c r="J532" s="58" t="n">
        <f aca="false">SUMIFS(Variations!$E$6:$E$21,Variations!$B$6:$B$21,"CF-P04",Variations!$D$6:$D$21,"&lt;="&amp;Assumptions!J$95,Variations!$G$6:$G$21,"&gt;"&amp;Assumptions!J$95)</f>
        <v>0</v>
      </c>
      <c r="K532" s="58" t="n">
        <f aca="false">SUMIFS(Variations!$E$6:$E$21,Variations!$B$6:$B$21,"CF-P04",Variations!$D$6:$D$21,"&lt;="&amp;Assumptions!K$95,Variations!$G$6:$G$21,"&gt;"&amp;Assumptions!K$95)</f>
        <v>0</v>
      </c>
      <c r="L532" s="58" t="n">
        <f aca="false">SUMIFS(Variations!$E$6:$E$21,Variations!$B$6:$B$21,"CF-P04",Variations!$D$6:$D$21,"&lt;="&amp;Assumptions!L$95,Variations!$G$6:$G$21,"&gt;"&amp;Assumptions!L$95)</f>
        <v>0</v>
      </c>
      <c r="M532" s="58" t="n">
        <f aca="false">SUMIFS(Variations!$E$6:$E$21,Variations!$B$6:$B$21,"CF-P04",Variations!$D$6:$D$21,"&lt;="&amp;Assumptions!M$95,Variations!$G$6:$G$21,"&gt;"&amp;Assumptions!M$95)</f>
        <v>0</v>
      </c>
      <c r="N532" s="58" t="n">
        <f aca="false">SUMIFS(Variations!$E$6:$E$21,Variations!$B$6:$B$21,"CF-P04",Variations!$D$6:$D$21,"&lt;="&amp;Assumptions!N$95,Variations!$G$6:$G$21,"&gt;"&amp;Assumptions!N$95)</f>
        <v>0</v>
      </c>
      <c r="O532" s="58" t="n">
        <f aca="false">SUMIFS(Variations!$E$6:$E$21,Variations!$B$6:$B$21,"CF-P04",Variations!$D$6:$D$21,"&lt;="&amp;Assumptions!O$95,Variations!$G$6:$G$21,"&gt;"&amp;Assumptions!O$95)</f>
        <v>0</v>
      </c>
      <c r="P532" s="58" t="n">
        <f aca="false">SUMIFS(Variations!$E$6:$E$21,Variations!$B$6:$B$21,"CF-P04",Variations!$D$6:$D$21,"&lt;="&amp;Assumptions!P$95,Variations!$G$6:$G$21,"&gt;"&amp;Assumptions!P$95)</f>
        <v>0</v>
      </c>
      <c r="Q532" s="58" t="n">
        <f aca="false">SUMIFS(Variations!$E$6:$E$21,Variations!$B$6:$B$21,"CF-P04",Variations!$D$6:$D$21,"&lt;="&amp;Assumptions!Q$95,Variations!$G$6:$G$21,"&gt;"&amp;Assumptions!Q$95)</f>
        <v>0</v>
      </c>
      <c r="R532" s="58" t="n">
        <f aca="false">SUMIFS(Variations!$E$6:$E$21,Variations!$B$6:$B$21,"CF-P04",Variations!$D$6:$D$21,"&lt;="&amp;Assumptions!R$95,Variations!$G$6:$G$21,"&gt;"&amp;Assumptions!R$95)</f>
        <v>0</v>
      </c>
      <c r="S532" s="58" t="n">
        <f aca="false">SUMIFS(Variations!$E$6:$E$21,Variations!$B$6:$B$21,"CF-P04",Variations!$D$6:$D$21,"&lt;="&amp;Assumptions!S$95,Variations!$G$6:$G$21,"&gt;"&amp;Assumptions!S$95)</f>
        <v>0</v>
      </c>
      <c r="T532" s="58" t="n">
        <f aca="false">SUMIFS(Variations!$E$6:$E$21,Variations!$B$6:$B$21,"CF-P04",Variations!$D$6:$D$21,"&lt;="&amp;Assumptions!T$95,Variations!$G$6:$G$21,"&gt;"&amp;Assumptions!T$95)</f>
        <v>0</v>
      </c>
      <c r="U532" s="58" t="n">
        <f aca="false">SUMIFS(Variations!$E$6:$E$21,Variations!$B$6:$B$21,"CF-P04",Variations!$D$6:$D$21,"&lt;="&amp;Assumptions!U$95,Variations!$G$6:$G$21,"&gt;"&amp;Assumptions!U$95)</f>
        <v>0</v>
      </c>
      <c r="V532" s="58" t="n">
        <f aca="false">SUMIFS(Variations!$E$6:$E$21,Variations!$B$6:$B$21,"CF-P04",Variations!$D$6:$D$21,"&lt;="&amp;Assumptions!V$95,Variations!$G$6:$G$21,"&gt;"&amp;Assumptions!V$95)</f>
        <v>0</v>
      </c>
      <c r="W532" s="58" t="n">
        <f aca="false">SUMIFS(Variations!$E$6:$E$21,Variations!$B$6:$B$21,"CF-P04",Variations!$D$6:$D$21,"&lt;="&amp;Assumptions!W$95,Variations!$G$6:$G$21,"&gt;"&amp;Assumptions!W$95)</f>
        <v>0</v>
      </c>
      <c r="X532" s="58" t="n">
        <f aca="false">SUMIFS(Variations!$E$6:$E$21,Variations!$B$6:$B$21,"CF-P04",Variations!$D$6:$D$21,"&lt;="&amp;Assumptions!X$95,Variations!$G$6:$G$21,"&gt;"&amp;Assumptions!X$95)</f>
        <v>0</v>
      </c>
      <c r="Y532" s="58" t="n">
        <f aca="false">SUMIFS(Variations!$E$6:$E$21,Variations!$B$6:$B$21,"CF-P04",Variations!$D$6:$D$21,"&lt;="&amp;Assumptions!Y$95,Variations!$G$6:$G$21,"&gt;"&amp;Assumptions!Y$95)</f>
        <v>0</v>
      </c>
      <c r="Z532" s="58" t="n">
        <f aca="false">SUMIFS(Variations!$E$6:$E$21,Variations!$B$6:$B$21,"CF-P04",Variations!$D$6:$D$21,"&lt;="&amp;Assumptions!Z$95,Variations!$G$6:$G$21,"&gt;"&amp;Assumptions!Z$95)</f>
        <v>0</v>
      </c>
      <c r="AA532" s="58" t="n">
        <f aca="false">SUMIFS(Variations!$E$6:$E$21,Variations!$B$6:$B$21,"CF-P04",Variations!$D$6:$D$21,"&lt;="&amp;Assumptions!AA$95,Variations!$G$6:$G$21,"&gt;"&amp;Assumptions!AA$95)</f>
        <v>0</v>
      </c>
      <c r="AB532" s="58" t="n">
        <f aca="false">SUMIFS(Variations!$E$6:$E$21,Variations!$B$6:$B$21,"CF-P04",Variations!$D$6:$D$21,"&lt;="&amp;Assumptions!AB$95,Variations!$G$6:$G$21,"&gt;"&amp;Assumptions!AB$95)</f>
        <v>0</v>
      </c>
    </row>
    <row r="533" customFormat="false" ht="15" hidden="false" customHeight="false" outlineLevel="0" collapsed="false">
      <c r="A533" s="27" t="s">
        <v>738</v>
      </c>
      <c r="B533" s="56"/>
      <c r="C533" s="57" t="n">
        <f aca="false">P533</f>
        <v>0</v>
      </c>
      <c r="D533" s="57" t="n">
        <f aca="false">AB533</f>
        <v>0</v>
      </c>
      <c r="E533" s="58" t="n">
        <f aca="false">SUMIFS(Variations!$E$6:$E$21,Variations!$B$6:$B$21,"CF-P04",Variations!$F$6:$F$21,"Pending",Variations!$G$6:$G$21,"&lt;="&amp;Assumptions!E$95)</f>
        <v>0</v>
      </c>
      <c r="F533" s="58" t="n">
        <f aca="false">SUMIFS(Variations!$E$6:$E$21,Variations!$B$6:$B$21,"CF-P04",Variations!$F$6:$F$21,"Pending",Variations!$G$6:$G$21,"&lt;="&amp;Assumptions!F$95)</f>
        <v>0</v>
      </c>
      <c r="G533" s="58" t="n">
        <f aca="false">SUMIFS(Variations!$E$6:$E$21,Variations!$B$6:$B$21,"CF-P04",Variations!$F$6:$F$21,"Pending",Variations!$G$6:$G$21,"&lt;="&amp;Assumptions!G$95)</f>
        <v>0</v>
      </c>
      <c r="H533" s="58" t="n">
        <f aca="false">SUMIFS(Variations!$E$6:$E$21,Variations!$B$6:$B$21,"CF-P04",Variations!$F$6:$F$21,"Pending",Variations!$G$6:$G$21,"&lt;="&amp;Assumptions!H$95)</f>
        <v>0</v>
      </c>
      <c r="I533" s="58" t="n">
        <f aca="false">SUMIFS(Variations!$E$6:$E$21,Variations!$B$6:$B$21,"CF-P04",Variations!$F$6:$F$21,"Pending",Variations!$G$6:$G$21,"&lt;="&amp;Assumptions!I$95)</f>
        <v>0</v>
      </c>
      <c r="J533" s="58" t="n">
        <f aca="false">SUMIFS(Variations!$E$6:$E$21,Variations!$B$6:$B$21,"CF-P04",Variations!$F$6:$F$21,"Pending",Variations!$G$6:$G$21,"&lt;="&amp;Assumptions!J$95)</f>
        <v>0</v>
      </c>
      <c r="K533" s="58" t="n">
        <f aca="false">SUMIFS(Variations!$E$6:$E$21,Variations!$B$6:$B$21,"CF-P04",Variations!$F$6:$F$21,"Pending",Variations!$G$6:$G$21,"&lt;="&amp;Assumptions!K$95)</f>
        <v>0</v>
      </c>
      <c r="L533" s="58" t="n">
        <f aca="false">SUMIFS(Variations!$E$6:$E$21,Variations!$B$6:$B$21,"CF-P04",Variations!$F$6:$F$21,"Pending",Variations!$G$6:$G$21,"&lt;="&amp;Assumptions!L$95)</f>
        <v>0</v>
      </c>
      <c r="M533" s="58" t="n">
        <f aca="false">SUMIFS(Variations!$E$6:$E$21,Variations!$B$6:$B$21,"CF-P04",Variations!$F$6:$F$21,"Pending",Variations!$G$6:$G$21,"&lt;="&amp;Assumptions!M$95)</f>
        <v>0</v>
      </c>
      <c r="N533" s="58" t="n">
        <f aca="false">SUMIFS(Variations!$E$6:$E$21,Variations!$B$6:$B$21,"CF-P04",Variations!$F$6:$F$21,"Pending",Variations!$G$6:$G$21,"&lt;="&amp;Assumptions!N$95)</f>
        <v>0</v>
      </c>
      <c r="O533" s="58" t="n">
        <f aca="false">SUMIFS(Variations!$E$6:$E$21,Variations!$B$6:$B$21,"CF-P04",Variations!$F$6:$F$21,"Pending",Variations!$G$6:$G$21,"&lt;="&amp;Assumptions!O$95)</f>
        <v>0</v>
      </c>
      <c r="P533" s="58" t="n">
        <f aca="false">SUMIFS(Variations!$E$6:$E$21,Variations!$B$6:$B$21,"CF-P04",Variations!$F$6:$F$21,"Pending",Variations!$G$6:$G$21,"&lt;="&amp;Assumptions!P$95)</f>
        <v>0</v>
      </c>
      <c r="Q533" s="58" t="n">
        <f aca="false">SUMIFS(Variations!$E$6:$E$21,Variations!$B$6:$B$21,"CF-P04",Variations!$F$6:$F$21,"Pending",Variations!$G$6:$G$21,"&lt;="&amp;Assumptions!Q$95)</f>
        <v>0</v>
      </c>
      <c r="R533" s="58" t="n">
        <f aca="false">SUMIFS(Variations!$E$6:$E$21,Variations!$B$6:$B$21,"CF-P04",Variations!$F$6:$F$21,"Pending",Variations!$G$6:$G$21,"&lt;="&amp;Assumptions!R$95)</f>
        <v>0</v>
      </c>
      <c r="S533" s="58" t="n">
        <f aca="false">SUMIFS(Variations!$E$6:$E$21,Variations!$B$6:$B$21,"CF-P04",Variations!$F$6:$F$21,"Pending",Variations!$G$6:$G$21,"&lt;="&amp;Assumptions!S$95)</f>
        <v>0</v>
      </c>
      <c r="T533" s="58" t="n">
        <f aca="false">SUMIFS(Variations!$E$6:$E$21,Variations!$B$6:$B$21,"CF-P04",Variations!$F$6:$F$21,"Pending",Variations!$G$6:$G$21,"&lt;="&amp;Assumptions!T$95)</f>
        <v>0</v>
      </c>
      <c r="U533" s="58" t="n">
        <f aca="false">SUMIFS(Variations!$E$6:$E$21,Variations!$B$6:$B$21,"CF-P04",Variations!$F$6:$F$21,"Pending",Variations!$G$6:$G$21,"&lt;="&amp;Assumptions!U$95)</f>
        <v>0</v>
      </c>
      <c r="V533" s="58" t="n">
        <f aca="false">SUMIFS(Variations!$E$6:$E$21,Variations!$B$6:$B$21,"CF-P04",Variations!$F$6:$F$21,"Pending",Variations!$G$6:$G$21,"&lt;="&amp;Assumptions!V$95)</f>
        <v>0</v>
      </c>
      <c r="W533" s="58" t="n">
        <f aca="false">SUMIFS(Variations!$E$6:$E$21,Variations!$B$6:$B$21,"CF-P04",Variations!$F$6:$F$21,"Pending",Variations!$G$6:$G$21,"&lt;="&amp;Assumptions!W$95)</f>
        <v>0</v>
      </c>
      <c r="X533" s="58" t="n">
        <f aca="false">SUMIFS(Variations!$E$6:$E$21,Variations!$B$6:$B$21,"CF-P04",Variations!$F$6:$F$21,"Pending",Variations!$G$6:$G$21,"&lt;="&amp;Assumptions!X$95)</f>
        <v>0</v>
      </c>
      <c r="Y533" s="58" t="n">
        <f aca="false">SUMIFS(Variations!$E$6:$E$21,Variations!$B$6:$B$21,"CF-P04",Variations!$F$6:$F$21,"Pending",Variations!$G$6:$G$21,"&lt;="&amp;Assumptions!Y$95)</f>
        <v>0</v>
      </c>
      <c r="Z533" s="58" t="n">
        <f aca="false">SUMIFS(Variations!$E$6:$E$21,Variations!$B$6:$B$21,"CF-P04",Variations!$F$6:$F$21,"Pending",Variations!$G$6:$G$21,"&lt;="&amp;Assumptions!Z$95)</f>
        <v>0</v>
      </c>
      <c r="AA533" s="58" t="n">
        <f aca="false">SUMIFS(Variations!$E$6:$E$21,Variations!$B$6:$B$21,"CF-P04",Variations!$F$6:$F$21,"Pending",Variations!$G$6:$G$21,"&lt;="&amp;Assumptions!AA$95)</f>
        <v>0</v>
      </c>
      <c r="AB533" s="58" t="n">
        <f aca="false">SUMIFS(Variations!$E$6:$E$21,Variations!$B$6:$B$21,"CF-P04",Variations!$F$6:$F$21,"Pending",Variations!$G$6:$G$21,"&lt;="&amp;Assumptions!AB$95)</f>
        <v>0</v>
      </c>
    </row>
    <row r="534" customFormat="false" ht="15" hidden="false" customHeight="false" outlineLevel="0" collapsed="false">
      <c r="A534" s="27" t="s">
        <v>739</v>
      </c>
      <c r="B534" s="56" t="s">
        <v>740</v>
      </c>
      <c r="C534" s="57" t="n">
        <f aca="false">P534</f>
        <v>180000</v>
      </c>
      <c r="D534" s="57" t="n">
        <f aca="false">AB534</f>
        <v>180000</v>
      </c>
      <c r="E534" s="58" t="n">
        <f aca="false">Project_Register!$AO$19+E531+Assumptions!$C$74*E532+Assumptions!$F$121*E533</f>
        <v>180000</v>
      </c>
      <c r="F534" s="58" t="n">
        <f aca="false">Project_Register!$AO$19+F531+Assumptions!$C$74*F532+Assumptions!$F$121*F533</f>
        <v>180000</v>
      </c>
      <c r="G534" s="58" t="n">
        <f aca="false">Project_Register!$AO$19+G531+Assumptions!$C$74*G532+Assumptions!$F$121*G533</f>
        <v>180000</v>
      </c>
      <c r="H534" s="58" t="n">
        <f aca="false">Project_Register!$AO$19+H531+Assumptions!$C$74*H532+Assumptions!$F$121*H533</f>
        <v>180000</v>
      </c>
      <c r="I534" s="58" t="n">
        <f aca="false">Project_Register!$AO$19+I531+Assumptions!$C$74*I532+Assumptions!$F$121*I533</f>
        <v>180000</v>
      </c>
      <c r="J534" s="58" t="n">
        <f aca="false">Project_Register!$AO$19+J531+Assumptions!$C$74*J532+Assumptions!$F$121*J533</f>
        <v>180000</v>
      </c>
      <c r="K534" s="58" t="n">
        <f aca="false">Project_Register!$AO$19+K531+Assumptions!$C$74*K532+Assumptions!$F$121*K533</f>
        <v>180000</v>
      </c>
      <c r="L534" s="58" t="n">
        <f aca="false">Project_Register!$AO$19+L531+Assumptions!$C$74*L532+Assumptions!$F$121*L533</f>
        <v>180000</v>
      </c>
      <c r="M534" s="58" t="n">
        <f aca="false">Project_Register!$AO$19+M531+Assumptions!$C$74*M532+Assumptions!$F$121*M533</f>
        <v>180000</v>
      </c>
      <c r="N534" s="58" t="n">
        <f aca="false">Project_Register!$AO$19+N531+Assumptions!$C$74*N532+Assumptions!$F$121*N533</f>
        <v>180000</v>
      </c>
      <c r="O534" s="58" t="n">
        <f aca="false">Project_Register!$AO$19+O531+Assumptions!$C$74*O532+Assumptions!$F$121*O533</f>
        <v>180000</v>
      </c>
      <c r="P534" s="58" t="n">
        <f aca="false">Project_Register!$AO$19+P531+Assumptions!$C$74*P532+Assumptions!$F$121*P533</f>
        <v>180000</v>
      </c>
      <c r="Q534" s="58" t="n">
        <f aca="false">Project_Register!$AO$19+Q531+Assumptions!$C$74*Q532+Assumptions!$F$121*Q533</f>
        <v>180000</v>
      </c>
      <c r="R534" s="58" t="n">
        <f aca="false">Project_Register!$AO$19+R531+Assumptions!$C$74*R532+Assumptions!$F$121*R533</f>
        <v>180000</v>
      </c>
      <c r="S534" s="58" t="n">
        <f aca="false">Project_Register!$AO$19+S531+Assumptions!$C$74*S532+Assumptions!$F$121*S533</f>
        <v>180000</v>
      </c>
      <c r="T534" s="58" t="n">
        <f aca="false">Project_Register!$AO$19+T531+Assumptions!$C$74*T532+Assumptions!$F$121*T533</f>
        <v>180000</v>
      </c>
      <c r="U534" s="58" t="n">
        <f aca="false">Project_Register!$AO$19+U531+Assumptions!$C$74*U532+Assumptions!$F$121*U533</f>
        <v>180000</v>
      </c>
      <c r="V534" s="58" t="n">
        <f aca="false">Project_Register!$AO$19+V531+Assumptions!$C$74*V532+Assumptions!$F$121*V533</f>
        <v>180000</v>
      </c>
      <c r="W534" s="58" t="n">
        <f aca="false">Project_Register!$AO$19+W531+Assumptions!$C$74*W532+Assumptions!$F$121*W533</f>
        <v>180000</v>
      </c>
      <c r="X534" s="58" t="n">
        <f aca="false">Project_Register!$AO$19+X531+Assumptions!$C$74*X532+Assumptions!$F$121*X533</f>
        <v>180000</v>
      </c>
      <c r="Y534" s="58" t="n">
        <f aca="false">Project_Register!$AO$19+Y531+Assumptions!$C$74*Y532+Assumptions!$F$121*Y533</f>
        <v>180000</v>
      </c>
      <c r="Z534" s="58" t="n">
        <f aca="false">Project_Register!$AO$19+Z531+Assumptions!$C$74*Z532+Assumptions!$F$121*Z533</f>
        <v>180000</v>
      </c>
      <c r="AA534" s="58" t="n">
        <f aca="false">Project_Register!$AO$19+AA531+Assumptions!$C$74*AA532+Assumptions!$F$121*AA533</f>
        <v>180000</v>
      </c>
      <c r="AB534" s="58" t="n">
        <f aca="false">Project_Register!$AO$19+AB531+Assumptions!$C$74*AB532+Assumptions!$F$121*AB533</f>
        <v>180000</v>
      </c>
    </row>
    <row r="535" customFormat="false" ht="15" hidden="false" customHeight="false" outlineLevel="0" collapsed="false">
      <c r="A535" s="27" t="s">
        <v>741</v>
      </c>
      <c r="B535" s="56" t="s">
        <v>742</v>
      </c>
      <c r="C535" s="57" t="n">
        <f aca="false">P535</f>
        <v>0</v>
      </c>
      <c r="D535" s="57" t="n">
        <f aca="false">AB535</f>
        <v>180000</v>
      </c>
      <c r="E535" s="58" t="n">
        <f aca="false">IF(E$5="A",Project_Register!$AD$19+0,E530*E534)</f>
        <v>0</v>
      </c>
      <c r="F535" s="70" t="n">
        <f aca="false">IF(F$5="A",E535+0,F530*F534)</f>
        <v>0</v>
      </c>
      <c r="G535" s="70" t="n">
        <f aca="false">IF(G$5="A",F535+0,G530*G534)</f>
        <v>0</v>
      </c>
      <c r="H535" s="70" t="n">
        <f aca="false">IF(H$5="A",G535+0,H530*H534)</f>
        <v>0</v>
      </c>
      <c r="I535" s="70" t="n">
        <f aca="false">IF(I$5="A",H535+0,I530*I534)</f>
        <v>0</v>
      </c>
      <c r="J535" s="70" t="n">
        <f aca="false">IF(J$5="A",I535+0,J530*J534)</f>
        <v>0</v>
      </c>
      <c r="K535" s="70" t="n">
        <f aca="false">IF(K$5="A",J535+0,K530*K534)</f>
        <v>0</v>
      </c>
      <c r="L535" s="70" t="n">
        <f aca="false">IF(L$5="A",K535+0,L530*L534)</f>
        <v>0</v>
      </c>
      <c r="M535" s="70" t="n">
        <f aca="false">IF(M$5="A",L535+0,M530*M534)</f>
        <v>0</v>
      </c>
      <c r="N535" s="70" t="n">
        <f aca="false">IF(N$5="A",M535+0,N530*N534)</f>
        <v>0</v>
      </c>
      <c r="O535" s="70" t="n">
        <f aca="false">IF(O$5="A",N535+0,O530*O534)</f>
        <v>0</v>
      </c>
      <c r="P535" s="70" t="n">
        <f aca="false">IF(P$5="A",O535+0,P530*P534)</f>
        <v>0</v>
      </c>
      <c r="Q535" s="70" t="n">
        <f aca="false">IF(Q$5="A",P535+0,Q530*Q534)</f>
        <v>0</v>
      </c>
      <c r="R535" s="70" t="n">
        <f aca="false">IF(R$5="A",Q535+0,R530*R534)</f>
        <v>0</v>
      </c>
      <c r="S535" s="70" t="n">
        <f aca="false">IF(S$5="A",R535+0,S530*S534)</f>
        <v>0</v>
      </c>
      <c r="T535" s="70" t="n">
        <f aca="false">IF(T$5="A",S535+0,T530*T534)</f>
        <v>0</v>
      </c>
      <c r="U535" s="70" t="n">
        <f aca="false">IF(U$5="A",T535+0,U530*U534)</f>
        <v>0</v>
      </c>
      <c r="V535" s="70" t="n">
        <f aca="false">IF(V$5="A",U535+0,V530*V534)</f>
        <v>18720</v>
      </c>
      <c r="W535" s="70" t="n">
        <f aca="false">IF(W$5="A",V535+0,W530*W534)</f>
        <v>63360</v>
      </c>
      <c r="X535" s="70" t="n">
        <f aca="false">IF(X$5="A",W535+0,X530*X534)</f>
        <v>116640</v>
      </c>
      <c r="Y535" s="70" t="n">
        <f aca="false">IF(Y$5="A",X535+0,Y530*Y534)</f>
        <v>161280</v>
      </c>
      <c r="Z535" s="70" t="n">
        <f aca="false">IF(Z$5="A",Y535+0,Z530*Z534)</f>
        <v>180000</v>
      </c>
      <c r="AA535" s="70" t="n">
        <f aca="false">IF(AA$5="A",Z535+0,AA530*AA534)</f>
        <v>180000</v>
      </c>
      <c r="AB535" s="70" t="n">
        <f aca="false">IF(AB$5="A",AA535+0,AB530*AB534)</f>
        <v>180000</v>
      </c>
    </row>
    <row r="536" customFormat="false" ht="15" hidden="false" customHeight="false" outlineLevel="0" collapsed="false">
      <c r="A536" s="67" t="s">
        <v>743</v>
      </c>
      <c r="B536" s="68" t="s">
        <v>744</v>
      </c>
      <c r="C536" s="69" t="n">
        <f aca="false">SUM(E536:P536)</f>
        <v>0</v>
      </c>
      <c r="D536" s="69" t="n">
        <f aca="false">SUM(Q536:AB536)</f>
        <v>180000</v>
      </c>
      <c r="E536" s="74" t="n">
        <f aca="false">E535-Project_Register!$AD$19</f>
        <v>0</v>
      </c>
      <c r="F536" s="69" t="n">
        <f aca="false">F535-E535</f>
        <v>0</v>
      </c>
      <c r="G536" s="69" t="n">
        <f aca="false">G535-F535</f>
        <v>0</v>
      </c>
      <c r="H536" s="69" t="n">
        <f aca="false">H535-G535</f>
        <v>0</v>
      </c>
      <c r="I536" s="69" t="n">
        <f aca="false">I535-H535</f>
        <v>0</v>
      </c>
      <c r="J536" s="69" t="n">
        <f aca="false">J535-I535</f>
        <v>0</v>
      </c>
      <c r="K536" s="69" t="n">
        <f aca="false">K535-J535</f>
        <v>0</v>
      </c>
      <c r="L536" s="69" t="n">
        <f aca="false">L535-K535</f>
        <v>0</v>
      </c>
      <c r="M536" s="69" t="n">
        <f aca="false">M535-L535</f>
        <v>0</v>
      </c>
      <c r="N536" s="69" t="n">
        <f aca="false">N535-M535</f>
        <v>0</v>
      </c>
      <c r="O536" s="69" t="n">
        <f aca="false">O535-N535</f>
        <v>0</v>
      </c>
      <c r="P536" s="69" t="n">
        <f aca="false">P535-O535</f>
        <v>0</v>
      </c>
      <c r="Q536" s="69" t="n">
        <f aca="false">Q535-P535</f>
        <v>0</v>
      </c>
      <c r="R536" s="69" t="n">
        <f aca="false">R535-Q535</f>
        <v>0</v>
      </c>
      <c r="S536" s="69" t="n">
        <f aca="false">S535-R535</f>
        <v>0</v>
      </c>
      <c r="T536" s="69" t="n">
        <f aca="false">T535-S535</f>
        <v>0</v>
      </c>
      <c r="U536" s="69" t="n">
        <f aca="false">U535-T535</f>
        <v>0</v>
      </c>
      <c r="V536" s="69" t="n">
        <f aca="false">V535-U535</f>
        <v>18720</v>
      </c>
      <c r="W536" s="69" t="n">
        <f aca="false">W535-V535</f>
        <v>44640</v>
      </c>
      <c r="X536" s="69" t="n">
        <f aca="false">X535-W535</f>
        <v>53280</v>
      </c>
      <c r="Y536" s="69" t="n">
        <f aca="false">Y535-X535</f>
        <v>44640</v>
      </c>
      <c r="Z536" s="69" t="n">
        <f aca="false">Z535-Y535</f>
        <v>18720</v>
      </c>
      <c r="AA536" s="69" t="n">
        <f aca="false">AA535-Z535</f>
        <v>0</v>
      </c>
      <c r="AB536" s="69" t="n">
        <f aca="false">AB535-AA535</f>
        <v>0</v>
      </c>
    </row>
    <row r="537" customFormat="false" ht="15" hidden="false" customHeight="false" outlineLevel="0" collapsed="false">
      <c r="A537" s="27" t="s">
        <v>745</v>
      </c>
      <c r="B537" s="56" t="s">
        <v>746</v>
      </c>
      <c r="C537" s="57" t="n">
        <f aca="false">P537</f>
        <v>0</v>
      </c>
      <c r="D537" s="57" t="n">
        <f aca="false">AB537</f>
        <v>0</v>
      </c>
      <c r="E537" s="70" t="n">
        <f aca="false">MAX(0,E529-E534)*(1-E530)</f>
        <v>0</v>
      </c>
      <c r="F537" s="70" t="n">
        <f aca="false">MAX(0,F529-F534)*(1-F530)</f>
        <v>0</v>
      </c>
      <c r="G537" s="70" t="n">
        <f aca="false">MAX(0,G529-G534)*(1-G530)</f>
        <v>0</v>
      </c>
      <c r="H537" s="70" t="n">
        <f aca="false">MAX(0,H529-H534)*(1-H530)</f>
        <v>0</v>
      </c>
      <c r="I537" s="70" t="n">
        <f aca="false">MAX(0,I529-I534)*(1-I530)</f>
        <v>0</v>
      </c>
      <c r="J537" s="70" t="n">
        <f aca="false">MAX(0,J529-J534)*(1-J530)</f>
        <v>0</v>
      </c>
      <c r="K537" s="70" t="n">
        <f aca="false">MAX(0,K529-K534)*(1-K530)</f>
        <v>0</v>
      </c>
      <c r="L537" s="70" t="n">
        <f aca="false">MAX(0,L529-L534)*(1-L530)</f>
        <v>0</v>
      </c>
      <c r="M537" s="70" t="n">
        <f aca="false">MAX(0,M529-M534)*(1-M530)</f>
        <v>0</v>
      </c>
      <c r="N537" s="70" t="n">
        <f aca="false">MAX(0,N529-N534)*(1-N530)</f>
        <v>0</v>
      </c>
      <c r="O537" s="70" t="n">
        <f aca="false">MAX(0,O529-O534)*(1-O530)</f>
        <v>0</v>
      </c>
      <c r="P537" s="70" t="n">
        <f aca="false">MAX(0,P529-P534)*(1-P530)</f>
        <v>0</v>
      </c>
      <c r="Q537" s="70" t="n">
        <f aca="false">MAX(0,Q529-Q534)*(1-Q530)</f>
        <v>0</v>
      </c>
      <c r="R537" s="70" t="n">
        <f aca="false">MAX(0,R529-R534)*(1-R530)</f>
        <v>0</v>
      </c>
      <c r="S537" s="70" t="n">
        <f aca="false">MAX(0,S529-S534)*(1-S530)</f>
        <v>0</v>
      </c>
      <c r="T537" s="70" t="n">
        <f aca="false">MAX(0,T529-T534)*(1-T530)</f>
        <v>0</v>
      </c>
      <c r="U537" s="70" t="n">
        <f aca="false">MAX(0,U529-U534)*(1-U530)</f>
        <v>0</v>
      </c>
      <c r="V537" s="70" t="n">
        <f aca="false">MAX(0,V529-V534)*(1-V530)</f>
        <v>0</v>
      </c>
      <c r="W537" s="70" t="n">
        <f aca="false">MAX(0,W529-W534)*(1-W530)</f>
        <v>0</v>
      </c>
      <c r="X537" s="70" t="n">
        <f aca="false">MAX(0,X529-X534)*(1-X530)</f>
        <v>0</v>
      </c>
      <c r="Y537" s="70" t="n">
        <f aca="false">MAX(0,Y529-Y534)*(1-Y530)</f>
        <v>0</v>
      </c>
      <c r="Z537" s="70" t="n">
        <f aca="false">MAX(0,Z529-Z534)*(1-Z530)</f>
        <v>0</v>
      </c>
      <c r="AA537" s="70" t="n">
        <f aca="false">MAX(0,AA529-AA534)*(1-AA530)</f>
        <v>0</v>
      </c>
      <c r="AB537" s="70" t="n">
        <f aca="false">MAX(0,AB529-AB534)*(1-AB530)</f>
        <v>0</v>
      </c>
    </row>
    <row r="538" customFormat="false" ht="15" hidden="false" customHeight="false" outlineLevel="0" collapsed="false">
      <c r="A538" s="27" t="s">
        <v>747</v>
      </c>
      <c r="B538" s="56"/>
      <c r="C538" s="57" t="n">
        <f aca="false">SUM(E538:P538)</f>
        <v>0</v>
      </c>
      <c r="D538" s="57" t="n">
        <f aca="false">SUM(Q538:AB538)</f>
        <v>0</v>
      </c>
      <c r="E538" s="70" t="n">
        <f aca="false">-(E537-0)</f>
        <v>-0</v>
      </c>
      <c r="F538" s="70" t="n">
        <f aca="false">-(F537-E537)</f>
        <v>-0</v>
      </c>
      <c r="G538" s="70" t="n">
        <f aca="false">-(G537-F537)</f>
        <v>-0</v>
      </c>
      <c r="H538" s="70" t="n">
        <f aca="false">-(H537-G537)</f>
        <v>-0</v>
      </c>
      <c r="I538" s="70" t="n">
        <f aca="false">-(I537-H537)</f>
        <v>-0</v>
      </c>
      <c r="J538" s="70" t="n">
        <f aca="false">-(J537-I537)</f>
        <v>-0</v>
      </c>
      <c r="K538" s="70" t="n">
        <f aca="false">-(K537-J537)</f>
        <v>-0</v>
      </c>
      <c r="L538" s="70" t="n">
        <f aca="false">-(L537-K537)</f>
        <v>-0</v>
      </c>
      <c r="M538" s="70" t="n">
        <f aca="false">-(M537-L537)</f>
        <v>-0</v>
      </c>
      <c r="N538" s="70" t="n">
        <f aca="false">-(N537-M537)</f>
        <v>-0</v>
      </c>
      <c r="O538" s="70" t="n">
        <f aca="false">-(O537-N537)</f>
        <v>-0</v>
      </c>
      <c r="P538" s="70" t="n">
        <f aca="false">-(P537-O537)</f>
        <v>-0</v>
      </c>
      <c r="Q538" s="70" t="n">
        <f aca="false">-(Q537-P537)</f>
        <v>-0</v>
      </c>
      <c r="R538" s="70" t="n">
        <f aca="false">-(R537-Q537)</f>
        <v>-0</v>
      </c>
      <c r="S538" s="70" t="n">
        <f aca="false">-(S537-R537)</f>
        <v>-0</v>
      </c>
      <c r="T538" s="70" t="n">
        <f aca="false">-(T537-S537)</f>
        <v>-0</v>
      </c>
      <c r="U538" s="70" t="n">
        <f aca="false">-(U537-T537)</f>
        <v>-0</v>
      </c>
      <c r="V538" s="70" t="n">
        <f aca="false">-(V537-U537)</f>
        <v>-0</v>
      </c>
      <c r="W538" s="70" t="n">
        <f aca="false">-(W537-V537)</f>
        <v>-0</v>
      </c>
      <c r="X538" s="70" t="n">
        <f aca="false">-(X537-W537)</f>
        <v>-0</v>
      </c>
      <c r="Y538" s="70" t="n">
        <f aca="false">-(Y537-X537)</f>
        <v>-0</v>
      </c>
      <c r="Z538" s="70" t="n">
        <f aca="false">-(Z537-Y537)</f>
        <v>-0</v>
      </c>
      <c r="AA538" s="70" t="n">
        <f aca="false">-(AA537-Z537)</f>
        <v>-0</v>
      </c>
      <c r="AB538" s="70" t="n">
        <f aca="false">-(AB537-AA537)</f>
        <v>-0</v>
      </c>
    </row>
    <row r="539" customFormat="false" ht="15" hidden="false" customHeight="false" outlineLevel="0" collapsed="false">
      <c r="A539" s="67" t="s">
        <v>748</v>
      </c>
      <c r="B539" s="68" t="s">
        <v>749</v>
      </c>
      <c r="C539" s="69" t="n">
        <f aca="false">SUM(E539:P539)</f>
        <v>0</v>
      </c>
      <c r="D539" s="69" t="n">
        <f aca="false">SUM(Q539:AB539)</f>
        <v>24500</v>
      </c>
      <c r="E539" s="69" t="n">
        <f aca="false">E536-E527+E538</f>
        <v>0</v>
      </c>
      <c r="F539" s="69" t="n">
        <f aca="false">F536-F527+F538</f>
        <v>0</v>
      </c>
      <c r="G539" s="69" t="n">
        <f aca="false">G536-G527+G538</f>
        <v>0</v>
      </c>
      <c r="H539" s="69" t="n">
        <f aca="false">H536-H527+H538</f>
        <v>0</v>
      </c>
      <c r="I539" s="69" t="n">
        <f aca="false">I536-I527+I538</f>
        <v>0</v>
      </c>
      <c r="J539" s="69" t="n">
        <f aca="false">J536-J527+J538</f>
        <v>0</v>
      </c>
      <c r="K539" s="69" t="n">
        <f aca="false">K536-K527+K538</f>
        <v>0</v>
      </c>
      <c r="L539" s="69" t="n">
        <f aca="false">L536-L527+L538</f>
        <v>0</v>
      </c>
      <c r="M539" s="69" t="n">
        <f aca="false">M536-M527+M538</f>
        <v>0</v>
      </c>
      <c r="N539" s="69" t="n">
        <f aca="false">N536-N527+N538</f>
        <v>0</v>
      </c>
      <c r="O539" s="69" t="n">
        <f aca="false">O536-O527+O538</f>
        <v>0</v>
      </c>
      <c r="P539" s="69" t="n">
        <f aca="false">P536-P527+P538</f>
        <v>0</v>
      </c>
      <c r="Q539" s="69" t="n">
        <f aca="false">Q536-Q527+Q538</f>
        <v>0</v>
      </c>
      <c r="R539" s="69" t="n">
        <f aca="false">R536-R527+R538</f>
        <v>0</v>
      </c>
      <c r="S539" s="69" t="n">
        <f aca="false">S536-S527+S538</f>
        <v>0</v>
      </c>
      <c r="T539" s="69" t="n">
        <f aca="false">T536-T527+T538</f>
        <v>0</v>
      </c>
      <c r="U539" s="69" t="n">
        <f aca="false">U536-U527+U538</f>
        <v>0</v>
      </c>
      <c r="V539" s="69" t="n">
        <f aca="false">V536-V527+V538</f>
        <v>2548</v>
      </c>
      <c r="W539" s="69" t="n">
        <f aca="false">W536-W527+W538</f>
        <v>6075.99999999999</v>
      </c>
      <c r="X539" s="69" t="n">
        <f aca="false">X536-X527+X538</f>
        <v>7252</v>
      </c>
      <c r="Y539" s="69" t="n">
        <f aca="false">Y536-Y527+Y538</f>
        <v>6076.00000000001</v>
      </c>
      <c r="Z539" s="69" t="n">
        <f aca="false">Z536-Z527+Z538</f>
        <v>2547.99999999999</v>
      </c>
      <c r="AA539" s="69" t="n">
        <f aca="false">AA536-AA527+AA538</f>
        <v>0</v>
      </c>
      <c r="AB539" s="69" t="n">
        <f aca="false">AB536-AB527+AB538</f>
        <v>0</v>
      </c>
    </row>
    <row r="540" customFormat="false" ht="15" hidden="false" customHeight="false" outlineLevel="0" collapsed="false">
      <c r="A540" s="27" t="s">
        <v>750</v>
      </c>
      <c r="B540" s="56"/>
      <c r="C540" s="57" t="n">
        <f aca="false">P540</f>
        <v>180000</v>
      </c>
      <c r="D540" s="57" t="n">
        <f aca="false">AB540</f>
        <v>180000</v>
      </c>
      <c r="E540" s="58" t="n">
        <f aca="false">Project_Register!$AO$19+E531+Assumptions!$F$121*E533</f>
        <v>180000</v>
      </c>
      <c r="F540" s="58" t="n">
        <f aca="false">Project_Register!$AO$19+F531+Assumptions!$F$121*F533</f>
        <v>180000</v>
      </c>
      <c r="G540" s="58" t="n">
        <f aca="false">Project_Register!$AO$19+G531+Assumptions!$F$121*G533</f>
        <v>180000</v>
      </c>
      <c r="H540" s="58" t="n">
        <f aca="false">Project_Register!$AO$19+H531+Assumptions!$F$121*H533</f>
        <v>180000</v>
      </c>
      <c r="I540" s="58" t="n">
        <f aca="false">Project_Register!$AO$19+I531+Assumptions!$F$121*I533</f>
        <v>180000</v>
      </c>
      <c r="J540" s="58" t="n">
        <f aca="false">Project_Register!$AO$19+J531+Assumptions!$F$121*J533</f>
        <v>180000</v>
      </c>
      <c r="K540" s="58" t="n">
        <f aca="false">Project_Register!$AO$19+K531+Assumptions!$F$121*K533</f>
        <v>180000</v>
      </c>
      <c r="L540" s="58" t="n">
        <f aca="false">Project_Register!$AO$19+L531+Assumptions!$F$121*L533</f>
        <v>180000</v>
      </c>
      <c r="M540" s="58" t="n">
        <f aca="false">Project_Register!$AO$19+M531+Assumptions!$F$121*M533</f>
        <v>180000</v>
      </c>
      <c r="N540" s="58" t="n">
        <f aca="false">Project_Register!$AO$19+N531+Assumptions!$F$121*N533</f>
        <v>180000</v>
      </c>
      <c r="O540" s="58" t="n">
        <f aca="false">Project_Register!$AO$19+O531+Assumptions!$F$121*O533</f>
        <v>180000</v>
      </c>
      <c r="P540" s="58" t="n">
        <f aca="false">Project_Register!$AO$19+P531+Assumptions!$F$121*P533</f>
        <v>180000</v>
      </c>
      <c r="Q540" s="58" t="n">
        <f aca="false">Project_Register!$AO$19+Q531+Assumptions!$F$121*Q533</f>
        <v>180000</v>
      </c>
      <c r="R540" s="58" t="n">
        <f aca="false">Project_Register!$AO$19+R531+Assumptions!$F$121*R533</f>
        <v>180000</v>
      </c>
      <c r="S540" s="58" t="n">
        <f aca="false">Project_Register!$AO$19+S531+Assumptions!$F$121*S533</f>
        <v>180000</v>
      </c>
      <c r="T540" s="58" t="n">
        <f aca="false">Project_Register!$AO$19+T531+Assumptions!$F$121*T533</f>
        <v>180000</v>
      </c>
      <c r="U540" s="58" t="n">
        <f aca="false">Project_Register!$AO$19+U531+Assumptions!$F$121*U533</f>
        <v>180000</v>
      </c>
      <c r="V540" s="58" t="n">
        <f aca="false">Project_Register!$AO$19+V531+Assumptions!$F$121*V533</f>
        <v>180000</v>
      </c>
      <c r="W540" s="58" t="n">
        <f aca="false">Project_Register!$AO$19+W531+Assumptions!$F$121*W533</f>
        <v>180000</v>
      </c>
      <c r="X540" s="58" t="n">
        <f aca="false">Project_Register!$AO$19+X531+Assumptions!$F$121*X533</f>
        <v>180000</v>
      </c>
      <c r="Y540" s="58" t="n">
        <f aca="false">Project_Register!$AO$19+Y531+Assumptions!$F$121*Y533</f>
        <v>180000</v>
      </c>
      <c r="Z540" s="58" t="n">
        <f aca="false">Project_Register!$AO$19+Z531+Assumptions!$F$121*Z533</f>
        <v>180000</v>
      </c>
      <c r="AA540" s="58" t="n">
        <f aca="false">Project_Register!$AO$19+AA531+Assumptions!$F$121*AA533</f>
        <v>180000</v>
      </c>
      <c r="AB540" s="58" t="n">
        <f aca="false">Project_Register!$AO$19+AB531+Assumptions!$F$121*AB533</f>
        <v>180000</v>
      </c>
    </row>
    <row r="541" customFormat="false" ht="15" hidden="false" customHeight="false" outlineLevel="0" collapsed="false">
      <c r="A541" s="27" t="s">
        <v>751</v>
      </c>
      <c r="B541" s="56" t="s">
        <v>752</v>
      </c>
      <c r="C541" s="57" t="n">
        <f aca="false">P541</f>
        <v>0</v>
      </c>
      <c r="D541" s="57" t="n">
        <f aca="false">AB541</f>
        <v>180000</v>
      </c>
      <c r="E541" s="58" t="n">
        <f aca="false">IF(E$5="A",Project_Register!$AE$19+0,IF(Assumptions!E$96&gt;=Project_Register!$AM$19,E540,MIN(E540,MAX(Project_Register!$AE$19,0*E540))))</f>
        <v>0</v>
      </c>
      <c r="F541" s="58" t="n">
        <f aca="false">IF(F$5="A",E541+0,IF(Assumptions!F$96&gt;=Project_Register!$AM$19,F540,MIN(F540,MAX(E541,E530*F540))))</f>
        <v>0</v>
      </c>
      <c r="G541" s="58" t="n">
        <f aca="false">IF(G$5="A",F541+0,IF(Assumptions!G$96&gt;=Project_Register!$AM$19,G540,MIN(G540,MAX(F541,F530*G540))))</f>
        <v>0</v>
      </c>
      <c r="H541" s="58" t="n">
        <f aca="false">IF(H$5="A",G541+0,IF(Assumptions!H$96&gt;=Project_Register!$AM$19,H540,MIN(H540,MAX(G541,G530*H540))))</f>
        <v>0</v>
      </c>
      <c r="I541" s="58" t="n">
        <f aca="false">IF(I$5="A",H541+0,IF(Assumptions!I$96&gt;=Project_Register!$AM$19,I540,MIN(I540,MAX(H541,H530*I540))))</f>
        <v>0</v>
      </c>
      <c r="J541" s="58" t="n">
        <f aca="false">IF(J$5="A",I541+0,IF(Assumptions!J$96&gt;=Project_Register!$AM$19,J540,MIN(J540,MAX(I541,I530*J540))))</f>
        <v>0</v>
      </c>
      <c r="K541" s="58" t="n">
        <f aca="false">IF(K$5="A",J541+0,IF(Assumptions!K$96&gt;=Project_Register!$AM$19,K540,MIN(K540,MAX(J541,J530*K540))))</f>
        <v>0</v>
      </c>
      <c r="L541" s="58" t="n">
        <f aca="false">IF(L$5="A",K541+0,IF(Assumptions!L$96&gt;=Project_Register!$AM$19,L540,MIN(L540,MAX(K541,K530*L540))))</f>
        <v>0</v>
      </c>
      <c r="M541" s="58" t="n">
        <f aca="false">IF(M$5="A",L541+0,IF(Assumptions!M$96&gt;=Project_Register!$AM$19,M540,MIN(M540,MAX(L541,L530*M540))))</f>
        <v>0</v>
      </c>
      <c r="N541" s="58" t="n">
        <f aca="false">IF(N$5="A",M541+0,IF(Assumptions!N$96&gt;=Project_Register!$AM$19,N540,MIN(N540,MAX(M541,M530*N540))))</f>
        <v>0</v>
      </c>
      <c r="O541" s="58" t="n">
        <f aca="false">IF(O$5="A",N541+0,IF(Assumptions!O$96&gt;=Project_Register!$AM$19,O540,MIN(O540,MAX(N541,N530*O540))))</f>
        <v>0</v>
      </c>
      <c r="P541" s="58" t="n">
        <f aca="false">IF(P$5="A",O541+0,IF(Assumptions!P$96&gt;=Project_Register!$AM$19,P540,MIN(P540,MAX(O541,O530*P540))))</f>
        <v>0</v>
      </c>
      <c r="Q541" s="58" t="n">
        <f aca="false">IF(Q$5="A",P541+0,IF(Assumptions!Q$96&gt;=Project_Register!$AM$19,Q540,MIN(Q540,MAX(P541,P530*Q540))))</f>
        <v>0</v>
      </c>
      <c r="R541" s="58" t="n">
        <f aca="false">IF(R$5="A",Q541+0,IF(Assumptions!R$96&gt;=Project_Register!$AM$19,R540,MIN(R540,MAX(Q541,Q530*R540))))</f>
        <v>0</v>
      </c>
      <c r="S541" s="58" t="n">
        <f aca="false">IF(S$5="A",R541+0,IF(Assumptions!S$96&gt;=Project_Register!$AM$19,S540,MIN(S540,MAX(R541,R530*S540))))</f>
        <v>0</v>
      </c>
      <c r="T541" s="58" t="n">
        <f aca="false">IF(T$5="A",S541+0,IF(Assumptions!T$96&gt;=Project_Register!$AM$19,T540,MIN(T540,MAX(S541,S530*T540))))</f>
        <v>0</v>
      </c>
      <c r="U541" s="58" t="n">
        <f aca="false">IF(U$5="A",T541+0,IF(Assumptions!U$96&gt;=Project_Register!$AM$19,U540,MIN(U540,MAX(T541,T530*U540))))</f>
        <v>0</v>
      </c>
      <c r="V541" s="58" t="n">
        <f aca="false">IF(V$5="A",U541+0,IF(Assumptions!V$96&gt;=Project_Register!$AM$19,V540,MIN(V540,MAX(U541,U530*V540))))</f>
        <v>0</v>
      </c>
      <c r="W541" s="58" t="n">
        <f aca="false">IF(W$5="A",V541+0,IF(Assumptions!W$96&gt;=Project_Register!$AM$19,W540,MIN(W540,MAX(V541,V530*W540))))</f>
        <v>18720</v>
      </c>
      <c r="X541" s="58" t="n">
        <f aca="false">IF(X$5="A",W541+0,IF(Assumptions!X$96&gt;=Project_Register!$AM$19,X540,MIN(X540,MAX(W541,W530*X540))))</f>
        <v>63360</v>
      </c>
      <c r="Y541" s="58" t="n">
        <f aca="false">IF(Y$5="A",X541+0,IF(Assumptions!Y$96&gt;=Project_Register!$AM$19,Y540,MIN(Y540,MAX(X541,X530*Y540))))</f>
        <v>116640</v>
      </c>
      <c r="Z541" s="58" t="n">
        <f aca="false">IF(Z$5="A",Y541+0,IF(Assumptions!Z$96&gt;=Project_Register!$AM$19,Z540,MIN(Z540,MAX(Y541,Y530*Z540))))</f>
        <v>161280</v>
      </c>
      <c r="AA541" s="58" t="n">
        <f aca="false">IF(AA$5="A",Z541+0,IF(Assumptions!AA$96&gt;=Project_Register!$AM$19,AA540,MIN(AA540,MAX(Z541,Z530*AA540))))</f>
        <v>180000</v>
      </c>
      <c r="AB541" s="58" t="n">
        <f aca="false">IF(AB$5="A",AA541+0,IF(Assumptions!AB$96&gt;=Project_Register!$AM$19,AB540,MIN(AB540,MAX(AA541,AA530*AB540))))</f>
        <v>180000</v>
      </c>
    </row>
    <row r="542" customFormat="false" ht="15" hidden="false" customHeight="false" outlineLevel="0" collapsed="false">
      <c r="A542" s="27" t="s">
        <v>753</v>
      </c>
      <c r="B542" s="56"/>
      <c r="C542" s="57" t="n">
        <f aca="false">SUM(E542:P542)</f>
        <v>0</v>
      </c>
      <c r="D542" s="57" t="n">
        <f aca="false">SUM(Q542:AB542)</f>
        <v>180000</v>
      </c>
      <c r="E542" s="58" t="n">
        <f aca="false">E541-Project_Register!$AE$19</f>
        <v>0</v>
      </c>
      <c r="F542" s="70" t="n">
        <f aca="false">F541-E541</f>
        <v>0</v>
      </c>
      <c r="G542" s="70" t="n">
        <f aca="false">G541-F541</f>
        <v>0</v>
      </c>
      <c r="H542" s="70" t="n">
        <f aca="false">H541-G541</f>
        <v>0</v>
      </c>
      <c r="I542" s="70" t="n">
        <f aca="false">I541-H541</f>
        <v>0</v>
      </c>
      <c r="J542" s="70" t="n">
        <f aca="false">J541-I541</f>
        <v>0</v>
      </c>
      <c r="K542" s="70" t="n">
        <f aca="false">K541-J541</f>
        <v>0</v>
      </c>
      <c r="L542" s="70" t="n">
        <f aca="false">L541-K541</f>
        <v>0</v>
      </c>
      <c r="M542" s="70" t="n">
        <f aca="false">M541-L541</f>
        <v>0</v>
      </c>
      <c r="N542" s="70" t="n">
        <f aca="false">N541-M541</f>
        <v>0</v>
      </c>
      <c r="O542" s="70" t="n">
        <f aca="false">O541-N541</f>
        <v>0</v>
      </c>
      <c r="P542" s="70" t="n">
        <f aca="false">P541-O541</f>
        <v>0</v>
      </c>
      <c r="Q542" s="70" t="n">
        <f aca="false">Q541-P541</f>
        <v>0</v>
      </c>
      <c r="R542" s="70" t="n">
        <f aca="false">R541-Q541</f>
        <v>0</v>
      </c>
      <c r="S542" s="70" t="n">
        <f aca="false">S541-R541</f>
        <v>0</v>
      </c>
      <c r="T542" s="70" t="n">
        <f aca="false">T541-S541</f>
        <v>0</v>
      </c>
      <c r="U542" s="70" t="n">
        <f aca="false">U541-T541</f>
        <v>0</v>
      </c>
      <c r="V542" s="70" t="n">
        <f aca="false">V541-U541</f>
        <v>0</v>
      </c>
      <c r="W542" s="70" t="n">
        <f aca="false">W541-V541</f>
        <v>18720</v>
      </c>
      <c r="X542" s="70" t="n">
        <f aca="false">X541-W541</f>
        <v>44640</v>
      </c>
      <c r="Y542" s="70" t="n">
        <f aca="false">Y541-X541</f>
        <v>53280</v>
      </c>
      <c r="Z542" s="70" t="n">
        <f aca="false">Z541-Y541</f>
        <v>44640</v>
      </c>
      <c r="AA542" s="70" t="n">
        <f aca="false">AA541-Z541</f>
        <v>18720</v>
      </c>
      <c r="AB542" s="70" t="n">
        <f aca="false">AB541-AA541</f>
        <v>0</v>
      </c>
    </row>
    <row r="543" customFormat="false" ht="15" hidden="false" customHeight="false" outlineLevel="0" collapsed="false">
      <c r="A543" s="27" t="s">
        <v>754</v>
      </c>
      <c r="B543" s="56" t="s">
        <v>755</v>
      </c>
      <c r="C543" s="57" t="n">
        <f aca="false">P543</f>
        <v>0</v>
      </c>
      <c r="D543" s="57" t="n">
        <f aca="false">AB543</f>
        <v>4500</v>
      </c>
      <c r="E543" s="58" t="n">
        <f aca="false">Project_Register!$Q$19*E541*(1-Project_Register!$R$19*(Assumptions!E$96&gt;=Project_Register!$AK$19+1)-(1-Project_Register!$R$19)*(Assumptions!E$96&gt;=Project_Register!$AN$19))</f>
        <v>0</v>
      </c>
      <c r="F543" s="58" t="n">
        <f aca="false">Project_Register!$Q$19*F541*(1-Project_Register!$R$19*(Assumptions!F$96&gt;=Project_Register!$AK$19+1)-(1-Project_Register!$R$19)*(Assumptions!F$96&gt;=Project_Register!$AN$19))</f>
        <v>0</v>
      </c>
      <c r="G543" s="58" t="n">
        <f aca="false">Project_Register!$Q$19*G541*(1-Project_Register!$R$19*(Assumptions!G$96&gt;=Project_Register!$AK$19+1)-(1-Project_Register!$R$19)*(Assumptions!G$96&gt;=Project_Register!$AN$19))</f>
        <v>0</v>
      </c>
      <c r="H543" s="58" t="n">
        <f aca="false">Project_Register!$Q$19*H541*(1-Project_Register!$R$19*(Assumptions!H$96&gt;=Project_Register!$AK$19+1)-(1-Project_Register!$R$19)*(Assumptions!H$96&gt;=Project_Register!$AN$19))</f>
        <v>0</v>
      </c>
      <c r="I543" s="58" t="n">
        <f aca="false">Project_Register!$Q$19*I541*(1-Project_Register!$R$19*(Assumptions!I$96&gt;=Project_Register!$AK$19+1)-(1-Project_Register!$R$19)*(Assumptions!I$96&gt;=Project_Register!$AN$19))</f>
        <v>0</v>
      </c>
      <c r="J543" s="58" t="n">
        <f aca="false">Project_Register!$Q$19*J541*(1-Project_Register!$R$19*(Assumptions!J$96&gt;=Project_Register!$AK$19+1)-(1-Project_Register!$R$19)*(Assumptions!J$96&gt;=Project_Register!$AN$19))</f>
        <v>0</v>
      </c>
      <c r="K543" s="58" t="n">
        <f aca="false">Project_Register!$Q$19*K541*(1-Project_Register!$R$19*(Assumptions!K$96&gt;=Project_Register!$AK$19+1)-(1-Project_Register!$R$19)*(Assumptions!K$96&gt;=Project_Register!$AN$19))</f>
        <v>0</v>
      </c>
      <c r="L543" s="58" t="n">
        <f aca="false">Project_Register!$Q$19*L541*(1-Project_Register!$R$19*(Assumptions!L$96&gt;=Project_Register!$AK$19+1)-(1-Project_Register!$R$19)*(Assumptions!L$96&gt;=Project_Register!$AN$19))</f>
        <v>0</v>
      </c>
      <c r="M543" s="58" t="n">
        <f aca="false">Project_Register!$Q$19*M541*(1-Project_Register!$R$19*(Assumptions!M$96&gt;=Project_Register!$AK$19+1)-(1-Project_Register!$R$19)*(Assumptions!M$96&gt;=Project_Register!$AN$19))</f>
        <v>0</v>
      </c>
      <c r="N543" s="58" t="n">
        <f aca="false">Project_Register!$Q$19*N541*(1-Project_Register!$R$19*(Assumptions!N$96&gt;=Project_Register!$AK$19+1)-(1-Project_Register!$R$19)*(Assumptions!N$96&gt;=Project_Register!$AN$19))</f>
        <v>0</v>
      </c>
      <c r="O543" s="58" t="n">
        <f aca="false">Project_Register!$Q$19*O541*(1-Project_Register!$R$19*(Assumptions!O$96&gt;=Project_Register!$AK$19+1)-(1-Project_Register!$R$19)*(Assumptions!O$96&gt;=Project_Register!$AN$19))</f>
        <v>0</v>
      </c>
      <c r="P543" s="58" t="n">
        <f aca="false">Project_Register!$Q$19*P541*(1-Project_Register!$R$19*(Assumptions!P$96&gt;=Project_Register!$AK$19+1)-(1-Project_Register!$R$19)*(Assumptions!P$96&gt;=Project_Register!$AN$19))</f>
        <v>0</v>
      </c>
      <c r="Q543" s="58" t="n">
        <f aca="false">Project_Register!$Q$19*Q541*(1-Project_Register!$R$19*(Assumptions!Q$96&gt;=Project_Register!$AK$19+1)-(1-Project_Register!$R$19)*(Assumptions!Q$96&gt;=Project_Register!$AN$19))</f>
        <v>0</v>
      </c>
      <c r="R543" s="58" t="n">
        <f aca="false">Project_Register!$Q$19*R541*(1-Project_Register!$R$19*(Assumptions!R$96&gt;=Project_Register!$AK$19+1)-(1-Project_Register!$R$19)*(Assumptions!R$96&gt;=Project_Register!$AN$19))</f>
        <v>0</v>
      </c>
      <c r="S543" s="58" t="n">
        <f aca="false">Project_Register!$Q$19*S541*(1-Project_Register!$R$19*(Assumptions!S$96&gt;=Project_Register!$AK$19+1)-(1-Project_Register!$R$19)*(Assumptions!S$96&gt;=Project_Register!$AN$19))</f>
        <v>0</v>
      </c>
      <c r="T543" s="58" t="n">
        <f aca="false">Project_Register!$Q$19*T541*(1-Project_Register!$R$19*(Assumptions!T$96&gt;=Project_Register!$AK$19+1)-(1-Project_Register!$R$19)*(Assumptions!T$96&gt;=Project_Register!$AN$19))</f>
        <v>0</v>
      </c>
      <c r="U543" s="58" t="n">
        <f aca="false">Project_Register!$Q$19*U541*(1-Project_Register!$R$19*(Assumptions!U$96&gt;=Project_Register!$AK$19+1)-(1-Project_Register!$R$19)*(Assumptions!U$96&gt;=Project_Register!$AN$19))</f>
        <v>0</v>
      </c>
      <c r="V543" s="58" t="n">
        <f aca="false">Project_Register!$Q$19*V541*(1-Project_Register!$R$19*(Assumptions!V$96&gt;=Project_Register!$AK$19+1)-(1-Project_Register!$R$19)*(Assumptions!V$96&gt;=Project_Register!$AN$19))</f>
        <v>0</v>
      </c>
      <c r="W543" s="58" t="n">
        <f aca="false">Project_Register!$Q$19*W541*(1-Project_Register!$R$19*(Assumptions!W$96&gt;=Project_Register!$AK$19+1)-(1-Project_Register!$R$19)*(Assumptions!W$96&gt;=Project_Register!$AN$19))</f>
        <v>936</v>
      </c>
      <c r="X543" s="58" t="n">
        <f aca="false">Project_Register!$Q$19*X541*(1-Project_Register!$R$19*(Assumptions!X$96&gt;=Project_Register!$AK$19+1)-(1-Project_Register!$R$19)*(Assumptions!X$96&gt;=Project_Register!$AN$19))</f>
        <v>3168</v>
      </c>
      <c r="Y543" s="58" t="n">
        <f aca="false">Project_Register!$Q$19*Y541*(1-Project_Register!$R$19*(Assumptions!Y$96&gt;=Project_Register!$AK$19+1)-(1-Project_Register!$R$19)*(Assumptions!Y$96&gt;=Project_Register!$AN$19))</f>
        <v>5832</v>
      </c>
      <c r="Z543" s="58" t="n">
        <f aca="false">Project_Register!$Q$19*Z541*(1-Project_Register!$R$19*(Assumptions!Z$96&gt;=Project_Register!$AK$19+1)-(1-Project_Register!$R$19)*(Assumptions!Z$96&gt;=Project_Register!$AN$19))</f>
        <v>8064</v>
      </c>
      <c r="AA543" s="58" t="n">
        <f aca="false">Project_Register!$Q$19*AA541*(1-Project_Register!$R$19*(Assumptions!AA$96&gt;=Project_Register!$AK$19+1)-(1-Project_Register!$R$19)*(Assumptions!AA$96&gt;=Project_Register!$AN$19))</f>
        <v>4500</v>
      </c>
      <c r="AB543" s="58" t="n">
        <f aca="false">Project_Register!$Q$19*AB541*(1-Project_Register!$R$19*(Assumptions!AB$96&gt;=Project_Register!$AK$19+1)-(1-Project_Register!$R$19)*(Assumptions!AB$96&gt;=Project_Register!$AN$19))</f>
        <v>4500</v>
      </c>
    </row>
    <row r="544" customFormat="false" ht="15" hidden="false" customHeight="false" outlineLevel="0" collapsed="false">
      <c r="A544" s="27" t="s">
        <v>756</v>
      </c>
      <c r="B544" s="56"/>
      <c r="C544" s="57" t="n">
        <f aca="false">SUM(E544:P544)</f>
        <v>0</v>
      </c>
      <c r="D544" s="57" t="n">
        <f aca="false">SUM(Q544:AB544)</f>
        <v>4500</v>
      </c>
      <c r="E544" s="58" t="n">
        <f aca="false">E543-Project_Register!$AW$19</f>
        <v>0</v>
      </c>
      <c r="F544" s="70" t="n">
        <f aca="false">F543-E543</f>
        <v>0</v>
      </c>
      <c r="G544" s="70" t="n">
        <f aca="false">G543-F543</f>
        <v>0</v>
      </c>
      <c r="H544" s="70" t="n">
        <f aca="false">H543-G543</f>
        <v>0</v>
      </c>
      <c r="I544" s="70" t="n">
        <f aca="false">I543-H543</f>
        <v>0</v>
      </c>
      <c r="J544" s="70" t="n">
        <f aca="false">J543-I543</f>
        <v>0</v>
      </c>
      <c r="K544" s="70" t="n">
        <f aca="false">K543-J543</f>
        <v>0</v>
      </c>
      <c r="L544" s="70" t="n">
        <f aca="false">L543-K543</f>
        <v>0</v>
      </c>
      <c r="M544" s="70" t="n">
        <f aca="false">M543-L543</f>
        <v>0</v>
      </c>
      <c r="N544" s="70" t="n">
        <f aca="false">N543-M543</f>
        <v>0</v>
      </c>
      <c r="O544" s="70" t="n">
        <f aca="false">O543-N543</f>
        <v>0</v>
      </c>
      <c r="P544" s="70" t="n">
        <f aca="false">P543-O543</f>
        <v>0</v>
      </c>
      <c r="Q544" s="70" t="n">
        <f aca="false">Q543-P543</f>
        <v>0</v>
      </c>
      <c r="R544" s="70" t="n">
        <f aca="false">R543-Q543</f>
        <v>0</v>
      </c>
      <c r="S544" s="70" t="n">
        <f aca="false">S543-R543</f>
        <v>0</v>
      </c>
      <c r="T544" s="70" t="n">
        <f aca="false">T543-S543</f>
        <v>0</v>
      </c>
      <c r="U544" s="70" t="n">
        <f aca="false">U543-T543</f>
        <v>0</v>
      </c>
      <c r="V544" s="70" t="n">
        <f aca="false">V543-U543</f>
        <v>0</v>
      </c>
      <c r="W544" s="70" t="n">
        <f aca="false">W543-V543</f>
        <v>936</v>
      </c>
      <c r="X544" s="70" t="n">
        <f aca="false">X543-W543</f>
        <v>2232</v>
      </c>
      <c r="Y544" s="70" t="n">
        <f aca="false">Y543-X543</f>
        <v>2664</v>
      </c>
      <c r="Z544" s="70" t="n">
        <f aca="false">Z543-Y543</f>
        <v>2232</v>
      </c>
      <c r="AA544" s="70" t="n">
        <f aca="false">AA543-Z543</f>
        <v>-3564</v>
      </c>
      <c r="AB544" s="70" t="n">
        <f aca="false">AB543-AA543</f>
        <v>0</v>
      </c>
    </row>
    <row r="545" customFormat="false" ht="15" hidden="false" customHeight="false" outlineLevel="0" collapsed="false">
      <c r="A545" s="27" t="s">
        <v>757</v>
      </c>
      <c r="B545" s="56"/>
      <c r="C545" s="57" t="n">
        <f aca="false">SUM(E545:P545)</f>
        <v>0</v>
      </c>
      <c r="D545" s="57" t="n">
        <f aca="false">SUM(Q545:AB545)</f>
        <v>175500</v>
      </c>
      <c r="E545" s="70" t="n">
        <f aca="false">E542-E544</f>
        <v>0</v>
      </c>
      <c r="F545" s="70" t="n">
        <f aca="false">F542-F544</f>
        <v>0</v>
      </c>
      <c r="G545" s="70" t="n">
        <f aca="false">G542-G544</f>
        <v>0</v>
      </c>
      <c r="H545" s="70" t="n">
        <f aca="false">H542-H544</f>
        <v>0</v>
      </c>
      <c r="I545" s="70" t="n">
        <f aca="false">I542-I544</f>
        <v>0</v>
      </c>
      <c r="J545" s="70" t="n">
        <f aca="false">J542-J544</f>
        <v>0</v>
      </c>
      <c r="K545" s="70" t="n">
        <f aca="false">K542-K544</f>
        <v>0</v>
      </c>
      <c r="L545" s="70" t="n">
        <f aca="false">L542-L544</f>
        <v>0</v>
      </c>
      <c r="M545" s="70" t="n">
        <f aca="false">M542-M544</f>
        <v>0</v>
      </c>
      <c r="N545" s="70" t="n">
        <f aca="false">N542-N544</f>
        <v>0</v>
      </c>
      <c r="O545" s="70" t="n">
        <f aca="false">O542-O544</f>
        <v>0</v>
      </c>
      <c r="P545" s="70" t="n">
        <f aca="false">P542-P544</f>
        <v>0</v>
      </c>
      <c r="Q545" s="70" t="n">
        <f aca="false">Q542-Q544</f>
        <v>0</v>
      </c>
      <c r="R545" s="70" t="n">
        <f aca="false">R542-R544</f>
        <v>0</v>
      </c>
      <c r="S545" s="70" t="n">
        <f aca="false">S542-S544</f>
        <v>0</v>
      </c>
      <c r="T545" s="70" t="n">
        <f aca="false">T542-T544</f>
        <v>0</v>
      </c>
      <c r="U545" s="70" t="n">
        <f aca="false">U542-U544</f>
        <v>0</v>
      </c>
      <c r="V545" s="70" t="n">
        <f aca="false">V542-V544</f>
        <v>0</v>
      </c>
      <c r="W545" s="70" t="n">
        <f aca="false">W542-W544</f>
        <v>17784</v>
      </c>
      <c r="X545" s="70" t="n">
        <f aca="false">X542-X544</f>
        <v>42408</v>
      </c>
      <c r="Y545" s="70" t="n">
        <f aca="false">Y542-Y544</f>
        <v>50616</v>
      </c>
      <c r="Z545" s="70" t="n">
        <f aca="false">Z542-Z544</f>
        <v>42408</v>
      </c>
      <c r="AA545" s="70" t="n">
        <f aca="false">AA542-AA544</f>
        <v>22284</v>
      </c>
      <c r="AB545" s="70" t="n">
        <f aca="false">AB542-AB544</f>
        <v>0</v>
      </c>
    </row>
    <row r="546" customFormat="false" ht="15" hidden="false" customHeight="false" outlineLevel="0" collapsed="false">
      <c r="A546" s="27" t="s">
        <v>758</v>
      </c>
      <c r="B546" s="56" t="s">
        <v>759</v>
      </c>
      <c r="C546" s="57" t="n">
        <f aca="false">SUM(E546:P546)</f>
        <v>0</v>
      </c>
      <c r="D546" s="57" t="n">
        <f aca="false">SUM(Q546:AB546)</f>
        <v>23692.5</v>
      </c>
      <c r="E546" s="58" t="n">
        <f aca="false">E545*Project_Register!$W$19</f>
        <v>0</v>
      </c>
      <c r="F546" s="58" t="n">
        <f aca="false">F545*Project_Register!$W$19</f>
        <v>0</v>
      </c>
      <c r="G546" s="58" t="n">
        <f aca="false">G545*Project_Register!$W$19</f>
        <v>0</v>
      </c>
      <c r="H546" s="58" t="n">
        <f aca="false">H545*Project_Register!$W$19</f>
        <v>0</v>
      </c>
      <c r="I546" s="58" t="n">
        <f aca="false">I545*Project_Register!$W$19</f>
        <v>0</v>
      </c>
      <c r="J546" s="58" t="n">
        <f aca="false">J545*Project_Register!$W$19</f>
        <v>0</v>
      </c>
      <c r="K546" s="58" t="n">
        <f aca="false">K545*Project_Register!$W$19</f>
        <v>0</v>
      </c>
      <c r="L546" s="58" t="n">
        <f aca="false">L545*Project_Register!$W$19</f>
        <v>0</v>
      </c>
      <c r="M546" s="58" t="n">
        <f aca="false">M545*Project_Register!$W$19</f>
        <v>0</v>
      </c>
      <c r="N546" s="58" t="n">
        <f aca="false">N545*Project_Register!$W$19</f>
        <v>0</v>
      </c>
      <c r="O546" s="58" t="n">
        <f aca="false">O545*Project_Register!$W$19</f>
        <v>0</v>
      </c>
      <c r="P546" s="58" t="n">
        <f aca="false">P545*Project_Register!$W$19</f>
        <v>0</v>
      </c>
      <c r="Q546" s="58" t="n">
        <f aca="false">Q545*Project_Register!$W$19</f>
        <v>0</v>
      </c>
      <c r="R546" s="58" t="n">
        <f aca="false">R545*Project_Register!$W$19</f>
        <v>0</v>
      </c>
      <c r="S546" s="58" t="n">
        <f aca="false">S545*Project_Register!$W$19</f>
        <v>0</v>
      </c>
      <c r="T546" s="58" t="n">
        <f aca="false">T545*Project_Register!$W$19</f>
        <v>0</v>
      </c>
      <c r="U546" s="58" t="n">
        <f aca="false">U545*Project_Register!$W$19</f>
        <v>0</v>
      </c>
      <c r="V546" s="58" t="n">
        <f aca="false">V545*Project_Register!$W$19</f>
        <v>0</v>
      </c>
      <c r="W546" s="58" t="n">
        <f aca="false">W545*Project_Register!$W$19</f>
        <v>2400.84</v>
      </c>
      <c r="X546" s="58" t="n">
        <f aca="false">X545*Project_Register!$W$19</f>
        <v>5725.08</v>
      </c>
      <c r="Y546" s="58" t="n">
        <f aca="false">Y545*Project_Register!$W$19</f>
        <v>6833.16</v>
      </c>
      <c r="Z546" s="58" t="n">
        <f aca="false">Z545*Project_Register!$W$19</f>
        <v>5725.08</v>
      </c>
      <c r="AA546" s="58" t="n">
        <f aca="false">AA545*Project_Register!$W$19</f>
        <v>3008.34</v>
      </c>
      <c r="AB546" s="58" t="n">
        <f aca="false">AB545*Project_Register!$W$19</f>
        <v>0</v>
      </c>
    </row>
    <row r="547" customFormat="false" ht="15" hidden="false" customHeight="false" outlineLevel="0" collapsed="false">
      <c r="A547" s="27" t="s">
        <v>760</v>
      </c>
      <c r="B547" s="56"/>
      <c r="C547" s="57" t="n">
        <f aca="false">SUM(E547:P547)</f>
        <v>0</v>
      </c>
      <c r="D547" s="57" t="n">
        <f aca="false">SUM(Q547:AB547)</f>
        <v>199192.5</v>
      </c>
      <c r="E547" s="70" t="n">
        <f aca="false">E545+E546</f>
        <v>0</v>
      </c>
      <c r="F547" s="70" t="n">
        <f aca="false">F545+F546</f>
        <v>0</v>
      </c>
      <c r="G547" s="70" t="n">
        <f aca="false">G545+G546</f>
        <v>0</v>
      </c>
      <c r="H547" s="70" t="n">
        <f aca="false">H545+H546</f>
        <v>0</v>
      </c>
      <c r="I547" s="70" t="n">
        <f aca="false">I545+I546</f>
        <v>0</v>
      </c>
      <c r="J547" s="70" t="n">
        <f aca="false">J545+J546</f>
        <v>0</v>
      </c>
      <c r="K547" s="70" t="n">
        <f aca="false">K545+K546</f>
        <v>0</v>
      </c>
      <c r="L547" s="70" t="n">
        <f aca="false">L545+L546</f>
        <v>0</v>
      </c>
      <c r="M547" s="70" t="n">
        <f aca="false">M545+M546</f>
        <v>0</v>
      </c>
      <c r="N547" s="70" t="n">
        <f aca="false">N545+N546</f>
        <v>0</v>
      </c>
      <c r="O547" s="70" t="n">
        <f aca="false">O545+O546</f>
        <v>0</v>
      </c>
      <c r="P547" s="70" t="n">
        <f aca="false">P545+P546</f>
        <v>0</v>
      </c>
      <c r="Q547" s="70" t="n">
        <f aca="false">Q545+Q546</f>
        <v>0</v>
      </c>
      <c r="R547" s="70" t="n">
        <f aca="false">R545+R546</f>
        <v>0</v>
      </c>
      <c r="S547" s="70" t="n">
        <f aca="false">S545+S546</f>
        <v>0</v>
      </c>
      <c r="T547" s="70" t="n">
        <f aca="false">T545+T546</f>
        <v>0</v>
      </c>
      <c r="U547" s="70" t="n">
        <f aca="false">U545+U546</f>
        <v>0</v>
      </c>
      <c r="V547" s="70" t="n">
        <f aca="false">V545+V546</f>
        <v>0</v>
      </c>
      <c r="W547" s="70" t="n">
        <f aca="false">W545+W546</f>
        <v>20184.84</v>
      </c>
      <c r="X547" s="70" t="n">
        <f aca="false">X545+X546</f>
        <v>48133.08</v>
      </c>
      <c r="Y547" s="70" t="n">
        <f aca="false">Y545+Y546</f>
        <v>57449.16</v>
      </c>
      <c r="Z547" s="70" t="n">
        <f aca="false">Z545+Z546</f>
        <v>48133.08</v>
      </c>
      <c r="AA547" s="70" t="n">
        <f aca="false">AA545+AA546</f>
        <v>25292.34</v>
      </c>
      <c r="AB547" s="70" t="n">
        <f aca="false">AB545+AB546</f>
        <v>0</v>
      </c>
    </row>
    <row r="548" customFormat="false" ht="15" hidden="false" customHeight="false" outlineLevel="0" collapsed="false">
      <c r="A548" s="27" t="s">
        <v>761</v>
      </c>
      <c r="B548" s="56" t="s">
        <v>762</v>
      </c>
      <c r="C548" s="57" t="n">
        <f aca="false">SUM(E548:P548)</f>
        <v>0</v>
      </c>
      <c r="D548" s="57" t="n">
        <f aca="false">SUM(Q548:AB548)</f>
        <v>199192.5</v>
      </c>
      <c r="E548" s="58" t="n">
        <f aca="false">IF(E$5="A",0,Project_Register!$AF$19+E547-(E547*MIN(1,Project_Register!$AY$19/30)+0*MIN(1,MAX(0,(Project_Register!$AY$19-30)/30))))</f>
        <v>0</v>
      </c>
      <c r="F548" s="58" t="n">
        <f aca="false">IF(F$5="A",0,E549+F547-(F547*MIN(1,Project_Register!$AY$19/30)+E547*MIN(1,MAX(0,(Project_Register!$AY$19-30)/30))))</f>
        <v>0</v>
      </c>
      <c r="G548" s="58" t="n">
        <f aca="false">IF(G$5="A",0,F549+G547-(G547*MIN(1,Project_Register!$AY$19/30)+F547*MIN(1,MAX(0,(Project_Register!$AY$19-30)/30))))</f>
        <v>0</v>
      </c>
      <c r="H548" s="58" t="n">
        <f aca="false">IF(H$5="A",0,G549+H547-(H547*MIN(1,Project_Register!$AY$19/30)+G547*MIN(1,MAX(0,(Project_Register!$AY$19-30)/30))))</f>
        <v>0</v>
      </c>
      <c r="I548" s="58" t="n">
        <f aca="false">IF(I$5="A",0,H549+I547-(I547*MIN(1,Project_Register!$AY$19/30)+H547*MIN(1,MAX(0,(Project_Register!$AY$19-30)/30))))</f>
        <v>0</v>
      </c>
      <c r="J548" s="58" t="n">
        <f aca="false">IF(J$5="A",0,I549+J547-(J547*MIN(1,Project_Register!$AY$19/30)+I547*MIN(1,MAX(0,(Project_Register!$AY$19-30)/30))))</f>
        <v>0</v>
      </c>
      <c r="K548" s="58" t="n">
        <f aca="false">IF(K$5="A",0,J549+K547-(K547*MIN(1,Project_Register!$AY$19/30)+J547*MIN(1,MAX(0,(Project_Register!$AY$19-30)/30))))</f>
        <v>0</v>
      </c>
      <c r="L548" s="58" t="n">
        <f aca="false">IF(L$5="A",0,K549+L547-(L547*MIN(1,Project_Register!$AY$19/30)+K547*MIN(1,MAX(0,(Project_Register!$AY$19-30)/30))))</f>
        <v>0</v>
      </c>
      <c r="M548" s="58" t="n">
        <f aca="false">IF(M$5="A",0,L549+M547-(M547*MIN(1,Project_Register!$AY$19/30)+L547*MIN(1,MAX(0,(Project_Register!$AY$19-30)/30))))</f>
        <v>0</v>
      </c>
      <c r="N548" s="58" t="n">
        <f aca="false">IF(N$5="A",0,M549+N547-(N547*MIN(1,Project_Register!$AY$19/30)+M547*MIN(1,MAX(0,(Project_Register!$AY$19-30)/30))))</f>
        <v>0</v>
      </c>
      <c r="O548" s="58" t="n">
        <f aca="false">IF(O$5="A",0,N549+O547-(O547*MIN(1,Project_Register!$AY$19/30)+N547*MIN(1,MAX(0,(Project_Register!$AY$19-30)/30))))</f>
        <v>0</v>
      </c>
      <c r="P548" s="58" t="n">
        <f aca="false">IF(P$5="A",0,O549+P547-(P547*MIN(1,Project_Register!$AY$19/30)+O547*MIN(1,MAX(0,(Project_Register!$AY$19-30)/30))))</f>
        <v>0</v>
      </c>
      <c r="Q548" s="58" t="n">
        <f aca="false">IF(Q$5="A",0,P549+Q547-(Q547*MIN(1,Project_Register!$AY$19/30)+P547*MIN(1,MAX(0,(Project_Register!$AY$19-30)/30))))</f>
        <v>0</v>
      </c>
      <c r="R548" s="58" t="n">
        <f aca="false">IF(R$5="A",0,Q549+R547-(R547*MIN(1,Project_Register!$AY$19/30)+Q547*MIN(1,MAX(0,(Project_Register!$AY$19-30)/30))))</f>
        <v>0</v>
      </c>
      <c r="S548" s="58" t="n">
        <f aca="false">IF(S$5="A",0,R549+S547-(S547*MIN(1,Project_Register!$AY$19/30)+R547*MIN(1,MAX(0,(Project_Register!$AY$19-30)/30))))</f>
        <v>0</v>
      </c>
      <c r="T548" s="58" t="n">
        <f aca="false">IF(T$5="A",0,S549+T547-(T547*MIN(1,Project_Register!$AY$19/30)+S547*MIN(1,MAX(0,(Project_Register!$AY$19-30)/30))))</f>
        <v>0</v>
      </c>
      <c r="U548" s="58" t="n">
        <f aca="false">IF(U$5="A",0,T549+U547-(U547*MIN(1,Project_Register!$AY$19/30)+T547*MIN(1,MAX(0,(Project_Register!$AY$19-30)/30))))</f>
        <v>0</v>
      </c>
      <c r="V548" s="58" t="n">
        <f aca="false">IF(V$5="A",0,U549+V547-(V547*MIN(1,Project_Register!$AY$19/30)+U547*MIN(1,MAX(0,(Project_Register!$AY$19-30)/30))))</f>
        <v>0</v>
      </c>
      <c r="W548" s="58" t="n">
        <f aca="false">IF(W$5="A",0,V549+W547-(W547*MIN(1,Project_Register!$AY$19/30)+V547*MIN(1,MAX(0,(Project_Register!$AY$19-30)/30))))</f>
        <v>0</v>
      </c>
      <c r="X548" s="58" t="n">
        <f aca="false">IF(X$5="A",0,W549+X547-(X547*MIN(1,Project_Register!$AY$19/30)+W547*MIN(1,MAX(0,(Project_Register!$AY$19-30)/30))))</f>
        <v>20184.84</v>
      </c>
      <c r="Y548" s="58" t="n">
        <f aca="false">IF(Y$5="A",0,X549+Y547-(Y547*MIN(1,Project_Register!$AY$19/30)+X547*MIN(1,MAX(0,(Project_Register!$AY$19-30)/30))))</f>
        <v>48133.08</v>
      </c>
      <c r="Z548" s="58" t="n">
        <f aca="false">IF(Z$5="A",0,Y549+Z547-(Z547*MIN(1,Project_Register!$AY$19/30)+Y547*MIN(1,MAX(0,(Project_Register!$AY$19-30)/30))))</f>
        <v>57449.16</v>
      </c>
      <c r="AA548" s="58" t="n">
        <f aca="false">IF(AA$5="A",0,Z549+AA547-(AA547*MIN(1,Project_Register!$AY$19/30)+Z547*MIN(1,MAX(0,(Project_Register!$AY$19-30)/30))))</f>
        <v>48133.08</v>
      </c>
      <c r="AB548" s="58" t="n">
        <f aca="false">IF(AB$5="A",0,AA549+AB547-(AB547*MIN(1,Project_Register!$AY$19/30)+AA547*MIN(1,MAX(0,(Project_Register!$AY$19-30)/30))))</f>
        <v>25292.34</v>
      </c>
    </row>
    <row r="549" customFormat="false" ht="15" hidden="false" customHeight="false" outlineLevel="0" collapsed="false">
      <c r="A549" s="27" t="s">
        <v>763</v>
      </c>
      <c r="B549" s="56" t="s">
        <v>764</v>
      </c>
      <c r="C549" s="57" t="n">
        <f aca="false">P549</f>
        <v>0</v>
      </c>
      <c r="D549" s="57" t="n">
        <f aca="false">AB549</f>
        <v>0</v>
      </c>
      <c r="E549" s="58" t="n">
        <f aca="false">Project_Register!$AF$19+E547-E548</f>
        <v>0</v>
      </c>
      <c r="F549" s="70" t="n">
        <f aca="false">E549+F547-F548</f>
        <v>0</v>
      </c>
      <c r="G549" s="70" t="n">
        <f aca="false">F549+G547-G548</f>
        <v>0</v>
      </c>
      <c r="H549" s="70" t="n">
        <f aca="false">G549+H547-H548</f>
        <v>0</v>
      </c>
      <c r="I549" s="70" t="n">
        <f aca="false">H549+I547-I548</f>
        <v>0</v>
      </c>
      <c r="J549" s="70" t="n">
        <f aca="false">I549+J547-J548</f>
        <v>0</v>
      </c>
      <c r="K549" s="70" t="n">
        <f aca="false">J549+K547-K548</f>
        <v>0</v>
      </c>
      <c r="L549" s="70" t="n">
        <f aca="false">K549+L547-L548</f>
        <v>0</v>
      </c>
      <c r="M549" s="70" t="n">
        <f aca="false">L549+M547-M548</f>
        <v>0</v>
      </c>
      <c r="N549" s="70" t="n">
        <f aca="false">M549+N547-N548</f>
        <v>0</v>
      </c>
      <c r="O549" s="70" t="n">
        <f aca="false">N549+O547-O548</f>
        <v>0</v>
      </c>
      <c r="P549" s="70" t="n">
        <f aca="false">O549+P547-P548</f>
        <v>0</v>
      </c>
      <c r="Q549" s="70" t="n">
        <f aca="false">P549+Q547-Q548</f>
        <v>0</v>
      </c>
      <c r="R549" s="70" t="n">
        <f aca="false">Q549+R547-R548</f>
        <v>0</v>
      </c>
      <c r="S549" s="70" t="n">
        <f aca="false">R549+S547-S548</f>
        <v>0</v>
      </c>
      <c r="T549" s="70" t="n">
        <f aca="false">S549+T547-T548</f>
        <v>0</v>
      </c>
      <c r="U549" s="70" t="n">
        <f aca="false">T549+U547-U548</f>
        <v>0</v>
      </c>
      <c r="V549" s="70" t="n">
        <f aca="false">U549+V547-V548</f>
        <v>0</v>
      </c>
      <c r="W549" s="70" t="n">
        <f aca="false">V549+W547-W548</f>
        <v>20184.84</v>
      </c>
      <c r="X549" s="70" t="n">
        <f aca="false">W549+X547-X548</f>
        <v>48133.08</v>
      </c>
      <c r="Y549" s="70" t="n">
        <f aca="false">X549+Y547-Y548</f>
        <v>57449.16</v>
      </c>
      <c r="Z549" s="70" t="n">
        <f aca="false">Y549+Z547-Z548</f>
        <v>48133.08</v>
      </c>
      <c r="AA549" s="70" t="n">
        <f aca="false">Z549+AA547-AA548</f>
        <v>25292.34</v>
      </c>
      <c r="AB549" s="70" t="n">
        <f aca="false">AA549+AB547-AB548</f>
        <v>0</v>
      </c>
    </row>
    <row r="550" customFormat="false" ht="15" hidden="false" customHeight="false" outlineLevel="0" collapsed="false">
      <c r="A550" s="27" t="s">
        <v>765</v>
      </c>
      <c r="B550" s="56" t="s">
        <v>766</v>
      </c>
      <c r="C550" s="57" t="n">
        <f aca="false">P550</f>
        <v>0</v>
      </c>
      <c r="D550" s="57" t="n">
        <f aca="false">AB550</f>
        <v>0</v>
      </c>
      <c r="E550" s="70" t="n">
        <f aca="false">E535-E541</f>
        <v>0</v>
      </c>
      <c r="F550" s="70" t="n">
        <f aca="false">F535-F541</f>
        <v>0</v>
      </c>
      <c r="G550" s="70" t="n">
        <f aca="false">G535-G541</f>
        <v>0</v>
      </c>
      <c r="H550" s="70" t="n">
        <f aca="false">H535-H541</f>
        <v>0</v>
      </c>
      <c r="I550" s="70" t="n">
        <f aca="false">I535-I541</f>
        <v>0</v>
      </c>
      <c r="J550" s="70" t="n">
        <f aca="false">J535-J541</f>
        <v>0</v>
      </c>
      <c r="K550" s="70" t="n">
        <f aca="false">K535-K541</f>
        <v>0</v>
      </c>
      <c r="L550" s="70" t="n">
        <f aca="false">L535-L541</f>
        <v>0</v>
      </c>
      <c r="M550" s="70" t="n">
        <f aca="false">M535-M541</f>
        <v>0</v>
      </c>
      <c r="N550" s="70" t="n">
        <f aca="false">N535-N541</f>
        <v>0</v>
      </c>
      <c r="O550" s="70" t="n">
        <f aca="false">O535-O541</f>
        <v>0</v>
      </c>
      <c r="P550" s="70" t="n">
        <f aca="false">P535-P541</f>
        <v>0</v>
      </c>
      <c r="Q550" s="70" t="n">
        <f aca="false">Q535-Q541</f>
        <v>0</v>
      </c>
      <c r="R550" s="70" t="n">
        <f aca="false">R535-R541</f>
        <v>0</v>
      </c>
      <c r="S550" s="70" t="n">
        <f aca="false">S535-S541</f>
        <v>0</v>
      </c>
      <c r="T550" s="70" t="n">
        <f aca="false">T535-T541</f>
        <v>0</v>
      </c>
      <c r="U550" s="70" t="n">
        <f aca="false">U535-U541</f>
        <v>0</v>
      </c>
      <c r="V550" s="70" t="n">
        <f aca="false">V535-V541</f>
        <v>18720</v>
      </c>
      <c r="W550" s="70" t="n">
        <f aca="false">W535-W541</f>
        <v>44640</v>
      </c>
      <c r="X550" s="70" t="n">
        <f aca="false">X535-X541</f>
        <v>53280</v>
      </c>
      <c r="Y550" s="70" t="n">
        <f aca="false">Y535-Y541</f>
        <v>44640</v>
      </c>
      <c r="Z550" s="70" t="n">
        <f aca="false">Z535-Z541</f>
        <v>18720</v>
      </c>
      <c r="AA550" s="70" t="n">
        <f aca="false">AA535-AA541</f>
        <v>0</v>
      </c>
      <c r="AB550" s="70" t="n">
        <f aca="false">AB535-AB541</f>
        <v>0</v>
      </c>
    </row>
    <row r="551" customFormat="false" ht="15" hidden="false" customHeight="false" outlineLevel="0" collapsed="false">
      <c r="A551" s="27" t="s">
        <v>767</v>
      </c>
      <c r="B551" s="56"/>
      <c r="C551" s="57" t="n">
        <f aca="false">P551</f>
        <v>0</v>
      </c>
      <c r="D551" s="57" t="n">
        <f aca="false">AB551</f>
        <v>0</v>
      </c>
      <c r="E551" s="70" t="n">
        <f aca="false">MAX(0,E550)</f>
        <v>0</v>
      </c>
      <c r="F551" s="70" t="n">
        <f aca="false">MAX(0,F550)</f>
        <v>0</v>
      </c>
      <c r="G551" s="70" t="n">
        <f aca="false">MAX(0,G550)</f>
        <v>0</v>
      </c>
      <c r="H551" s="70" t="n">
        <f aca="false">MAX(0,H550)</f>
        <v>0</v>
      </c>
      <c r="I551" s="70" t="n">
        <f aca="false">MAX(0,I550)</f>
        <v>0</v>
      </c>
      <c r="J551" s="70" t="n">
        <f aca="false">MAX(0,J550)</f>
        <v>0</v>
      </c>
      <c r="K551" s="70" t="n">
        <f aca="false">MAX(0,K550)</f>
        <v>0</v>
      </c>
      <c r="L551" s="70" t="n">
        <f aca="false">MAX(0,L550)</f>
        <v>0</v>
      </c>
      <c r="M551" s="70" t="n">
        <f aca="false">MAX(0,M550)</f>
        <v>0</v>
      </c>
      <c r="N551" s="70" t="n">
        <f aca="false">MAX(0,N550)</f>
        <v>0</v>
      </c>
      <c r="O551" s="70" t="n">
        <f aca="false">MAX(0,O550)</f>
        <v>0</v>
      </c>
      <c r="P551" s="70" t="n">
        <f aca="false">MAX(0,P550)</f>
        <v>0</v>
      </c>
      <c r="Q551" s="70" t="n">
        <f aca="false">MAX(0,Q550)</f>
        <v>0</v>
      </c>
      <c r="R551" s="70" t="n">
        <f aca="false">MAX(0,R550)</f>
        <v>0</v>
      </c>
      <c r="S551" s="70" t="n">
        <f aca="false">MAX(0,S550)</f>
        <v>0</v>
      </c>
      <c r="T551" s="70" t="n">
        <f aca="false">MAX(0,T550)</f>
        <v>0</v>
      </c>
      <c r="U551" s="70" t="n">
        <f aca="false">MAX(0,U550)</f>
        <v>0</v>
      </c>
      <c r="V551" s="70" t="n">
        <f aca="false">MAX(0,V550)</f>
        <v>18720</v>
      </c>
      <c r="W551" s="70" t="n">
        <f aca="false">MAX(0,W550)</f>
        <v>44640</v>
      </c>
      <c r="X551" s="70" t="n">
        <f aca="false">MAX(0,X550)</f>
        <v>53280</v>
      </c>
      <c r="Y551" s="70" t="n">
        <f aca="false">MAX(0,Y550)</f>
        <v>44640</v>
      </c>
      <c r="Z551" s="70" t="n">
        <f aca="false">MAX(0,Z550)</f>
        <v>18720</v>
      </c>
      <c r="AA551" s="70" t="n">
        <f aca="false">MAX(0,AA550)</f>
        <v>0</v>
      </c>
      <c r="AB551" s="70" t="n">
        <f aca="false">MAX(0,AB550)</f>
        <v>0</v>
      </c>
    </row>
    <row r="552" customFormat="false" ht="15" hidden="false" customHeight="false" outlineLevel="0" collapsed="false">
      <c r="A552" s="27" t="s">
        <v>768</v>
      </c>
      <c r="B552" s="56"/>
      <c r="C552" s="57" t="n">
        <f aca="false">P552</f>
        <v>-0</v>
      </c>
      <c r="D552" s="57" t="n">
        <f aca="false">AB552</f>
        <v>-0</v>
      </c>
      <c r="E552" s="70" t="n">
        <f aca="false">MAX(0,-E550)</f>
        <v>-0</v>
      </c>
      <c r="F552" s="70" t="n">
        <f aca="false">MAX(0,-F550)</f>
        <v>-0</v>
      </c>
      <c r="G552" s="70" t="n">
        <f aca="false">MAX(0,-G550)</f>
        <v>-0</v>
      </c>
      <c r="H552" s="70" t="n">
        <f aca="false">MAX(0,-H550)</f>
        <v>-0</v>
      </c>
      <c r="I552" s="70" t="n">
        <f aca="false">MAX(0,-I550)</f>
        <v>-0</v>
      </c>
      <c r="J552" s="70" t="n">
        <f aca="false">MAX(0,-J550)</f>
        <v>-0</v>
      </c>
      <c r="K552" s="70" t="n">
        <f aca="false">MAX(0,-K550)</f>
        <v>-0</v>
      </c>
      <c r="L552" s="70" t="n">
        <f aca="false">MAX(0,-L550)</f>
        <v>-0</v>
      </c>
      <c r="M552" s="70" t="n">
        <f aca="false">MAX(0,-M550)</f>
        <v>-0</v>
      </c>
      <c r="N552" s="70" t="n">
        <f aca="false">MAX(0,-N550)</f>
        <v>-0</v>
      </c>
      <c r="O552" s="70" t="n">
        <f aca="false">MAX(0,-O550)</f>
        <v>-0</v>
      </c>
      <c r="P552" s="70" t="n">
        <f aca="false">MAX(0,-P550)</f>
        <v>-0</v>
      </c>
      <c r="Q552" s="70" t="n">
        <f aca="false">MAX(0,-Q550)</f>
        <v>-0</v>
      </c>
      <c r="R552" s="70" t="n">
        <f aca="false">MAX(0,-R550)</f>
        <v>-0</v>
      </c>
      <c r="S552" s="70" t="n">
        <f aca="false">MAX(0,-S550)</f>
        <v>-0</v>
      </c>
      <c r="T552" s="70" t="n">
        <f aca="false">MAX(0,-T550)</f>
        <v>-0</v>
      </c>
      <c r="U552" s="70" t="n">
        <f aca="false">MAX(0,-U550)</f>
        <v>-0</v>
      </c>
      <c r="V552" s="70" t="n">
        <f aca="false">MAX(0,-V550)</f>
        <v>0</v>
      </c>
      <c r="W552" s="70" t="n">
        <f aca="false">MAX(0,-W550)</f>
        <v>0</v>
      </c>
      <c r="X552" s="70" t="n">
        <f aca="false">MAX(0,-X550)</f>
        <v>0</v>
      </c>
      <c r="Y552" s="70" t="n">
        <f aca="false">MAX(0,-Y550)</f>
        <v>0</v>
      </c>
      <c r="Z552" s="70" t="n">
        <f aca="false">MAX(0,-Z550)</f>
        <v>0</v>
      </c>
      <c r="AA552" s="70" t="n">
        <f aca="false">MAX(0,-AA550)</f>
        <v>-0</v>
      </c>
      <c r="AB552" s="70" t="n">
        <f aca="false">MAX(0,-AB550)</f>
        <v>-0</v>
      </c>
    </row>
    <row r="553" customFormat="false" ht="15" hidden="false" customHeight="false" outlineLevel="0" collapsed="false">
      <c r="A553" s="27" t="s">
        <v>769</v>
      </c>
      <c r="B553" s="56"/>
      <c r="C553" s="57" t="n">
        <f aca="false">P553</f>
        <v>0</v>
      </c>
      <c r="D553" s="57" t="n">
        <f aca="false">AB553</f>
        <v>77750</v>
      </c>
      <c r="E553" s="58" t="n">
        <f aca="false">Project_Register!$AG$19+E523</f>
        <v>0</v>
      </c>
      <c r="F553" s="70" t="n">
        <f aca="false">E553+F523</f>
        <v>0</v>
      </c>
      <c r="G553" s="70" t="n">
        <f aca="false">F553+G523</f>
        <v>0</v>
      </c>
      <c r="H553" s="70" t="n">
        <f aca="false">G553+H523</f>
        <v>0</v>
      </c>
      <c r="I553" s="70" t="n">
        <f aca="false">H553+I523</f>
        <v>0</v>
      </c>
      <c r="J553" s="70" t="n">
        <f aca="false">I553+J523</f>
        <v>0</v>
      </c>
      <c r="K553" s="70" t="n">
        <f aca="false">J553+K523</f>
        <v>0</v>
      </c>
      <c r="L553" s="70" t="n">
        <f aca="false">K553+L523</f>
        <v>0</v>
      </c>
      <c r="M553" s="70" t="n">
        <f aca="false">L553+M523</f>
        <v>0</v>
      </c>
      <c r="N553" s="70" t="n">
        <f aca="false">M553+N523</f>
        <v>0</v>
      </c>
      <c r="O553" s="70" t="n">
        <f aca="false">N553+O523</f>
        <v>0</v>
      </c>
      <c r="P553" s="70" t="n">
        <f aca="false">O553+P523</f>
        <v>0</v>
      </c>
      <c r="Q553" s="70" t="n">
        <f aca="false">P553+Q523</f>
        <v>0</v>
      </c>
      <c r="R553" s="70" t="n">
        <f aca="false">Q553+R523</f>
        <v>0</v>
      </c>
      <c r="S553" s="70" t="n">
        <f aca="false">R553+S523</f>
        <v>0</v>
      </c>
      <c r="T553" s="70" t="n">
        <f aca="false">S553+T523</f>
        <v>0</v>
      </c>
      <c r="U553" s="70" t="n">
        <f aca="false">T553+U523</f>
        <v>0</v>
      </c>
      <c r="V553" s="70" t="n">
        <f aca="false">U553+V523</f>
        <v>8086</v>
      </c>
      <c r="W553" s="70" t="n">
        <f aca="false">V553+W523</f>
        <v>27368</v>
      </c>
      <c r="X553" s="70" t="n">
        <f aca="false">W553+X523</f>
        <v>50382</v>
      </c>
      <c r="Y553" s="70" t="n">
        <f aca="false">X553+Y523</f>
        <v>69664</v>
      </c>
      <c r="Z553" s="70" t="n">
        <f aca="false">Y553+Z523</f>
        <v>77750</v>
      </c>
      <c r="AA553" s="70" t="n">
        <f aca="false">Z553+AA523</f>
        <v>77750</v>
      </c>
      <c r="AB553" s="70" t="n">
        <f aca="false">AA553+AB523</f>
        <v>77750</v>
      </c>
    </row>
    <row r="554" customFormat="false" ht="15" hidden="false" customHeight="false" outlineLevel="0" collapsed="false">
      <c r="A554" s="27" t="s">
        <v>770</v>
      </c>
      <c r="B554" s="56"/>
      <c r="C554" s="57" t="n">
        <f aca="false">P554</f>
        <v>0</v>
      </c>
      <c r="D554" s="57" t="n">
        <f aca="false">AB554</f>
        <v>1943.75</v>
      </c>
      <c r="E554" s="58" t="n">
        <f aca="false">Project_Register!$U$19*E553*(1-Project_Register!$R$19*(Assumptions!E$96&gt;=Project_Register!$AK$19+1)-(1-Project_Register!$R$19)*(Assumptions!E$96&gt;=Project_Register!$AN$19))</f>
        <v>0</v>
      </c>
      <c r="F554" s="58" t="n">
        <f aca="false">Project_Register!$U$19*F553*(1-Project_Register!$R$19*(Assumptions!F$96&gt;=Project_Register!$AK$19+1)-(1-Project_Register!$R$19)*(Assumptions!F$96&gt;=Project_Register!$AN$19))</f>
        <v>0</v>
      </c>
      <c r="G554" s="58" t="n">
        <f aca="false">Project_Register!$U$19*G553*(1-Project_Register!$R$19*(Assumptions!G$96&gt;=Project_Register!$AK$19+1)-(1-Project_Register!$R$19)*(Assumptions!G$96&gt;=Project_Register!$AN$19))</f>
        <v>0</v>
      </c>
      <c r="H554" s="58" t="n">
        <f aca="false">Project_Register!$U$19*H553*(1-Project_Register!$R$19*(Assumptions!H$96&gt;=Project_Register!$AK$19+1)-(1-Project_Register!$R$19)*(Assumptions!H$96&gt;=Project_Register!$AN$19))</f>
        <v>0</v>
      </c>
      <c r="I554" s="58" t="n">
        <f aca="false">Project_Register!$U$19*I553*(1-Project_Register!$R$19*(Assumptions!I$96&gt;=Project_Register!$AK$19+1)-(1-Project_Register!$R$19)*(Assumptions!I$96&gt;=Project_Register!$AN$19))</f>
        <v>0</v>
      </c>
      <c r="J554" s="58" t="n">
        <f aca="false">Project_Register!$U$19*J553*(1-Project_Register!$R$19*(Assumptions!J$96&gt;=Project_Register!$AK$19+1)-(1-Project_Register!$R$19)*(Assumptions!J$96&gt;=Project_Register!$AN$19))</f>
        <v>0</v>
      </c>
      <c r="K554" s="58" t="n">
        <f aca="false">Project_Register!$U$19*K553*(1-Project_Register!$R$19*(Assumptions!K$96&gt;=Project_Register!$AK$19+1)-(1-Project_Register!$R$19)*(Assumptions!K$96&gt;=Project_Register!$AN$19))</f>
        <v>0</v>
      </c>
      <c r="L554" s="58" t="n">
        <f aca="false">Project_Register!$U$19*L553*(1-Project_Register!$R$19*(Assumptions!L$96&gt;=Project_Register!$AK$19+1)-(1-Project_Register!$R$19)*(Assumptions!L$96&gt;=Project_Register!$AN$19))</f>
        <v>0</v>
      </c>
      <c r="M554" s="58" t="n">
        <f aca="false">Project_Register!$U$19*M553*(1-Project_Register!$R$19*(Assumptions!M$96&gt;=Project_Register!$AK$19+1)-(1-Project_Register!$R$19)*(Assumptions!M$96&gt;=Project_Register!$AN$19))</f>
        <v>0</v>
      </c>
      <c r="N554" s="58" t="n">
        <f aca="false">Project_Register!$U$19*N553*(1-Project_Register!$R$19*(Assumptions!N$96&gt;=Project_Register!$AK$19+1)-(1-Project_Register!$R$19)*(Assumptions!N$96&gt;=Project_Register!$AN$19))</f>
        <v>0</v>
      </c>
      <c r="O554" s="58" t="n">
        <f aca="false">Project_Register!$U$19*O553*(1-Project_Register!$R$19*(Assumptions!O$96&gt;=Project_Register!$AK$19+1)-(1-Project_Register!$R$19)*(Assumptions!O$96&gt;=Project_Register!$AN$19))</f>
        <v>0</v>
      </c>
      <c r="P554" s="58" t="n">
        <f aca="false">Project_Register!$U$19*P553*(1-Project_Register!$R$19*(Assumptions!P$96&gt;=Project_Register!$AK$19+1)-(1-Project_Register!$R$19)*(Assumptions!P$96&gt;=Project_Register!$AN$19))</f>
        <v>0</v>
      </c>
      <c r="Q554" s="58" t="n">
        <f aca="false">Project_Register!$U$19*Q553*(1-Project_Register!$R$19*(Assumptions!Q$96&gt;=Project_Register!$AK$19+1)-(1-Project_Register!$R$19)*(Assumptions!Q$96&gt;=Project_Register!$AN$19))</f>
        <v>0</v>
      </c>
      <c r="R554" s="58" t="n">
        <f aca="false">Project_Register!$U$19*R553*(1-Project_Register!$R$19*(Assumptions!R$96&gt;=Project_Register!$AK$19+1)-(1-Project_Register!$R$19)*(Assumptions!R$96&gt;=Project_Register!$AN$19))</f>
        <v>0</v>
      </c>
      <c r="S554" s="58" t="n">
        <f aca="false">Project_Register!$U$19*S553*(1-Project_Register!$R$19*(Assumptions!S$96&gt;=Project_Register!$AK$19+1)-(1-Project_Register!$R$19)*(Assumptions!S$96&gt;=Project_Register!$AN$19))</f>
        <v>0</v>
      </c>
      <c r="T554" s="58" t="n">
        <f aca="false">Project_Register!$U$19*T553*(1-Project_Register!$R$19*(Assumptions!T$96&gt;=Project_Register!$AK$19+1)-(1-Project_Register!$R$19)*(Assumptions!T$96&gt;=Project_Register!$AN$19))</f>
        <v>0</v>
      </c>
      <c r="U554" s="58" t="n">
        <f aca="false">Project_Register!$U$19*U553*(1-Project_Register!$R$19*(Assumptions!U$96&gt;=Project_Register!$AK$19+1)-(1-Project_Register!$R$19)*(Assumptions!U$96&gt;=Project_Register!$AN$19))</f>
        <v>0</v>
      </c>
      <c r="V554" s="58" t="n">
        <f aca="false">Project_Register!$U$19*V553*(1-Project_Register!$R$19*(Assumptions!V$96&gt;=Project_Register!$AK$19+1)-(1-Project_Register!$R$19)*(Assumptions!V$96&gt;=Project_Register!$AN$19))</f>
        <v>404.3</v>
      </c>
      <c r="W554" s="58" t="n">
        <f aca="false">Project_Register!$U$19*W553*(1-Project_Register!$R$19*(Assumptions!W$96&gt;=Project_Register!$AK$19+1)-(1-Project_Register!$R$19)*(Assumptions!W$96&gt;=Project_Register!$AN$19))</f>
        <v>1368.4</v>
      </c>
      <c r="X554" s="58" t="n">
        <f aca="false">Project_Register!$U$19*X553*(1-Project_Register!$R$19*(Assumptions!X$96&gt;=Project_Register!$AK$19+1)-(1-Project_Register!$R$19)*(Assumptions!X$96&gt;=Project_Register!$AN$19))</f>
        <v>2519.1</v>
      </c>
      <c r="Y554" s="58" t="n">
        <f aca="false">Project_Register!$U$19*Y553*(1-Project_Register!$R$19*(Assumptions!Y$96&gt;=Project_Register!$AK$19+1)-(1-Project_Register!$R$19)*(Assumptions!Y$96&gt;=Project_Register!$AN$19))</f>
        <v>3483.2</v>
      </c>
      <c r="Z554" s="58" t="n">
        <f aca="false">Project_Register!$U$19*Z553*(1-Project_Register!$R$19*(Assumptions!Z$96&gt;=Project_Register!$AK$19+1)-(1-Project_Register!$R$19)*(Assumptions!Z$96&gt;=Project_Register!$AN$19))</f>
        <v>3887.5</v>
      </c>
      <c r="AA554" s="58" t="n">
        <f aca="false">Project_Register!$U$19*AA553*(1-Project_Register!$R$19*(Assumptions!AA$96&gt;=Project_Register!$AK$19+1)-(1-Project_Register!$R$19)*(Assumptions!AA$96&gt;=Project_Register!$AN$19))</f>
        <v>1943.75</v>
      </c>
      <c r="AB554" s="58" t="n">
        <f aca="false">Project_Register!$U$19*AB553*(1-Project_Register!$R$19*(Assumptions!AB$96&gt;=Project_Register!$AK$19+1)-(1-Project_Register!$R$19)*(Assumptions!AB$96&gt;=Project_Register!$AN$19))</f>
        <v>1943.75</v>
      </c>
    </row>
    <row r="555" customFormat="false" ht="15" hidden="false" customHeight="false" outlineLevel="0" collapsed="false">
      <c r="A555" s="27" t="s">
        <v>771</v>
      </c>
      <c r="B555" s="56"/>
      <c r="C555" s="57" t="n">
        <f aca="false">SUM(E555:P555)</f>
        <v>0</v>
      </c>
      <c r="D555" s="57" t="n">
        <f aca="false">SUM(Q555:AB555)</f>
        <v>1943.75</v>
      </c>
      <c r="E555" s="58" t="n">
        <f aca="false">E554-Project_Register!$AX$19</f>
        <v>0</v>
      </c>
      <c r="F555" s="70" t="n">
        <f aca="false">F554-E554</f>
        <v>0</v>
      </c>
      <c r="G555" s="70" t="n">
        <f aca="false">G554-F554</f>
        <v>0</v>
      </c>
      <c r="H555" s="70" t="n">
        <f aca="false">H554-G554</f>
        <v>0</v>
      </c>
      <c r="I555" s="70" t="n">
        <f aca="false">I554-H554</f>
        <v>0</v>
      </c>
      <c r="J555" s="70" t="n">
        <f aca="false">J554-I554</f>
        <v>0</v>
      </c>
      <c r="K555" s="70" t="n">
        <f aca="false">K554-J554</f>
        <v>0</v>
      </c>
      <c r="L555" s="70" t="n">
        <f aca="false">L554-K554</f>
        <v>0</v>
      </c>
      <c r="M555" s="70" t="n">
        <f aca="false">M554-L554</f>
        <v>0</v>
      </c>
      <c r="N555" s="70" t="n">
        <f aca="false">N554-M554</f>
        <v>0</v>
      </c>
      <c r="O555" s="70" t="n">
        <f aca="false">O554-N554</f>
        <v>0</v>
      </c>
      <c r="P555" s="70" t="n">
        <f aca="false">P554-O554</f>
        <v>0</v>
      </c>
      <c r="Q555" s="70" t="n">
        <f aca="false">Q554-P554</f>
        <v>0</v>
      </c>
      <c r="R555" s="70" t="n">
        <f aca="false">R554-Q554</f>
        <v>0</v>
      </c>
      <c r="S555" s="70" t="n">
        <f aca="false">S554-R554</f>
        <v>0</v>
      </c>
      <c r="T555" s="70" t="n">
        <f aca="false">T554-S554</f>
        <v>0</v>
      </c>
      <c r="U555" s="70" t="n">
        <f aca="false">U554-T554</f>
        <v>0</v>
      </c>
      <c r="V555" s="70" t="n">
        <f aca="false">V554-U554</f>
        <v>404.3</v>
      </c>
      <c r="W555" s="70" t="n">
        <f aca="false">W554-V554</f>
        <v>964.1</v>
      </c>
      <c r="X555" s="70" t="n">
        <f aca="false">X554-W554</f>
        <v>1150.7</v>
      </c>
      <c r="Y555" s="70" t="n">
        <f aca="false">Y554-X554</f>
        <v>964.1</v>
      </c>
      <c r="Z555" s="70" t="n">
        <f aca="false">Z554-Y554</f>
        <v>404.299999999999</v>
      </c>
      <c r="AA555" s="70" t="n">
        <f aca="false">AA554-Z554</f>
        <v>-1943.75</v>
      </c>
      <c r="AB555" s="70" t="n">
        <f aca="false">AB554-AA554</f>
        <v>0</v>
      </c>
    </row>
    <row r="556" customFormat="false" ht="15" hidden="false" customHeight="false" outlineLevel="0" collapsed="false">
      <c r="A556" s="27" t="s">
        <v>772</v>
      </c>
      <c r="B556" s="56" t="s">
        <v>773</v>
      </c>
      <c r="C556" s="57" t="n">
        <f aca="false">P556</f>
        <v>0</v>
      </c>
      <c r="D556" s="57" t="n">
        <f aca="false">AB556</f>
        <v>0</v>
      </c>
      <c r="E556" s="58" t="n">
        <f aca="false">Project_Register!$V$19*Project_Register!$AO$19*(Assumptions!E$96&gt;=Project_Register!$AL$19)*(Assumptions!E$96&lt;=Project_Register!$AK$19)</f>
        <v>0</v>
      </c>
      <c r="F556" s="58" t="n">
        <f aca="false">Project_Register!$V$19*Project_Register!$AO$19*(Assumptions!F$96&gt;=Project_Register!$AL$19)*(Assumptions!F$96&lt;=Project_Register!$AK$19)</f>
        <v>0</v>
      </c>
      <c r="G556" s="58" t="n">
        <f aca="false">Project_Register!$V$19*Project_Register!$AO$19*(Assumptions!G$96&gt;=Project_Register!$AL$19)*(Assumptions!G$96&lt;=Project_Register!$AK$19)</f>
        <v>0</v>
      </c>
      <c r="H556" s="58" t="n">
        <f aca="false">Project_Register!$V$19*Project_Register!$AO$19*(Assumptions!H$96&gt;=Project_Register!$AL$19)*(Assumptions!H$96&lt;=Project_Register!$AK$19)</f>
        <v>0</v>
      </c>
      <c r="I556" s="58" t="n">
        <f aca="false">Project_Register!$V$19*Project_Register!$AO$19*(Assumptions!I$96&gt;=Project_Register!$AL$19)*(Assumptions!I$96&lt;=Project_Register!$AK$19)</f>
        <v>0</v>
      </c>
      <c r="J556" s="58" t="n">
        <f aca="false">Project_Register!$V$19*Project_Register!$AO$19*(Assumptions!J$96&gt;=Project_Register!$AL$19)*(Assumptions!J$96&lt;=Project_Register!$AK$19)</f>
        <v>0</v>
      </c>
      <c r="K556" s="58" t="n">
        <f aca="false">Project_Register!$V$19*Project_Register!$AO$19*(Assumptions!K$96&gt;=Project_Register!$AL$19)*(Assumptions!K$96&lt;=Project_Register!$AK$19)</f>
        <v>0</v>
      </c>
      <c r="L556" s="58" t="n">
        <f aca="false">Project_Register!$V$19*Project_Register!$AO$19*(Assumptions!L$96&gt;=Project_Register!$AL$19)*(Assumptions!L$96&lt;=Project_Register!$AK$19)</f>
        <v>0</v>
      </c>
      <c r="M556" s="58" t="n">
        <f aca="false">Project_Register!$V$19*Project_Register!$AO$19*(Assumptions!M$96&gt;=Project_Register!$AL$19)*(Assumptions!M$96&lt;=Project_Register!$AK$19)</f>
        <v>0</v>
      </c>
      <c r="N556" s="58" t="n">
        <f aca="false">Project_Register!$V$19*Project_Register!$AO$19*(Assumptions!N$96&gt;=Project_Register!$AL$19)*(Assumptions!N$96&lt;=Project_Register!$AK$19)</f>
        <v>0</v>
      </c>
      <c r="O556" s="58" t="n">
        <f aca="false">Project_Register!$V$19*Project_Register!$AO$19*(Assumptions!O$96&gt;=Project_Register!$AL$19)*(Assumptions!O$96&lt;=Project_Register!$AK$19)</f>
        <v>0</v>
      </c>
      <c r="P556" s="58" t="n">
        <f aca="false">Project_Register!$V$19*Project_Register!$AO$19*(Assumptions!P$96&gt;=Project_Register!$AL$19)*(Assumptions!P$96&lt;=Project_Register!$AK$19)</f>
        <v>0</v>
      </c>
      <c r="Q556" s="58" t="n">
        <f aca="false">Project_Register!$V$19*Project_Register!$AO$19*(Assumptions!Q$96&gt;=Project_Register!$AL$19)*(Assumptions!Q$96&lt;=Project_Register!$AK$19)</f>
        <v>0</v>
      </c>
      <c r="R556" s="58" t="n">
        <f aca="false">Project_Register!$V$19*Project_Register!$AO$19*(Assumptions!R$96&gt;=Project_Register!$AL$19)*(Assumptions!R$96&lt;=Project_Register!$AK$19)</f>
        <v>0</v>
      </c>
      <c r="S556" s="58" t="n">
        <f aca="false">Project_Register!$V$19*Project_Register!$AO$19*(Assumptions!S$96&gt;=Project_Register!$AL$19)*(Assumptions!S$96&lt;=Project_Register!$AK$19)</f>
        <v>0</v>
      </c>
      <c r="T556" s="58" t="n">
        <f aca="false">Project_Register!$V$19*Project_Register!$AO$19*(Assumptions!T$96&gt;=Project_Register!$AL$19)*(Assumptions!T$96&lt;=Project_Register!$AK$19)</f>
        <v>0</v>
      </c>
      <c r="U556" s="58" t="n">
        <f aca="false">Project_Register!$V$19*Project_Register!$AO$19*(Assumptions!U$96&gt;=Project_Register!$AL$19)*(Assumptions!U$96&lt;=Project_Register!$AK$19)</f>
        <v>18000</v>
      </c>
      <c r="V556" s="58" t="n">
        <f aca="false">Project_Register!$V$19*Project_Register!$AO$19*(Assumptions!V$96&gt;=Project_Register!$AL$19)*(Assumptions!V$96&lt;=Project_Register!$AK$19)</f>
        <v>18000</v>
      </c>
      <c r="W556" s="58" t="n">
        <f aca="false">Project_Register!$V$19*Project_Register!$AO$19*(Assumptions!W$96&gt;=Project_Register!$AL$19)*(Assumptions!W$96&lt;=Project_Register!$AK$19)</f>
        <v>18000</v>
      </c>
      <c r="X556" s="58" t="n">
        <f aca="false">Project_Register!$V$19*Project_Register!$AO$19*(Assumptions!X$96&gt;=Project_Register!$AL$19)*(Assumptions!X$96&lt;=Project_Register!$AK$19)</f>
        <v>18000</v>
      </c>
      <c r="Y556" s="58" t="n">
        <f aca="false">Project_Register!$V$19*Project_Register!$AO$19*(Assumptions!Y$96&gt;=Project_Register!$AL$19)*(Assumptions!Y$96&lt;=Project_Register!$AK$19)</f>
        <v>18000</v>
      </c>
      <c r="Z556" s="58" t="n">
        <f aca="false">Project_Register!$V$19*Project_Register!$AO$19*(Assumptions!Z$96&gt;=Project_Register!$AL$19)*(Assumptions!Z$96&lt;=Project_Register!$AK$19)</f>
        <v>18000</v>
      </c>
      <c r="AA556" s="58" t="n">
        <f aca="false">Project_Register!$V$19*Project_Register!$AO$19*(Assumptions!AA$96&gt;=Project_Register!$AL$19)*(Assumptions!AA$96&lt;=Project_Register!$AK$19)</f>
        <v>0</v>
      </c>
      <c r="AB556" s="58" t="n">
        <f aca="false">Project_Register!$V$19*Project_Register!$AO$19*(Assumptions!AB$96&gt;=Project_Register!$AL$19)*(Assumptions!AB$96&lt;=Project_Register!$AK$19)</f>
        <v>0</v>
      </c>
    </row>
    <row r="557" customFormat="false" ht="15" hidden="false" customHeight="false" outlineLevel="0" collapsed="false">
      <c r="A557" s="27" t="s">
        <v>774</v>
      </c>
      <c r="B557" s="56"/>
      <c r="C557" s="57" t="n">
        <f aca="false">P557</f>
        <v>180000</v>
      </c>
      <c r="D557" s="57" t="n">
        <f aca="false">AB557</f>
        <v>0</v>
      </c>
      <c r="E557" s="58" t="n">
        <f aca="false">IF(OR(Project_Register!$E$19="Pipeline",Assumptions!E$96&gt;=Project_Register!$AL$19),MAX(0,E534-E535),0)</f>
        <v>180000</v>
      </c>
      <c r="F557" s="58" t="n">
        <f aca="false">IF(OR(Project_Register!$E$19="Pipeline",Assumptions!F$96&gt;=Project_Register!$AL$19),MAX(0,F534-F535),0)</f>
        <v>180000</v>
      </c>
      <c r="G557" s="58" t="n">
        <f aca="false">IF(OR(Project_Register!$E$19="Pipeline",Assumptions!G$96&gt;=Project_Register!$AL$19),MAX(0,G534-G535),0)</f>
        <v>180000</v>
      </c>
      <c r="H557" s="58" t="n">
        <f aca="false">IF(OR(Project_Register!$E$19="Pipeline",Assumptions!H$96&gt;=Project_Register!$AL$19),MAX(0,H534-H535),0)</f>
        <v>180000</v>
      </c>
      <c r="I557" s="58" t="n">
        <f aca="false">IF(OR(Project_Register!$E$19="Pipeline",Assumptions!I$96&gt;=Project_Register!$AL$19),MAX(0,I534-I535),0)</f>
        <v>180000</v>
      </c>
      <c r="J557" s="58" t="n">
        <f aca="false">IF(OR(Project_Register!$E$19="Pipeline",Assumptions!J$96&gt;=Project_Register!$AL$19),MAX(0,J534-J535),0)</f>
        <v>180000</v>
      </c>
      <c r="K557" s="58" t="n">
        <f aca="false">IF(OR(Project_Register!$E$19="Pipeline",Assumptions!K$96&gt;=Project_Register!$AL$19),MAX(0,K534-K535),0)</f>
        <v>180000</v>
      </c>
      <c r="L557" s="58" t="n">
        <f aca="false">IF(OR(Project_Register!$E$19="Pipeline",Assumptions!L$96&gt;=Project_Register!$AL$19),MAX(0,L534-L535),0)</f>
        <v>180000</v>
      </c>
      <c r="M557" s="58" t="n">
        <f aca="false">IF(OR(Project_Register!$E$19="Pipeline",Assumptions!M$96&gt;=Project_Register!$AL$19),MAX(0,M534-M535),0)</f>
        <v>180000</v>
      </c>
      <c r="N557" s="58" t="n">
        <f aca="false">IF(OR(Project_Register!$E$19="Pipeline",Assumptions!N$96&gt;=Project_Register!$AL$19),MAX(0,N534-N535),0)</f>
        <v>180000</v>
      </c>
      <c r="O557" s="58" t="n">
        <f aca="false">IF(OR(Project_Register!$E$19="Pipeline",Assumptions!O$96&gt;=Project_Register!$AL$19),MAX(0,O534-O535),0)</f>
        <v>180000</v>
      </c>
      <c r="P557" s="58" t="n">
        <f aca="false">IF(OR(Project_Register!$E$19="Pipeline",Assumptions!P$96&gt;=Project_Register!$AL$19),MAX(0,P534-P535),0)</f>
        <v>180000</v>
      </c>
      <c r="Q557" s="58" t="n">
        <f aca="false">IF(OR(Project_Register!$E$19="Pipeline",Assumptions!Q$96&gt;=Project_Register!$AL$19),MAX(0,Q534-Q535),0)</f>
        <v>180000</v>
      </c>
      <c r="R557" s="58" t="n">
        <f aca="false">IF(OR(Project_Register!$E$19="Pipeline",Assumptions!R$96&gt;=Project_Register!$AL$19),MAX(0,R534-R535),0)</f>
        <v>180000</v>
      </c>
      <c r="S557" s="58" t="n">
        <f aca="false">IF(OR(Project_Register!$E$19="Pipeline",Assumptions!S$96&gt;=Project_Register!$AL$19),MAX(0,S534-S535),0)</f>
        <v>180000</v>
      </c>
      <c r="T557" s="58" t="n">
        <f aca="false">IF(OR(Project_Register!$E$19="Pipeline",Assumptions!T$96&gt;=Project_Register!$AL$19),MAX(0,T534-T535),0)</f>
        <v>180000</v>
      </c>
      <c r="U557" s="58" t="n">
        <f aca="false">IF(OR(Project_Register!$E$19="Pipeline",Assumptions!U$96&gt;=Project_Register!$AL$19),MAX(0,U534-U535),0)</f>
        <v>180000</v>
      </c>
      <c r="V557" s="58" t="n">
        <f aca="false">IF(OR(Project_Register!$E$19="Pipeline",Assumptions!V$96&gt;=Project_Register!$AL$19),MAX(0,V534-V535),0)</f>
        <v>161280</v>
      </c>
      <c r="W557" s="58" t="n">
        <f aca="false">IF(OR(Project_Register!$E$19="Pipeline",Assumptions!W$96&gt;=Project_Register!$AL$19),MAX(0,W534-W535),0)</f>
        <v>116640</v>
      </c>
      <c r="X557" s="58" t="n">
        <f aca="false">IF(OR(Project_Register!$E$19="Pipeline",Assumptions!X$96&gt;=Project_Register!$AL$19),MAX(0,X534-X535),0)</f>
        <v>63360</v>
      </c>
      <c r="Y557" s="58" t="n">
        <f aca="false">IF(OR(Project_Register!$E$19="Pipeline",Assumptions!Y$96&gt;=Project_Register!$AL$19),MAX(0,Y534-Y535),0)</f>
        <v>18720</v>
      </c>
      <c r="Z557" s="58" t="n">
        <f aca="false">IF(OR(Project_Register!$E$19="Pipeline",Assumptions!Z$96&gt;=Project_Register!$AL$19),MAX(0,Z534-Z535),0)</f>
        <v>0</v>
      </c>
      <c r="AA557" s="58" t="n">
        <f aca="false">IF(OR(Project_Register!$E$19="Pipeline",Assumptions!AA$96&gt;=Project_Register!$AL$19),MAX(0,AA534-AA535),0)</f>
        <v>0</v>
      </c>
      <c r="AB557" s="58" t="n">
        <f aca="false">IF(OR(Project_Register!$E$19="Pipeline",Assumptions!AB$96&gt;=Project_Register!$AL$19),MAX(0,AB534-AB535),0)</f>
        <v>0</v>
      </c>
    </row>
    <row r="558" customFormat="false" ht="15" hidden="false" customHeight="false" outlineLevel="0" collapsed="false">
      <c r="A558" s="27" t="s">
        <v>775</v>
      </c>
      <c r="B558" s="56"/>
      <c r="C558" s="57" t="n">
        <f aca="false">SUM(E558:P558)</f>
        <v>0</v>
      </c>
      <c r="D558" s="57" t="n">
        <f aca="false">SUM(Q558:AB558)</f>
        <v>180000</v>
      </c>
      <c r="E558" s="58" t="n">
        <f aca="false">IF(Assumptions!E$96=Project_Register!$AL$19,Project_Register!$AO$19,0)</f>
        <v>0</v>
      </c>
      <c r="F558" s="58" t="n">
        <f aca="false">IF(Assumptions!F$96=Project_Register!$AL$19,Project_Register!$AO$19,0)</f>
        <v>0</v>
      </c>
      <c r="G558" s="58" t="n">
        <f aca="false">IF(Assumptions!G$96=Project_Register!$AL$19,Project_Register!$AO$19,0)</f>
        <v>0</v>
      </c>
      <c r="H558" s="58" t="n">
        <f aca="false">IF(Assumptions!H$96=Project_Register!$AL$19,Project_Register!$AO$19,0)</f>
        <v>0</v>
      </c>
      <c r="I558" s="58" t="n">
        <f aca="false">IF(Assumptions!I$96=Project_Register!$AL$19,Project_Register!$AO$19,0)</f>
        <v>0</v>
      </c>
      <c r="J558" s="58" t="n">
        <f aca="false">IF(Assumptions!J$96=Project_Register!$AL$19,Project_Register!$AO$19,0)</f>
        <v>0</v>
      </c>
      <c r="K558" s="58" t="n">
        <f aca="false">IF(Assumptions!K$96=Project_Register!$AL$19,Project_Register!$AO$19,0)</f>
        <v>0</v>
      </c>
      <c r="L558" s="58" t="n">
        <f aca="false">IF(Assumptions!L$96=Project_Register!$AL$19,Project_Register!$AO$19,0)</f>
        <v>0</v>
      </c>
      <c r="M558" s="58" t="n">
        <f aca="false">IF(Assumptions!M$96=Project_Register!$AL$19,Project_Register!$AO$19,0)</f>
        <v>0</v>
      </c>
      <c r="N558" s="58" t="n">
        <f aca="false">IF(Assumptions!N$96=Project_Register!$AL$19,Project_Register!$AO$19,0)</f>
        <v>0</v>
      </c>
      <c r="O558" s="58" t="n">
        <f aca="false">IF(Assumptions!O$96=Project_Register!$AL$19,Project_Register!$AO$19,0)</f>
        <v>0</v>
      </c>
      <c r="P558" s="58" t="n">
        <f aca="false">IF(Assumptions!P$96=Project_Register!$AL$19,Project_Register!$AO$19,0)</f>
        <v>0</v>
      </c>
      <c r="Q558" s="58" t="n">
        <f aca="false">IF(Assumptions!Q$96=Project_Register!$AL$19,Project_Register!$AO$19,0)</f>
        <v>0</v>
      </c>
      <c r="R558" s="58" t="n">
        <f aca="false">IF(Assumptions!R$96=Project_Register!$AL$19,Project_Register!$AO$19,0)</f>
        <v>0</v>
      </c>
      <c r="S558" s="58" t="n">
        <f aca="false">IF(Assumptions!S$96=Project_Register!$AL$19,Project_Register!$AO$19,0)</f>
        <v>0</v>
      </c>
      <c r="T558" s="58" t="n">
        <f aca="false">IF(Assumptions!T$96=Project_Register!$AL$19,Project_Register!$AO$19,0)</f>
        <v>0</v>
      </c>
      <c r="U558" s="58" t="n">
        <f aca="false">IF(Assumptions!U$96=Project_Register!$AL$19,Project_Register!$AO$19,0)</f>
        <v>180000</v>
      </c>
      <c r="V558" s="58" t="n">
        <f aca="false">IF(Assumptions!V$96=Project_Register!$AL$19,Project_Register!$AO$19,0)</f>
        <v>0</v>
      </c>
      <c r="W558" s="58" t="n">
        <f aca="false">IF(Assumptions!W$96=Project_Register!$AL$19,Project_Register!$AO$19,0)</f>
        <v>0</v>
      </c>
      <c r="X558" s="58" t="n">
        <f aca="false">IF(Assumptions!X$96=Project_Register!$AL$19,Project_Register!$AO$19,0)</f>
        <v>0</v>
      </c>
      <c r="Y558" s="58" t="n">
        <f aca="false">IF(Assumptions!Y$96=Project_Register!$AL$19,Project_Register!$AO$19,0)</f>
        <v>0</v>
      </c>
      <c r="Z558" s="58" t="n">
        <f aca="false">IF(Assumptions!Z$96=Project_Register!$AL$19,Project_Register!$AO$19,0)</f>
        <v>0</v>
      </c>
      <c r="AA558" s="58" t="n">
        <f aca="false">IF(Assumptions!AA$96=Project_Register!$AL$19,Project_Register!$AO$19,0)</f>
        <v>0</v>
      </c>
      <c r="AB558" s="58" t="n">
        <f aca="false">IF(Assumptions!AB$96=Project_Register!$AL$19,Project_Register!$AO$19,0)</f>
        <v>0</v>
      </c>
    </row>
    <row r="560" customFormat="false" ht="15" hidden="false" customHeight="false" outlineLevel="0" collapsed="false">
      <c r="A560" s="21" t="s">
        <v>790</v>
      </c>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row>
    <row r="561" customFormat="false" ht="15" hidden="false" customHeight="false" outlineLevel="0" collapsed="false">
      <c r="A561" s="27" t="s">
        <v>716</v>
      </c>
      <c r="B561" s="56" t="s">
        <v>717</v>
      </c>
      <c r="E561" s="104" t="n">
        <f aca="false">MIN(1,MAX(0,(Assumptions!E$96-Project_Register!$AJ$20+1)/(Project_Register!$AK$20-Project_Register!$AJ$20+1)))</f>
        <v>0</v>
      </c>
      <c r="F561" s="104" t="n">
        <f aca="false">MIN(1,MAX(0,(Assumptions!F$96-Project_Register!$AJ$20+1)/(Project_Register!$AK$20-Project_Register!$AJ$20+1)))</f>
        <v>0</v>
      </c>
      <c r="G561" s="104" t="n">
        <f aca="false">MIN(1,MAX(0,(Assumptions!G$96-Project_Register!$AJ$20+1)/(Project_Register!$AK$20-Project_Register!$AJ$20+1)))</f>
        <v>0</v>
      </c>
      <c r="H561" s="104" t="n">
        <f aca="false">MIN(1,MAX(0,(Assumptions!H$96-Project_Register!$AJ$20+1)/(Project_Register!$AK$20-Project_Register!$AJ$20+1)))</f>
        <v>0</v>
      </c>
      <c r="I561" s="104" t="n">
        <f aca="false">MIN(1,MAX(0,(Assumptions!I$96-Project_Register!$AJ$20+1)/(Project_Register!$AK$20-Project_Register!$AJ$20+1)))</f>
        <v>0</v>
      </c>
      <c r="J561" s="104" t="n">
        <f aca="false">MIN(1,MAX(0,(Assumptions!J$96-Project_Register!$AJ$20+1)/(Project_Register!$AK$20-Project_Register!$AJ$20+1)))</f>
        <v>0</v>
      </c>
      <c r="K561" s="104" t="n">
        <f aca="false">MIN(1,MAX(0,(Assumptions!K$96-Project_Register!$AJ$20+1)/(Project_Register!$AK$20-Project_Register!$AJ$20+1)))</f>
        <v>0</v>
      </c>
      <c r="L561" s="104" t="n">
        <f aca="false">MIN(1,MAX(0,(Assumptions!L$96-Project_Register!$AJ$20+1)/(Project_Register!$AK$20-Project_Register!$AJ$20+1)))</f>
        <v>0</v>
      </c>
      <c r="M561" s="104" t="n">
        <f aca="false">MIN(1,MAX(0,(Assumptions!M$96-Project_Register!$AJ$20+1)/(Project_Register!$AK$20-Project_Register!$AJ$20+1)))</f>
        <v>0</v>
      </c>
      <c r="N561" s="104" t="n">
        <f aca="false">MIN(1,MAX(0,(Assumptions!N$96-Project_Register!$AJ$20+1)/(Project_Register!$AK$20-Project_Register!$AJ$20+1)))</f>
        <v>0</v>
      </c>
      <c r="O561" s="104" t="n">
        <f aca="false">MIN(1,MAX(0,(Assumptions!O$96-Project_Register!$AJ$20+1)/(Project_Register!$AK$20-Project_Register!$AJ$20+1)))</f>
        <v>0</v>
      </c>
      <c r="P561" s="104" t="n">
        <f aca="false">MIN(1,MAX(0,(Assumptions!P$96-Project_Register!$AJ$20+1)/(Project_Register!$AK$20-Project_Register!$AJ$20+1)))</f>
        <v>0</v>
      </c>
      <c r="Q561" s="104" t="n">
        <f aca="false">MIN(1,MAX(0,(Assumptions!Q$96-Project_Register!$AJ$20+1)/(Project_Register!$AK$20-Project_Register!$AJ$20+1)))</f>
        <v>0</v>
      </c>
      <c r="R561" s="104" t="n">
        <f aca="false">MIN(1,MAX(0,(Assumptions!R$96-Project_Register!$AJ$20+1)/(Project_Register!$AK$20-Project_Register!$AJ$20+1)))</f>
        <v>0</v>
      </c>
      <c r="S561" s="104" t="n">
        <f aca="false">MIN(1,MAX(0,(Assumptions!S$96-Project_Register!$AJ$20+1)/(Project_Register!$AK$20-Project_Register!$AJ$20+1)))</f>
        <v>0</v>
      </c>
      <c r="T561" s="104" t="n">
        <f aca="false">MIN(1,MAX(0,(Assumptions!T$96-Project_Register!$AJ$20+1)/(Project_Register!$AK$20-Project_Register!$AJ$20+1)))</f>
        <v>0</v>
      </c>
      <c r="U561" s="104" t="n">
        <f aca="false">MIN(1,MAX(0,(Assumptions!U$96-Project_Register!$AJ$20+1)/(Project_Register!$AK$20-Project_Register!$AJ$20+1)))</f>
        <v>0</v>
      </c>
      <c r="V561" s="104" t="n">
        <f aca="false">MIN(1,MAX(0,(Assumptions!V$96-Project_Register!$AJ$20+1)/(Project_Register!$AK$20-Project_Register!$AJ$20+1)))</f>
        <v>0</v>
      </c>
      <c r="W561" s="104" t="n">
        <f aca="false">MIN(1,MAX(0,(Assumptions!W$96-Project_Register!$AJ$20+1)/(Project_Register!$AK$20-Project_Register!$AJ$20+1)))</f>
        <v>0</v>
      </c>
      <c r="X561" s="104" t="n">
        <f aca="false">MIN(1,MAX(0,(Assumptions!X$96-Project_Register!$AJ$20+1)/(Project_Register!$AK$20-Project_Register!$AJ$20+1)))</f>
        <v>0.142857142857143</v>
      </c>
      <c r="Y561" s="104" t="n">
        <f aca="false">MIN(1,MAX(0,(Assumptions!Y$96-Project_Register!$AJ$20+1)/(Project_Register!$AK$20-Project_Register!$AJ$20+1)))</f>
        <v>0.285714285714286</v>
      </c>
      <c r="Z561" s="104" t="n">
        <f aca="false">MIN(1,MAX(0,(Assumptions!Z$96-Project_Register!$AJ$20+1)/(Project_Register!$AK$20-Project_Register!$AJ$20+1)))</f>
        <v>0.428571428571429</v>
      </c>
      <c r="AA561" s="104" t="n">
        <f aca="false">MIN(1,MAX(0,(Assumptions!AA$96-Project_Register!$AJ$20+1)/(Project_Register!$AK$20-Project_Register!$AJ$20+1)))</f>
        <v>0.571428571428571</v>
      </c>
      <c r="AB561" s="104" t="n">
        <f aca="false">MIN(1,MAX(0,(Assumptions!AB$96-Project_Register!$AJ$20+1)/(Project_Register!$AK$20-Project_Register!$AJ$20+1)))</f>
        <v>0.714285714285714</v>
      </c>
    </row>
    <row r="562" customFormat="false" ht="15" hidden="false" customHeight="false" outlineLevel="0" collapsed="false">
      <c r="A562" s="27" t="s">
        <v>718</v>
      </c>
      <c r="B562" s="56" t="s">
        <v>719</v>
      </c>
      <c r="E562" s="105" t="n">
        <f aca="false">3*E561^2-2*E561^3</f>
        <v>0</v>
      </c>
      <c r="F562" s="105" t="n">
        <f aca="false">3*F561^2-2*F561^3</f>
        <v>0</v>
      </c>
      <c r="G562" s="105" t="n">
        <f aca="false">3*G561^2-2*G561^3</f>
        <v>0</v>
      </c>
      <c r="H562" s="105" t="n">
        <f aca="false">3*H561^2-2*H561^3</f>
        <v>0</v>
      </c>
      <c r="I562" s="105" t="n">
        <f aca="false">3*I561^2-2*I561^3</f>
        <v>0</v>
      </c>
      <c r="J562" s="105" t="n">
        <f aca="false">3*J561^2-2*J561^3</f>
        <v>0</v>
      </c>
      <c r="K562" s="105" t="n">
        <f aca="false">3*K561^2-2*K561^3</f>
        <v>0</v>
      </c>
      <c r="L562" s="105" t="n">
        <f aca="false">3*L561^2-2*L561^3</f>
        <v>0</v>
      </c>
      <c r="M562" s="105" t="n">
        <f aca="false">3*M561^2-2*M561^3</f>
        <v>0</v>
      </c>
      <c r="N562" s="105" t="n">
        <f aca="false">3*N561^2-2*N561^3</f>
        <v>0</v>
      </c>
      <c r="O562" s="105" t="n">
        <f aca="false">3*O561^2-2*O561^3</f>
        <v>0</v>
      </c>
      <c r="P562" s="105" t="n">
        <f aca="false">3*P561^2-2*P561^3</f>
        <v>0</v>
      </c>
      <c r="Q562" s="105" t="n">
        <f aca="false">3*Q561^2-2*Q561^3</f>
        <v>0</v>
      </c>
      <c r="R562" s="105" t="n">
        <f aca="false">3*R561^2-2*R561^3</f>
        <v>0</v>
      </c>
      <c r="S562" s="105" t="n">
        <f aca="false">3*S561^2-2*S561^3</f>
        <v>0</v>
      </c>
      <c r="T562" s="105" t="n">
        <f aca="false">3*T561^2-2*T561^3</f>
        <v>0</v>
      </c>
      <c r="U562" s="105" t="n">
        <f aca="false">3*U561^2-2*U561^3</f>
        <v>0</v>
      </c>
      <c r="V562" s="105" t="n">
        <f aca="false">3*V561^2-2*V561^3</f>
        <v>0</v>
      </c>
      <c r="W562" s="105" t="n">
        <f aca="false">3*W561^2-2*W561^3</f>
        <v>0</v>
      </c>
      <c r="X562" s="105" t="n">
        <f aca="false">3*X561^2-2*X561^3</f>
        <v>0.0553935860058309</v>
      </c>
      <c r="Y562" s="105" t="n">
        <f aca="false">3*Y561^2-2*Y561^3</f>
        <v>0.198250728862974</v>
      </c>
      <c r="Z562" s="105" t="n">
        <f aca="false">3*Z561^2-2*Z561^3</f>
        <v>0.393586005830904</v>
      </c>
      <c r="AA562" s="105" t="n">
        <f aca="false">3*AA561^2-2*AA561^3</f>
        <v>0.606413994169096</v>
      </c>
      <c r="AB562" s="105" t="n">
        <f aca="false">3*AB561^2-2*AB561^3</f>
        <v>0.801749271137026</v>
      </c>
    </row>
    <row r="563" customFormat="false" ht="15" hidden="false" customHeight="false" outlineLevel="0" collapsed="false">
      <c r="A563" s="27" t="s">
        <v>720</v>
      </c>
      <c r="B563" s="56"/>
      <c r="E563" s="104" t="n">
        <f aca="false">3*MIN(1,MAX(0,(Assumptions!E$96-Project_Register!$AJ$20)/(Project_Register!$AK$20-Project_Register!$AJ$20+1)))^2-2*MIN(1,MAX(0,(Assumptions!E$96-Project_Register!$AJ$20)/(Project_Register!$AK$20-Project_Register!$AJ$20+1)))^3</f>
        <v>0</v>
      </c>
      <c r="F563" s="104" t="n">
        <f aca="false">3*MIN(1,MAX(0,(Assumptions!F$96-Project_Register!$AJ$20)/(Project_Register!$AK$20-Project_Register!$AJ$20+1)))^2-2*MIN(1,MAX(0,(Assumptions!F$96-Project_Register!$AJ$20)/(Project_Register!$AK$20-Project_Register!$AJ$20+1)))^3</f>
        <v>0</v>
      </c>
      <c r="G563" s="104" t="n">
        <f aca="false">3*MIN(1,MAX(0,(Assumptions!G$96-Project_Register!$AJ$20)/(Project_Register!$AK$20-Project_Register!$AJ$20+1)))^2-2*MIN(1,MAX(0,(Assumptions!G$96-Project_Register!$AJ$20)/(Project_Register!$AK$20-Project_Register!$AJ$20+1)))^3</f>
        <v>0</v>
      </c>
      <c r="H563" s="104" t="n">
        <f aca="false">3*MIN(1,MAX(0,(Assumptions!H$96-Project_Register!$AJ$20)/(Project_Register!$AK$20-Project_Register!$AJ$20+1)))^2-2*MIN(1,MAX(0,(Assumptions!H$96-Project_Register!$AJ$20)/(Project_Register!$AK$20-Project_Register!$AJ$20+1)))^3</f>
        <v>0</v>
      </c>
      <c r="I563" s="104" t="n">
        <f aca="false">3*MIN(1,MAX(0,(Assumptions!I$96-Project_Register!$AJ$20)/(Project_Register!$AK$20-Project_Register!$AJ$20+1)))^2-2*MIN(1,MAX(0,(Assumptions!I$96-Project_Register!$AJ$20)/(Project_Register!$AK$20-Project_Register!$AJ$20+1)))^3</f>
        <v>0</v>
      </c>
      <c r="J563" s="104" t="n">
        <f aca="false">3*MIN(1,MAX(0,(Assumptions!J$96-Project_Register!$AJ$20)/(Project_Register!$AK$20-Project_Register!$AJ$20+1)))^2-2*MIN(1,MAX(0,(Assumptions!J$96-Project_Register!$AJ$20)/(Project_Register!$AK$20-Project_Register!$AJ$20+1)))^3</f>
        <v>0</v>
      </c>
      <c r="K563" s="104" t="n">
        <f aca="false">3*MIN(1,MAX(0,(Assumptions!K$96-Project_Register!$AJ$20)/(Project_Register!$AK$20-Project_Register!$AJ$20+1)))^2-2*MIN(1,MAX(0,(Assumptions!K$96-Project_Register!$AJ$20)/(Project_Register!$AK$20-Project_Register!$AJ$20+1)))^3</f>
        <v>0</v>
      </c>
      <c r="L563" s="104" t="n">
        <f aca="false">3*MIN(1,MAX(0,(Assumptions!L$96-Project_Register!$AJ$20)/(Project_Register!$AK$20-Project_Register!$AJ$20+1)))^2-2*MIN(1,MAX(0,(Assumptions!L$96-Project_Register!$AJ$20)/(Project_Register!$AK$20-Project_Register!$AJ$20+1)))^3</f>
        <v>0</v>
      </c>
      <c r="M563" s="104" t="n">
        <f aca="false">3*MIN(1,MAX(0,(Assumptions!M$96-Project_Register!$AJ$20)/(Project_Register!$AK$20-Project_Register!$AJ$20+1)))^2-2*MIN(1,MAX(0,(Assumptions!M$96-Project_Register!$AJ$20)/(Project_Register!$AK$20-Project_Register!$AJ$20+1)))^3</f>
        <v>0</v>
      </c>
      <c r="N563" s="104" t="n">
        <f aca="false">3*MIN(1,MAX(0,(Assumptions!N$96-Project_Register!$AJ$20)/(Project_Register!$AK$20-Project_Register!$AJ$20+1)))^2-2*MIN(1,MAX(0,(Assumptions!N$96-Project_Register!$AJ$20)/(Project_Register!$AK$20-Project_Register!$AJ$20+1)))^3</f>
        <v>0</v>
      </c>
      <c r="O563" s="104" t="n">
        <f aca="false">3*MIN(1,MAX(0,(Assumptions!O$96-Project_Register!$AJ$20)/(Project_Register!$AK$20-Project_Register!$AJ$20+1)))^2-2*MIN(1,MAX(0,(Assumptions!O$96-Project_Register!$AJ$20)/(Project_Register!$AK$20-Project_Register!$AJ$20+1)))^3</f>
        <v>0</v>
      </c>
      <c r="P563" s="104" t="n">
        <f aca="false">3*MIN(1,MAX(0,(Assumptions!P$96-Project_Register!$AJ$20)/(Project_Register!$AK$20-Project_Register!$AJ$20+1)))^2-2*MIN(1,MAX(0,(Assumptions!P$96-Project_Register!$AJ$20)/(Project_Register!$AK$20-Project_Register!$AJ$20+1)))^3</f>
        <v>0</v>
      </c>
      <c r="Q563" s="104" t="n">
        <f aca="false">3*MIN(1,MAX(0,(Assumptions!Q$96-Project_Register!$AJ$20)/(Project_Register!$AK$20-Project_Register!$AJ$20+1)))^2-2*MIN(1,MAX(0,(Assumptions!Q$96-Project_Register!$AJ$20)/(Project_Register!$AK$20-Project_Register!$AJ$20+1)))^3</f>
        <v>0</v>
      </c>
      <c r="R563" s="104" t="n">
        <f aca="false">3*MIN(1,MAX(0,(Assumptions!R$96-Project_Register!$AJ$20)/(Project_Register!$AK$20-Project_Register!$AJ$20+1)))^2-2*MIN(1,MAX(0,(Assumptions!R$96-Project_Register!$AJ$20)/(Project_Register!$AK$20-Project_Register!$AJ$20+1)))^3</f>
        <v>0</v>
      </c>
      <c r="S563" s="104" t="n">
        <f aca="false">3*MIN(1,MAX(0,(Assumptions!S$96-Project_Register!$AJ$20)/(Project_Register!$AK$20-Project_Register!$AJ$20+1)))^2-2*MIN(1,MAX(0,(Assumptions!S$96-Project_Register!$AJ$20)/(Project_Register!$AK$20-Project_Register!$AJ$20+1)))^3</f>
        <v>0</v>
      </c>
      <c r="T563" s="104" t="n">
        <f aca="false">3*MIN(1,MAX(0,(Assumptions!T$96-Project_Register!$AJ$20)/(Project_Register!$AK$20-Project_Register!$AJ$20+1)))^2-2*MIN(1,MAX(0,(Assumptions!T$96-Project_Register!$AJ$20)/(Project_Register!$AK$20-Project_Register!$AJ$20+1)))^3</f>
        <v>0</v>
      </c>
      <c r="U563" s="104" t="n">
        <f aca="false">3*MIN(1,MAX(0,(Assumptions!U$96-Project_Register!$AJ$20)/(Project_Register!$AK$20-Project_Register!$AJ$20+1)))^2-2*MIN(1,MAX(0,(Assumptions!U$96-Project_Register!$AJ$20)/(Project_Register!$AK$20-Project_Register!$AJ$20+1)))^3</f>
        <v>0</v>
      </c>
      <c r="V563" s="104" t="n">
        <f aca="false">3*MIN(1,MAX(0,(Assumptions!V$96-Project_Register!$AJ$20)/(Project_Register!$AK$20-Project_Register!$AJ$20+1)))^2-2*MIN(1,MAX(0,(Assumptions!V$96-Project_Register!$AJ$20)/(Project_Register!$AK$20-Project_Register!$AJ$20+1)))^3</f>
        <v>0</v>
      </c>
      <c r="W563" s="104" t="n">
        <f aca="false">3*MIN(1,MAX(0,(Assumptions!W$96-Project_Register!$AJ$20)/(Project_Register!$AK$20-Project_Register!$AJ$20+1)))^2-2*MIN(1,MAX(0,(Assumptions!W$96-Project_Register!$AJ$20)/(Project_Register!$AK$20-Project_Register!$AJ$20+1)))^3</f>
        <v>0</v>
      </c>
      <c r="X563" s="104" t="n">
        <f aca="false">3*MIN(1,MAX(0,(Assumptions!X$96-Project_Register!$AJ$20)/(Project_Register!$AK$20-Project_Register!$AJ$20+1)))^2-2*MIN(1,MAX(0,(Assumptions!X$96-Project_Register!$AJ$20)/(Project_Register!$AK$20-Project_Register!$AJ$20+1)))^3</f>
        <v>0</v>
      </c>
      <c r="Y563" s="104" t="n">
        <f aca="false">3*MIN(1,MAX(0,(Assumptions!Y$96-Project_Register!$AJ$20)/(Project_Register!$AK$20-Project_Register!$AJ$20+1)))^2-2*MIN(1,MAX(0,(Assumptions!Y$96-Project_Register!$AJ$20)/(Project_Register!$AK$20-Project_Register!$AJ$20+1)))^3</f>
        <v>0.0553935860058309</v>
      </c>
      <c r="Z563" s="104" t="n">
        <f aca="false">3*MIN(1,MAX(0,(Assumptions!Z$96-Project_Register!$AJ$20)/(Project_Register!$AK$20-Project_Register!$AJ$20+1)))^2-2*MIN(1,MAX(0,(Assumptions!Z$96-Project_Register!$AJ$20)/(Project_Register!$AK$20-Project_Register!$AJ$20+1)))^3</f>
        <v>0.198250728862974</v>
      </c>
      <c r="AA563" s="104" t="n">
        <f aca="false">3*MIN(1,MAX(0,(Assumptions!AA$96-Project_Register!$AJ$20)/(Project_Register!$AK$20-Project_Register!$AJ$20+1)))^2-2*MIN(1,MAX(0,(Assumptions!AA$96-Project_Register!$AJ$20)/(Project_Register!$AK$20-Project_Register!$AJ$20+1)))^3</f>
        <v>0.393586005830904</v>
      </c>
      <c r="AB563" s="104" t="n">
        <f aca="false">3*MIN(1,MAX(0,(Assumptions!AB$96-Project_Register!$AJ$20)/(Project_Register!$AK$20-Project_Register!$AJ$20+1)))^2-2*MIN(1,MAX(0,(Assumptions!AB$96-Project_Register!$AJ$20)/(Project_Register!$AK$20-Project_Register!$AJ$20+1)))^3</f>
        <v>0.606413994169096</v>
      </c>
    </row>
    <row r="564" customFormat="false" ht="15" hidden="false" customHeight="false" outlineLevel="0" collapsed="false">
      <c r="A564" s="27" t="s">
        <v>721</v>
      </c>
      <c r="B564" s="56" t="s">
        <v>722</v>
      </c>
      <c r="C564" s="57" t="n">
        <f aca="false">SUM(E564:P564)</f>
        <v>0</v>
      </c>
      <c r="D564" s="57" t="n">
        <f aca="false">SUM(Q564:AB564)</f>
        <v>42588.9212827988</v>
      </c>
      <c r="E564" s="58" t="n">
        <f aca="false">IF(E$5="A",0,IF((Project_Register!$AT$20-Project_Register!$AQ$20)&lt;=0,0,IF(1-Project_Register!$AV$20&lt;=0.000001,IF(Assumptions!E$96=Assumptions!$C$10+1,(Project_Register!$AT$20-Project_Register!$AQ$20),0),(Project_Register!$AT$20-Project_Register!$AQ$20)*(E562-E563)/(1-Project_Register!$AV$20)))*Project_Register!$X$20)</f>
        <v>0</v>
      </c>
      <c r="F564" s="58" t="n">
        <f aca="false">IF(F$5="A",0,IF((Project_Register!$AT$20-Project_Register!$AQ$20)&lt;=0,0,IF(1-Project_Register!$AV$20&lt;=0.000001,IF(Assumptions!F$96=Assumptions!$C$10+1,(Project_Register!$AT$20-Project_Register!$AQ$20),0),(Project_Register!$AT$20-Project_Register!$AQ$20)*(F562-F563)/(1-Project_Register!$AV$20)))*Project_Register!$X$20)</f>
        <v>0</v>
      </c>
      <c r="G564" s="58" t="n">
        <f aca="false">IF(G$5="A",0,IF((Project_Register!$AT$20-Project_Register!$AQ$20)&lt;=0,0,IF(1-Project_Register!$AV$20&lt;=0.000001,IF(Assumptions!G$96=Assumptions!$C$10+1,(Project_Register!$AT$20-Project_Register!$AQ$20),0),(Project_Register!$AT$20-Project_Register!$AQ$20)*(G562-G563)/(1-Project_Register!$AV$20)))*Project_Register!$X$20)</f>
        <v>0</v>
      </c>
      <c r="H564" s="58" t="n">
        <f aca="false">IF(H$5="A",0,IF((Project_Register!$AT$20-Project_Register!$AQ$20)&lt;=0,0,IF(1-Project_Register!$AV$20&lt;=0.000001,IF(Assumptions!H$96=Assumptions!$C$10+1,(Project_Register!$AT$20-Project_Register!$AQ$20),0),(Project_Register!$AT$20-Project_Register!$AQ$20)*(H562-H563)/(1-Project_Register!$AV$20)))*Project_Register!$X$20)</f>
        <v>0</v>
      </c>
      <c r="I564" s="58" t="n">
        <f aca="false">IF(I$5="A",0,IF((Project_Register!$AT$20-Project_Register!$AQ$20)&lt;=0,0,IF(1-Project_Register!$AV$20&lt;=0.000001,IF(Assumptions!I$96=Assumptions!$C$10+1,(Project_Register!$AT$20-Project_Register!$AQ$20),0),(Project_Register!$AT$20-Project_Register!$AQ$20)*(I562-I563)/(1-Project_Register!$AV$20)))*Project_Register!$X$20)</f>
        <v>0</v>
      </c>
      <c r="J564" s="58" t="n">
        <f aca="false">IF(J$5="A",0,IF((Project_Register!$AT$20-Project_Register!$AQ$20)&lt;=0,0,IF(1-Project_Register!$AV$20&lt;=0.000001,IF(Assumptions!J$96=Assumptions!$C$10+1,(Project_Register!$AT$20-Project_Register!$AQ$20),0),(Project_Register!$AT$20-Project_Register!$AQ$20)*(J562-J563)/(1-Project_Register!$AV$20)))*Project_Register!$X$20)</f>
        <v>0</v>
      </c>
      <c r="K564" s="58" t="n">
        <f aca="false">IF(K$5="A",0,IF((Project_Register!$AT$20-Project_Register!$AQ$20)&lt;=0,0,IF(1-Project_Register!$AV$20&lt;=0.000001,IF(Assumptions!K$96=Assumptions!$C$10+1,(Project_Register!$AT$20-Project_Register!$AQ$20),0),(Project_Register!$AT$20-Project_Register!$AQ$20)*(K562-K563)/(1-Project_Register!$AV$20)))*Project_Register!$X$20)</f>
        <v>0</v>
      </c>
      <c r="L564" s="58" t="n">
        <f aca="false">IF(L$5="A",0,IF((Project_Register!$AT$20-Project_Register!$AQ$20)&lt;=0,0,IF(1-Project_Register!$AV$20&lt;=0.000001,IF(Assumptions!L$96=Assumptions!$C$10+1,(Project_Register!$AT$20-Project_Register!$AQ$20),0),(Project_Register!$AT$20-Project_Register!$AQ$20)*(L562-L563)/(1-Project_Register!$AV$20)))*Project_Register!$X$20)</f>
        <v>0</v>
      </c>
      <c r="M564" s="58" t="n">
        <f aca="false">IF(M$5="A",0,IF((Project_Register!$AT$20-Project_Register!$AQ$20)&lt;=0,0,IF(1-Project_Register!$AV$20&lt;=0.000001,IF(Assumptions!M$96=Assumptions!$C$10+1,(Project_Register!$AT$20-Project_Register!$AQ$20),0),(Project_Register!$AT$20-Project_Register!$AQ$20)*(M562-M563)/(1-Project_Register!$AV$20)))*Project_Register!$X$20)</f>
        <v>0</v>
      </c>
      <c r="N564" s="58" t="n">
        <f aca="false">IF(N$5="A",0,IF((Project_Register!$AT$20-Project_Register!$AQ$20)&lt;=0,0,IF(1-Project_Register!$AV$20&lt;=0.000001,IF(Assumptions!N$96=Assumptions!$C$10+1,(Project_Register!$AT$20-Project_Register!$AQ$20),0),(Project_Register!$AT$20-Project_Register!$AQ$20)*(N562-N563)/(1-Project_Register!$AV$20)))*Project_Register!$X$20)</f>
        <v>0</v>
      </c>
      <c r="O564" s="58" t="n">
        <f aca="false">IF(O$5="A",0,IF((Project_Register!$AT$20-Project_Register!$AQ$20)&lt;=0,0,IF(1-Project_Register!$AV$20&lt;=0.000001,IF(Assumptions!O$96=Assumptions!$C$10+1,(Project_Register!$AT$20-Project_Register!$AQ$20),0),(Project_Register!$AT$20-Project_Register!$AQ$20)*(O562-O563)/(1-Project_Register!$AV$20)))*Project_Register!$X$20)</f>
        <v>0</v>
      </c>
      <c r="P564" s="58" t="n">
        <f aca="false">IF(P$5="A",0,IF((Project_Register!$AT$20-Project_Register!$AQ$20)&lt;=0,0,IF(1-Project_Register!$AV$20&lt;=0.000001,IF(Assumptions!P$96=Assumptions!$C$10+1,(Project_Register!$AT$20-Project_Register!$AQ$20),0),(Project_Register!$AT$20-Project_Register!$AQ$20)*(P562-P563)/(1-Project_Register!$AV$20)))*Project_Register!$X$20)</f>
        <v>0</v>
      </c>
      <c r="Q564" s="58" t="n">
        <f aca="false">IF(Q$5="A",0,IF((Project_Register!$AT$20-Project_Register!$AQ$20)&lt;=0,0,IF(1-Project_Register!$AV$20&lt;=0.000001,IF(Assumptions!Q$96=Assumptions!$C$10+1,(Project_Register!$AT$20-Project_Register!$AQ$20),0),(Project_Register!$AT$20-Project_Register!$AQ$20)*(Q562-Q563)/(1-Project_Register!$AV$20)))*Project_Register!$X$20)</f>
        <v>0</v>
      </c>
      <c r="R564" s="58" t="n">
        <f aca="false">IF(R$5="A",0,IF((Project_Register!$AT$20-Project_Register!$AQ$20)&lt;=0,0,IF(1-Project_Register!$AV$20&lt;=0.000001,IF(Assumptions!R$96=Assumptions!$C$10+1,(Project_Register!$AT$20-Project_Register!$AQ$20),0),(Project_Register!$AT$20-Project_Register!$AQ$20)*(R562-R563)/(1-Project_Register!$AV$20)))*Project_Register!$X$20)</f>
        <v>0</v>
      </c>
      <c r="S564" s="58" t="n">
        <f aca="false">IF(S$5="A",0,IF((Project_Register!$AT$20-Project_Register!$AQ$20)&lt;=0,0,IF(1-Project_Register!$AV$20&lt;=0.000001,IF(Assumptions!S$96=Assumptions!$C$10+1,(Project_Register!$AT$20-Project_Register!$AQ$20),0),(Project_Register!$AT$20-Project_Register!$AQ$20)*(S562-S563)/(1-Project_Register!$AV$20)))*Project_Register!$X$20)</f>
        <v>0</v>
      </c>
      <c r="T564" s="58" t="n">
        <f aca="false">IF(T$5="A",0,IF((Project_Register!$AT$20-Project_Register!$AQ$20)&lt;=0,0,IF(1-Project_Register!$AV$20&lt;=0.000001,IF(Assumptions!T$96=Assumptions!$C$10+1,(Project_Register!$AT$20-Project_Register!$AQ$20),0),(Project_Register!$AT$20-Project_Register!$AQ$20)*(T562-T563)/(1-Project_Register!$AV$20)))*Project_Register!$X$20)</f>
        <v>0</v>
      </c>
      <c r="U564" s="58" t="n">
        <f aca="false">IF(U$5="A",0,IF((Project_Register!$AT$20-Project_Register!$AQ$20)&lt;=0,0,IF(1-Project_Register!$AV$20&lt;=0.000001,IF(Assumptions!U$96=Assumptions!$C$10+1,(Project_Register!$AT$20-Project_Register!$AQ$20),0),(Project_Register!$AT$20-Project_Register!$AQ$20)*(U562-U563)/(1-Project_Register!$AV$20)))*Project_Register!$X$20)</f>
        <v>0</v>
      </c>
      <c r="V564" s="58" t="n">
        <f aca="false">IF(V$5="A",0,IF((Project_Register!$AT$20-Project_Register!$AQ$20)&lt;=0,0,IF(1-Project_Register!$AV$20&lt;=0.000001,IF(Assumptions!V$96=Assumptions!$C$10+1,(Project_Register!$AT$20-Project_Register!$AQ$20),0),(Project_Register!$AT$20-Project_Register!$AQ$20)*(V562-V563)/(1-Project_Register!$AV$20)))*Project_Register!$X$20)</f>
        <v>0</v>
      </c>
      <c r="W564" s="58" t="n">
        <f aca="false">IF(W$5="A",0,IF((Project_Register!$AT$20-Project_Register!$AQ$20)&lt;=0,0,IF(1-Project_Register!$AV$20&lt;=0.000001,IF(Assumptions!W$96=Assumptions!$C$10+1,(Project_Register!$AT$20-Project_Register!$AQ$20),0),(Project_Register!$AT$20-Project_Register!$AQ$20)*(W562-W563)/(1-Project_Register!$AV$20)))*Project_Register!$X$20)</f>
        <v>0</v>
      </c>
      <c r="X564" s="58" t="n">
        <f aca="false">IF(X$5="A",0,IF((Project_Register!$AT$20-Project_Register!$AQ$20)&lt;=0,0,IF(1-Project_Register!$AV$20&lt;=0.000001,IF(Assumptions!X$96=Assumptions!$C$10+1,(Project_Register!$AT$20-Project_Register!$AQ$20),0),(Project_Register!$AT$20-Project_Register!$AQ$20)*(X562-X563)/(1-Project_Register!$AV$20)))*Project_Register!$X$20)</f>
        <v>2942.50728862974</v>
      </c>
      <c r="Y564" s="58" t="n">
        <f aca="false">IF(Y$5="A",0,IF((Project_Register!$AT$20-Project_Register!$AQ$20)&lt;=0,0,IF(1-Project_Register!$AV$20&lt;=0.000001,IF(Assumptions!Y$96=Assumptions!$C$10+1,(Project_Register!$AT$20-Project_Register!$AQ$20),0),(Project_Register!$AT$20-Project_Register!$AQ$20)*(Y562-Y563)/(1-Project_Register!$AV$20)))*Project_Register!$X$20)</f>
        <v>7588.57142857143</v>
      </c>
      <c r="Z564" s="58" t="n">
        <f aca="false">IF(Z$5="A",0,IF((Project_Register!$AT$20-Project_Register!$AQ$20)&lt;=0,0,IF(1-Project_Register!$AV$20&lt;=0.000001,IF(Assumptions!Z$96=Assumptions!$C$10+1,(Project_Register!$AT$20-Project_Register!$AQ$20),0),(Project_Register!$AT$20-Project_Register!$AQ$20)*(Z562-Z563)/(1-Project_Register!$AV$20)))*Project_Register!$X$20)</f>
        <v>10376.2099125364</v>
      </c>
      <c r="AA564" s="58" t="n">
        <f aca="false">IF(AA$5="A",0,IF((Project_Register!$AT$20-Project_Register!$AQ$20)&lt;=0,0,IF(1-Project_Register!$AV$20&lt;=0.000001,IF(Assumptions!AA$96=Assumptions!$C$10+1,(Project_Register!$AT$20-Project_Register!$AQ$20),0),(Project_Register!$AT$20-Project_Register!$AQ$20)*(AA562-AA563)/(1-Project_Register!$AV$20)))*Project_Register!$X$20)</f>
        <v>11305.4227405248</v>
      </c>
      <c r="AB564" s="58" t="n">
        <f aca="false">IF(AB$5="A",0,IF((Project_Register!$AT$20-Project_Register!$AQ$20)&lt;=0,0,IF(1-Project_Register!$AV$20&lt;=0.000001,IF(Assumptions!AB$96=Assumptions!$C$10+1,(Project_Register!$AT$20-Project_Register!$AQ$20),0),(Project_Register!$AT$20-Project_Register!$AQ$20)*(AB562-AB563)/(1-Project_Register!$AV$20)))*Project_Register!$X$20)</f>
        <v>10376.2099125364</v>
      </c>
    </row>
    <row r="565" customFormat="false" ht="15" hidden="false" customHeight="false" outlineLevel="0" collapsed="false">
      <c r="A565" s="27" t="s">
        <v>723</v>
      </c>
      <c r="B565" s="56" t="s">
        <v>722</v>
      </c>
      <c r="C565" s="57" t="n">
        <f aca="false">SUM(E565:P565)</f>
        <v>0</v>
      </c>
      <c r="D565" s="57" t="n">
        <f aca="false">SUM(Q565:AB565)</f>
        <v>133090.379008746</v>
      </c>
      <c r="E565" s="58" t="n">
        <f aca="false">IF(E$5="A",0,IF((Project_Register!$AT$20-Project_Register!$AQ$20)&lt;=0,0,IF(1-Project_Register!$AV$20&lt;=0.000001,IF(Assumptions!E$96=Assumptions!$C$10+1,(Project_Register!$AT$20-Project_Register!$AQ$20),0),(Project_Register!$AT$20-Project_Register!$AQ$20)*(E562-E563)/(1-Project_Register!$AV$20)))*Project_Register!$Y$20)</f>
        <v>0</v>
      </c>
      <c r="F565" s="58" t="n">
        <f aca="false">IF(F$5="A",0,IF((Project_Register!$AT$20-Project_Register!$AQ$20)&lt;=0,0,IF(1-Project_Register!$AV$20&lt;=0.000001,IF(Assumptions!F$96=Assumptions!$C$10+1,(Project_Register!$AT$20-Project_Register!$AQ$20),0),(Project_Register!$AT$20-Project_Register!$AQ$20)*(F562-F563)/(1-Project_Register!$AV$20)))*Project_Register!$Y$20)</f>
        <v>0</v>
      </c>
      <c r="G565" s="58" t="n">
        <f aca="false">IF(G$5="A",0,IF((Project_Register!$AT$20-Project_Register!$AQ$20)&lt;=0,0,IF(1-Project_Register!$AV$20&lt;=0.000001,IF(Assumptions!G$96=Assumptions!$C$10+1,(Project_Register!$AT$20-Project_Register!$AQ$20),0),(Project_Register!$AT$20-Project_Register!$AQ$20)*(G562-G563)/(1-Project_Register!$AV$20)))*Project_Register!$Y$20)</f>
        <v>0</v>
      </c>
      <c r="H565" s="58" t="n">
        <f aca="false">IF(H$5="A",0,IF((Project_Register!$AT$20-Project_Register!$AQ$20)&lt;=0,0,IF(1-Project_Register!$AV$20&lt;=0.000001,IF(Assumptions!H$96=Assumptions!$C$10+1,(Project_Register!$AT$20-Project_Register!$AQ$20),0),(Project_Register!$AT$20-Project_Register!$AQ$20)*(H562-H563)/(1-Project_Register!$AV$20)))*Project_Register!$Y$20)</f>
        <v>0</v>
      </c>
      <c r="I565" s="58" t="n">
        <f aca="false">IF(I$5="A",0,IF((Project_Register!$AT$20-Project_Register!$AQ$20)&lt;=0,0,IF(1-Project_Register!$AV$20&lt;=0.000001,IF(Assumptions!I$96=Assumptions!$C$10+1,(Project_Register!$AT$20-Project_Register!$AQ$20),0),(Project_Register!$AT$20-Project_Register!$AQ$20)*(I562-I563)/(1-Project_Register!$AV$20)))*Project_Register!$Y$20)</f>
        <v>0</v>
      </c>
      <c r="J565" s="58" t="n">
        <f aca="false">IF(J$5="A",0,IF((Project_Register!$AT$20-Project_Register!$AQ$20)&lt;=0,0,IF(1-Project_Register!$AV$20&lt;=0.000001,IF(Assumptions!J$96=Assumptions!$C$10+1,(Project_Register!$AT$20-Project_Register!$AQ$20),0),(Project_Register!$AT$20-Project_Register!$AQ$20)*(J562-J563)/(1-Project_Register!$AV$20)))*Project_Register!$Y$20)</f>
        <v>0</v>
      </c>
      <c r="K565" s="58" t="n">
        <f aca="false">IF(K$5="A",0,IF((Project_Register!$AT$20-Project_Register!$AQ$20)&lt;=0,0,IF(1-Project_Register!$AV$20&lt;=0.000001,IF(Assumptions!K$96=Assumptions!$C$10+1,(Project_Register!$AT$20-Project_Register!$AQ$20),0),(Project_Register!$AT$20-Project_Register!$AQ$20)*(K562-K563)/(1-Project_Register!$AV$20)))*Project_Register!$Y$20)</f>
        <v>0</v>
      </c>
      <c r="L565" s="58" t="n">
        <f aca="false">IF(L$5="A",0,IF((Project_Register!$AT$20-Project_Register!$AQ$20)&lt;=0,0,IF(1-Project_Register!$AV$20&lt;=0.000001,IF(Assumptions!L$96=Assumptions!$C$10+1,(Project_Register!$AT$20-Project_Register!$AQ$20),0),(Project_Register!$AT$20-Project_Register!$AQ$20)*(L562-L563)/(1-Project_Register!$AV$20)))*Project_Register!$Y$20)</f>
        <v>0</v>
      </c>
      <c r="M565" s="58" t="n">
        <f aca="false">IF(M$5="A",0,IF((Project_Register!$AT$20-Project_Register!$AQ$20)&lt;=0,0,IF(1-Project_Register!$AV$20&lt;=0.000001,IF(Assumptions!M$96=Assumptions!$C$10+1,(Project_Register!$AT$20-Project_Register!$AQ$20),0),(Project_Register!$AT$20-Project_Register!$AQ$20)*(M562-M563)/(1-Project_Register!$AV$20)))*Project_Register!$Y$20)</f>
        <v>0</v>
      </c>
      <c r="N565" s="58" t="n">
        <f aca="false">IF(N$5="A",0,IF((Project_Register!$AT$20-Project_Register!$AQ$20)&lt;=0,0,IF(1-Project_Register!$AV$20&lt;=0.000001,IF(Assumptions!N$96=Assumptions!$C$10+1,(Project_Register!$AT$20-Project_Register!$AQ$20),0),(Project_Register!$AT$20-Project_Register!$AQ$20)*(N562-N563)/(1-Project_Register!$AV$20)))*Project_Register!$Y$20)</f>
        <v>0</v>
      </c>
      <c r="O565" s="58" t="n">
        <f aca="false">IF(O$5="A",0,IF((Project_Register!$AT$20-Project_Register!$AQ$20)&lt;=0,0,IF(1-Project_Register!$AV$20&lt;=0.000001,IF(Assumptions!O$96=Assumptions!$C$10+1,(Project_Register!$AT$20-Project_Register!$AQ$20),0),(Project_Register!$AT$20-Project_Register!$AQ$20)*(O562-O563)/(1-Project_Register!$AV$20)))*Project_Register!$Y$20)</f>
        <v>0</v>
      </c>
      <c r="P565" s="58" t="n">
        <f aca="false">IF(P$5="A",0,IF((Project_Register!$AT$20-Project_Register!$AQ$20)&lt;=0,0,IF(1-Project_Register!$AV$20&lt;=0.000001,IF(Assumptions!P$96=Assumptions!$C$10+1,(Project_Register!$AT$20-Project_Register!$AQ$20),0),(Project_Register!$AT$20-Project_Register!$AQ$20)*(P562-P563)/(1-Project_Register!$AV$20)))*Project_Register!$Y$20)</f>
        <v>0</v>
      </c>
      <c r="Q565" s="58" t="n">
        <f aca="false">IF(Q$5="A",0,IF((Project_Register!$AT$20-Project_Register!$AQ$20)&lt;=0,0,IF(1-Project_Register!$AV$20&lt;=0.000001,IF(Assumptions!Q$96=Assumptions!$C$10+1,(Project_Register!$AT$20-Project_Register!$AQ$20),0),(Project_Register!$AT$20-Project_Register!$AQ$20)*(Q562-Q563)/(1-Project_Register!$AV$20)))*Project_Register!$Y$20)</f>
        <v>0</v>
      </c>
      <c r="R565" s="58" t="n">
        <f aca="false">IF(R$5="A",0,IF((Project_Register!$AT$20-Project_Register!$AQ$20)&lt;=0,0,IF(1-Project_Register!$AV$20&lt;=0.000001,IF(Assumptions!R$96=Assumptions!$C$10+1,(Project_Register!$AT$20-Project_Register!$AQ$20),0),(Project_Register!$AT$20-Project_Register!$AQ$20)*(R562-R563)/(1-Project_Register!$AV$20)))*Project_Register!$Y$20)</f>
        <v>0</v>
      </c>
      <c r="S565" s="58" t="n">
        <f aca="false">IF(S$5="A",0,IF((Project_Register!$AT$20-Project_Register!$AQ$20)&lt;=0,0,IF(1-Project_Register!$AV$20&lt;=0.000001,IF(Assumptions!S$96=Assumptions!$C$10+1,(Project_Register!$AT$20-Project_Register!$AQ$20),0),(Project_Register!$AT$20-Project_Register!$AQ$20)*(S562-S563)/(1-Project_Register!$AV$20)))*Project_Register!$Y$20)</f>
        <v>0</v>
      </c>
      <c r="T565" s="58" t="n">
        <f aca="false">IF(T$5="A",0,IF((Project_Register!$AT$20-Project_Register!$AQ$20)&lt;=0,0,IF(1-Project_Register!$AV$20&lt;=0.000001,IF(Assumptions!T$96=Assumptions!$C$10+1,(Project_Register!$AT$20-Project_Register!$AQ$20),0),(Project_Register!$AT$20-Project_Register!$AQ$20)*(T562-T563)/(1-Project_Register!$AV$20)))*Project_Register!$Y$20)</f>
        <v>0</v>
      </c>
      <c r="U565" s="58" t="n">
        <f aca="false">IF(U$5="A",0,IF((Project_Register!$AT$20-Project_Register!$AQ$20)&lt;=0,0,IF(1-Project_Register!$AV$20&lt;=0.000001,IF(Assumptions!U$96=Assumptions!$C$10+1,(Project_Register!$AT$20-Project_Register!$AQ$20),0),(Project_Register!$AT$20-Project_Register!$AQ$20)*(U562-U563)/(1-Project_Register!$AV$20)))*Project_Register!$Y$20)</f>
        <v>0</v>
      </c>
      <c r="V565" s="58" t="n">
        <f aca="false">IF(V$5="A",0,IF((Project_Register!$AT$20-Project_Register!$AQ$20)&lt;=0,0,IF(1-Project_Register!$AV$20&lt;=0.000001,IF(Assumptions!V$96=Assumptions!$C$10+1,(Project_Register!$AT$20-Project_Register!$AQ$20),0),(Project_Register!$AT$20-Project_Register!$AQ$20)*(V562-V563)/(1-Project_Register!$AV$20)))*Project_Register!$Y$20)</f>
        <v>0</v>
      </c>
      <c r="W565" s="58" t="n">
        <f aca="false">IF(W$5="A",0,IF((Project_Register!$AT$20-Project_Register!$AQ$20)&lt;=0,0,IF(1-Project_Register!$AV$20&lt;=0.000001,IF(Assumptions!W$96=Assumptions!$C$10+1,(Project_Register!$AT$20-Project_Register!$AQ$20),0),(Project_Register!$AT$20-Project_Register!$AQ$20)*(W562-W563)/(1-Project_Register!$AV$20)))*Project_Register!$Y$20)</f>
        <v>0</v>
      </c>
      <c r="X565" s="58" t="n">
        <f aca="false">IF(X$5="A",0,IF((Project_Register!$AT$20-Project_Register!$AQ$20)&lt;=0,0,IF(1-Project_Register!$AV$20&lt;=0.000001,IF(Assumptions!X$96=Assumptions!$C$10+1,(Project_Register!$AT$20-Project_Register!$AQ$20),0),(Project_Register!$AT$20-Project_Register!$AQ$20)*(X562-X563)/(1-Project_Register!$AV$20)))*Project_Register!$Y$20)</f>
        <v>9195.33527696793</v>
      </c>
      <c r="Y565" s="58" t="n">
        <f aca="false">IF(Y$5="A",0,IF((Project_Register!$AT$20-Project_Register!$AQ$20)&lt;=0,0,IF(1-Project_Register!$AV$20&lt;=0.000001,IF(Assumptions!Y$96=Assumptions!$C$10+1,(Project_Register!$AT$20-Project_Register!$AQ$20),0),(Project_Register!$AT$20-Project_Register!$AQ$20)*(Y562-Y563)/(1-Project_Register!$AV$20)))*Project_Register!$Y$20)</f>
        <v>23714.2857142857</v>
      </c>
      <c r="Z565" s="58" t="n">
        <f aca="false">IF(Z$5="A",0,IF((Project_Register!$AT$20-Project_Register!$AQ$20)&lt;=0,0,IF(1-Project_Register!$AV$20&lt;=0.000001,IF(Assumptions!Z$96=Assumptions!$C$10+1,(Project_Register!$AT$20-Project_Register!$AQ$20),0),(Project_Register!$AT$20-Project_Register!$AQ$20)*(Z562-Z563)/(1-Project_Register!$AV$20)))*Project_Register!$Y$20)</f>
        <v>32425.6559766764</v>
      </c>
      <c r="AA565" s="58" t="n">
        <f aca="false">IF(AA$5="A",0,IF((Project_Register!$AT$20-Project_Register!$AQ$20)&lt;=0,0,IF(1-Project_Register!$AV$20&lt;=0.000001,IF(Assumptions!AA$96=Assumptions!$C$10+1,(Project_Register!$AT$20-Project_Register!$AQ$20),0),(Project_Register!$AT$20-Project_Register!$AQ$20)*(AA562-AA563)/(1-Project_Register!$AV$20)))*Project_Register!$Y$20)</f>
        <v>35329.44606414</v>
      </c>
      <c r="AB565" s="58" t="n">
        <f aca="false">IF(AB$5="A",0,IF((Project_Register!$AT$20-Project_Register!$AQ$20)&lt;=0,0,IF(1-Project_Register!$AV$20&lt;=0.000001,IF(Assumptions!AB$96=Assumptions!$C$10+1,(Project_Register!$AT$20-Project_Register!$AQ$20),0),(Project_Register!$AT$20-Project_Register!$AQ$20)*(AB562-AB563)/(1-Project_Register!$AV$20)))*Project_Register!$Y$20)</f>
        <v>32425.6559766764</v>
      </c>
    </row>
    <row r="566" customFormat="false" ht="15" hidden="false" customHeight="false" outlineLevel="0" collapsed="false">
      <c r="A566" s="27" t="s">
        <v>724</v>
      </c>
      <c r="B566" s="56" t="s">
        <v>722</v>
      </c>
      <c r="C566" s="57" t="n">
        <f aca="false">SUM(E566:P566)</f>
        <v>0</v>
      </c>
      <c r="D566" s="57" t="n">
        <f aca="false">SUM(Q566:AB566)</f>
        <v>63883.3819241983</v>
      </c>
      <c r="E566" s="58" t="n">
        <f aca="false">IF(E$5="A",0,IF((Project_Register!$AT$20-Project_Register!$AQ$20)&lt;=0,0,IF(1-Project_Register!$AV$20&lt;=0.000001,IF(Assumptions!E$96=Assumptions!$C$10+1,(Project_Register!$AT$20-Project_Register!$AQ$20),0),(Project_Register!$AT$20-Project_Register!$AQ$20)*(E562-E563)/(1-Project_Register!$AV$20)))*Project_Register!$Z$20)</f>
        <v>0</v>
      </c>
      <c r="F566" s="58" t="n">
        <f aca="false">IF(F$5="A",0,IF((Project_Register!$AT$20-Project_Register!$AQ$20)&lt;=0,0,IF(1-Project_Register!$AV$20&lt;=0.000001,IF(Assumptions!F$96=Assumptions!$C$10+1,(Project_Register!$AT$20-Project_Register!$AQ$20),0),(Project_Register!$AT$20-Project_Register!$AQ$20)*(F562-F563)/(1-Project_Register!$AV$20)))*Project_Register!$Z$20)</f>
        <v>0</v>
      </c>
      <c r="G566" s="58" t="n">
        <f aca="false">IF(G$5="A",0,IF((Project_Register!$AT$20-Project_Register!$AQ$20)&lt;=0,0,IF(1-Project_Register!$AV$20&lt;=0.000001,IF(Assumptions!G$96=Assumptions!$C$10+1,(Project_Register!$AT$20-Project_Register!$AQ$20),0),(Project_Register!$AT$20-Project_Register!$AQ$20)*(G562-G563)/(1-Project_Register!$AV$20)))*Project_Register!$Z$20)</f>
        <v>0</v>
      </c>
      <c r="H566" s="58" t="n">
        <f aca="false">IF(H$5="A",0,IF((Project_Register!$AT$20-Project_Register!$AQ$20)&lt;=0,0,IF(1-Project_Register!$AV$20&lt;=0.000001,IF(Assumptions!H$96=Assumptions!$C$10+1,(Project_Register!$AT$20-Project_Register!$AQ$20),0),(Project_Register!$AT$20-Project_Register!$AQ$20)*(H562-H563)/(1-Project_Register!$AV$20)))*Project_Register!$Z$20)</f>
        <v>0</v>
      </c>
      <c r="I566" s="58" t="n">
        <f aca="false">IF(I$5="A",0,IF((Project_Register!$AT$20-Project_Register!$AQ$20)&lt;=0,0,IF(1-Project_Register!$AV$20&lt;=0.000001,IF(Assumptions!I$96=Assumptions!$C$10+1,(Project_Register!$AT$20-Project_Register!$AQ$20),0),(Project_Register!$AT$20-Project_Register!$AQ$20)*(I562-I563)/(1-Project_Register!$AV$20)))*Project_Register!$Z$20)</f>
        <v>0</v>
      </c>
      <c r="J566" s="58" t="n">
        <f aca="false">IF(J$5="A",0,IF((Project_Register!$AT$20-Project_Register!$AQ$20)&lt;=0,0,IF(1-Project_Register!$AV$20&lt;=0.000001,IF(Assumptions!J$96=Assumptions!$C$10+1,(Project_Register!$AT$20-Project_Register!$AQ$20),0),(Project_Register!$AT$20-Project_Register!$AQ$20)*(J562-J563)/(1-Project_Register!$AV$20)))*Project_Register!$Z$20)</f>
        <v>0</v>
      </c>
      <c r="K566" s="58" t="n">
        <f aca="false">IF(K$5="A",0,IF((Project_Register!$AT$20-Project_Register!$AQ$20)&lt;=0,0,IF(1-Project_Register!$AV$20&lt;=0.000001,IF(Assumptions!K$96=Assumptions!$C$10+1,(Project_Register!$AT$20-Project_Register!$AQ$20),0),(Project_Register!$AT$20-Project_Register!$AQ$20)*(K562-K563)/(1-Project_Register!$AV$20)))*Project_Register!$Z$20)</f>
        <v>0</v>
      </c>
      <c r="L566" s="58" t="n">
        <f aca="false">IF(L$5="A",0,IF((Project_Register!$AT$20-Project_Register!$AQ$20)&lt;=0,0,IF(1-Project_Register!$AV$20&lt;=0.000001,IF(Assumptions!L$96=Assumptions!$C$10+1,(Project_Register!$AT$20-Project_Register!$AQ$20),0),(Project_Register!$AT$20-Project_Register!$AQ$20)*(L562-L563)/(1-Project_Register!$AV$20)))*Project_Register!$Z$20)</f>
        <v>0</v>
      </c>
      <c r="M566" s="58" t="n">
        <f aca="false">IF(M$5="A",0,IF((Project_Register!$AT$20-Project_Register!$AQ$20)&lt;=0,0,IF(1-Project_Register!$AV$20&lt;=0.000001,IF(Assumptions!M$96=Assumptions!$C$10+1,(Project_Register!$AT$20-Project_Register!$AQ$20),0),(Project_Register!$AT$20-Project_Register!$AQ$20)*(M562-M563)/(1-Project_Register!$AV$20)))*Project_Register!$Z$20)</f>
        <v>0</v>
      </c>
      <c r="N566" s="58" t="n">
        <f aca="false">IF(N$5="A",0,IF((Project_Register!$AT$20-Project_Register!$AQ$20)&lt;=0,0,IF(1-Project_Register!$AV$20&lt;=0.000001,IF(Assumptions!N$96=Assumptions!$C$10+1,(Project_Register!$AT$20-Project_Register!$AQ$20),0),(Project_Register!$AT$20-Project_Register!$AQ$20)*(N562-N563)/(1-Project_Register!$AV$20)))*Project_Register!$Z$20)</f>
        <v>0</v>
      </c>
      <c r="O566" s="58" t="n">
        <f aca="false">IF(O$5="A",0,IF((Project_Register!$AT$20-Project_Register!$AQ$20)&lt;=0,0,IF(1-Project_Register!$AV$20&lt;=0.000001,IF(Assumptions!O$96=Assumptions!$C$10+1,(Project_Register!$AT$20-Project_Register!$AQ$20),0),(Project_Register!$AT$20-Project_Register!$AQ$20)*(O562-O563)/(1-Project_Register!$AV$20)))*Project_Register!$Z$20)</f>
        <v>0</v>
      </c>
      <c r="P566" s="58" t="n">
        <f aca="false">IF(P$5="A",0,IF((Project_Register!$AT$20-Project_Register!$AQ$20)&lt;=0,0,IF(1-Project_Register!$AV$20&lt;=0.000001,IF(Assumptions!P$96=Assumptions!$C$10+1,(Project_Register!$AT$20-Project_Register!$AQ$20),0),(Project_Register!$AT$20-Project_Register!$AQ$20)*(P562-P563)/(1-Project_Register!$AV$20)))*Project_Register!$Z$20)</f>
        <v>0</v>
      </c>
      <c r="Q566" s="58" t="n">
        <f aca="false">IF(Q$5="A",0,IF((Project_Register!$AT$20-Project_Register!$AQ$20)&lt;=0,0,IF(1-Project_Register!$AV$20&lt;=0.000001,IF(Assumptions!Q$96=Assumptions!$C$10+1,(Project_Register!$AT$20-Project_Register!$AQ$20),0),(Project_Register!$AT$20-Project_Register!$AQ$20)*(Q562-Q563)/(1-Project_Register!$AV$20)))*Project_Register!$Z$20)</f>
        <v>0</v>
      </c>
      <c r="R566" s="58" t="n">
        <f aca="false">IF(R$5="A",0,IF((Project_Register!$AT$20-Project_Register!$AQ$20)&lt;=0,0,IF(1-Project_Register!$AV$20&lt;=0.000001,IF(Assumptions!R$96=Assumptions!$C$10+1,(Project_Register!$AT$20-Project_Register!$AQ$20),0),(Project_Register!$AT$20-Project_Register!$AQ$20)*(R562-R563)/(1-Project_Register!$AV$20)))*Project_Register!$Z$20)</f>
        <v>0</v>
      </c>
      <c r="S566" s="58" t="n">
        <f aca="false">IF(S$5="A",0,IF((Project_Register!$AT$20-Project_Register!$AQ$20)&lt;=0,0,IF(1-Project_Register!$AV$20&lt;=0.000001,IF(Assumptions!S$96=Assumptions!$C$10+1,(Project_Register!$AT$20-Project_Register!$AQ$20),0),(Project_Register!$AT$20-Project_Register!$AQ$20)*(S562-S563)/(1-Project_Register!$AV$20)))*Project_Register!$Z$20)</f>
        <v>0</v>
      </c>
      <c r="T566" s="58" t="n">
        <f aca="false">IF(T$5="A",0,IF((Project_Register!$AT$20-Project_Register!$AQ$20)&lt;=0,0,IF(1-Project_Register!$AV$20&lt;=0.000001,IF(Assumptions!T$96=Assumptions!$C$10+1,(Project_Register!$AT$20-Project_Register!$AQ$20),0),(Project_Register!$AT$20-Project_Register!$AQ$20)*(T562-T563)/(1-Project_Register!$AV$20)))*Project_Register!$Z$20)</f>
        <v>0</v>
      </c>
      <c r="U566" s="58" t="n">
        <f aca="false">IF(U$5="A",0,IF((Project_Register!$AT$20-Project_Register!$AQ$20)&lt;=0,0,IF(1-Project_Register!$AV$20&lt;=0.000001,IF(Assumptions!U$96=Assumptions!$C$10+1,(Project_Register!$AT$20-Project_Register!$AQ$20),0),(Project_Register!$AT$20-Project_Register!$AQ$20)*(U562-U563)/(1-Project_Register!$AV$20)))*Project_Register!$Z$20)</f>
        <v>0</v>
      </c>
      <c r="V566" s="58" t="n">
        <f aca="false">IF(V$5="A",0,IF((Project_Register!$AT$20-Project_Register!$AQ$20)&lt;=0,0,IF(1-Project_Register!$AV$20&lt;=0.000001,IF(Assumptions!V$96=Assumptions!$C$10+1,(Project_Register!$AT$20-Project_Register!$AQ$20),0),(Project_Register!$AT$20-Project_Register!$AQ$20)*(V562-V563)/(1-Project_Register!$AV$20)))*Project_Register!$Z$20)</f>
        <v>0</v>
      </c>
      <c r="W566" s="58" t="n">
        <f aca="false">IF(W$5="A",0,IF((Project_Register!$AT$20-Project_Register!$AQ$20)&lt;=0,0,IF(1-Project_Register!$AV$20&lt;=0.000001,IF(Assumptions!W$96=Assumptions!$C$10+1,(Project_Register!$AT$20-Project_Register!$AQ$20),0),(Project_Register!$AT$20-Project_Register!$AQ$20)*(W562-W563)/(1-Project_Register!$AV$20)))*Project_Register!$Z$20)</f>
        <v>0</v>
      </c>
      <c r="X566" s="58" t="n">
        <f aca="false">IF(X$5="A",0,IF((Project_Register!$AT$20-Project_Register!$AQ$20)&lt;=0,0,IF(1-Project_Register!$AV$20&lt;=0.000001,IF(Assumptions!X$96=Assumptions!$C$10+1,(Project_Register!$AT$20-Project_Register!$AQ$20),0),(Project_Register!$AT$20-Project_Register!$AQ$20)*(X562-X563)/(1-Project_Register!$AV$20)))*Project_Register!$Z$20)</f>
        <v>4413.76093294461</v>
      </c>
      <c r="Y566" s="58" t="n">
        <f aca="false">IF(Y$5="A",0,IF((Project_Register!$AT$20-Project_Register!$AQ$20)&lt;=0,0,IF(1-Project_Register!$AV$20&lt;=0.000001,IF(Assumptions!Y$96=Assumptions!$C$10+1,(Project_Register!$AT$20-Project_Register!$AQ$20),0),(Project_Register!$AT$20-Project_Register!$AQ$20)*(Y562-Y563)/(1-Project_Register!$AV$20)))*Project_Register!$Z$20)</f>
        <v>11382.8571428571</v>
      </c>
      <c r="Z566" s="58" t="n">
        <f aca="false">IF(Z$5="A",0,IF((Project_Register!$AT$20-Project_Register!$AQ$20)&lt;=0,0,IF(1-Project_Register!$AV$20&lt;=0.000001,IF(Assumptions!Z$96=Assumptions!$C$10+1,(Project_Register!$AT$20-Project_Register!$AQ$20),0),(Project_Register!$AT$20-Project_Register!$AQ$20)*(Z562-Z563)/(1-Project_Register!$AV$20)))*Project_Register!$Z$20)</f>
        <v>15564.3148688047</v>
      </c>
      <c r="AA566" s="58" t="n">
        <f aca="false">IF(AA$5="A",0,IF((Project_Register!$AT$20-Project_Register!$AQ$20)&lt;=0,0,IF(1-Project_Register!$AV$20&lt;=0.000001,IF(Assumptions!AA$96=Assumptions!$C$10+1,(Project_Register!$AT$20-Project_Register!$AQ$20),0),(Project_Register!$AT$20-Project_Register!$AQ$20)*(AA562-AA563)/(1-Project_Register!$AV$20)))*Project_Register!$Z$20)</f>
        <v>16958.1341107872</v>
      </c>
      <c r="AB566" s="58" t="n">
        <f aca="false">IF(AB$5="A",0,IF((Project_Register!$AT$20-Project_Register!$AQ$20)&lt;=0,0,IF(1-Project_Register!$AV$20&lt;=0.000001,IF(Assumptions!AB$96=Assumptions!$C$10+1,(Project_Register!$AT$20-Project_Register!$AQ$20),0),(Project_Register!$AT$20-Project_Register!$AQ$20)*(AB562-AB563)/(1-Project_Register!$AV$20)))*Project_Register!$Z$20)</f>
        <v>15564.3148688047</v>
      </c>
    </row>
    <row r="567" customFormat="false" ht="15" hidden="false" customHeight="false" outlineLevel="0" collapsed="false">
      <c r="A567" s="27" t="s">
        <v>725</v>
      </c>
      <c r="B567" s="56" t="s">
        <v>722</v>
      </c>
      <c r="C567" s="57" t="n">
        <f aca="false">SUM(E567:P567)</f>
        <v>0</v>
      </c>
      <c r="D567" s="57" t="n">
        <f aca="false">SUM(Q567:AB567)</f>
        <v>7985.42274052478</v>
      </c>
      <c r="E567" s="58" t="n">
        <f aca="false">IF(E$5="A",0,IF((Project_Register!$AT$20-Project_Register!$AQ$20)&lt;=0,0,IF(1-Project_Register!$AV$20&lt;=0.000001,IF(Assumptions!E$96=Assumptions!$C$10+1,(Project_Register!$AT$20-Project_Register!$AQ$20),0),(Project_Register!$AT$20-Project_Register!$AQ$20)*(E562-E563)/(1-Project_Register!$AV$20)))*Project_Register!$AA$20)</f>
        <v>0</v>
      </c>
      <c r="F567" s="58" t="n">
        <f aca="false">IF(F$5="A",0,IF((Project_Register!$AT$20-Project_Register!$AQ$20)&lt;=0,0,IF(1-Project_Register!$AV$20&lt;=0.000001,IF(Assumptions!F$96=Assumptions!$C$10+1,(Project_Register!$AT$20-Project_Register!$AQ$20),0),(Project_Register!$AT$20-Project_Register!$AQ$20)*(F562-F563)/(1-Project_Register!$AV$20)))*Project_Register!$AA$20)</f>
        <v>0</v>
      </c>
      <c r="G567" s="58" t="n">
        <f aca="false">IF(G$5="A",0,IF((Project_Register!$AT$20-Project_Register!$AQ$20)&lt;=0,0,IF(1-Project_Register!$AV$20&lt;=0.000001,IF(Assumptions!G$96=Assumptions!$C$10+1,(Project_Register!$AT$20-Project_Register!$AQ$20),0),(Project_Register!$AT$20-Project_Register!$AQ$20)*(G562-G563)/(1-Project_Register!$AV$20)))*Project_Register!$AA$20)</f>
        <v>0</v>
      </c>
      <c r="H567" s="58" t="n">
        <f aca="false">IF(H$5="A",0,IF((Project_Register!$AT$20-Project_Register!$AQ$20)&lt;=0,0,IF(1-Project_Register!$AV$20&lt;=0.000001,IF(Assumptions!H$96=Assumptions!$C$10+1,(Project_Register!$AT$20-Project_Register!$AQ$20),0),(Project_Register!$AT$20-Project_Register!$AQ$20)*(H562-H563)/(1-Project_Register!$AV$20)))*Project_Register!$AA$20)</f>
        <v>0</v>
      </c>
      <c r="I567" s="58" t="n">
        <f aca="false">IF(I$5="A",0,IF((Project_Register!$AT$20-Project_Register!$AQ$20)&lt;=0,0,IF(1-Project_Register!$AV$20&lt;=0.000001,IF(Assumptions!I$96=Assumptions!$C$10+1,(Project_Register!$AT$20-Project_Register!$AQ$20),0),(Project_Register!$AT$20-Project_Register!$AQ$20)*(I562-I563)/(1-Project_Register!$AV$20)))*Project_Register!$AA$20)</f>
        <v>0</v>
      </c>
      <c r="J567" s="58" t="n">
        <f aca="false">IF(J$5="A",0,IF((Project_Register!$AT$20-Project_Register!$AQ$20)&lt;=0,0,IF(1-Project_Register!$AV$20&lt;=0.000001,IF(Assumptions!J$96=Assumptions!$C$10+1,(Project_Register!$AT$20-Project_Register!$AQ$20),0),(Project_Register!$AT$20-Project_Register!$AQ$20)*(J562-J563)/(1-Project_Register!$AV$20)))*Project_Register!$AA$20)</f>
        <v>0</v>
      </c>
      <c r="K567" s="58" t="n">
        <f aca="false">IF(K$5="A",0,IF((Project_Register!$AT$20-Project_Register!$AQ$20)&lt;=0,0,IF(1-Project_Register!$AV$20&lt;=0.000001,IF(Assumptions!K$96=Assumptions!$C$10+1,(Project_Register!$AT$20-Project_Register!$AQ$20),0),(Project_Register!$AT$20-Project_Register!$AQ$20)*(K562-K563)/(1-Project_Register!$AV$20)))*Project_Register!$AA$20)</f>
        <v>0</v>
      </c>
      <c r="L567" s="58" t="n">
        <f aca="false">IF(L$5="A",0,IF((Project_Register!$AT$20-Project_Register!$AQ$20)&lt;=0,0,IF(1-Project_Register!$AV$20&lt;=0.000001,IF(Assumptions!L$96=Assumptions!$C$10+1,(Project_Register!$AT$20-Project_Register!$AQ$20),0),(Project_Register!$AT$20-Project_Register!$AQ$20)*(L562-L563)/(1-Project_Register!$AV$20)))*Project_Register!$AA$20)</f>
        <v>0</v>
      </c>
      <c r="M567" s="58" t="n">
        <f aca="false">IF(M$5="A",0,IF((Project_Register!$AT$20-Project_Register!$AQ$20)&lt;=0,0,IF(1-Project_Register!$AV$20&lt;=0.000001,IF(Assumptions!M$96=Assumptions!$C$10+1,(Project_Register!$AT$20-Project_Register!$AQ$20),0),(Project_Register!$AT$20-Project_Register!$AQ$20)*(M562-M563)/(1-Project_Register!$AV$20)))*Project_Register!$AA$20)</f>
        <v>0</v>
      </c>
      <c r="N567" s="58" t="n">
        <f aca="false">IF(N$5="A",0,IF((Project_Register!$AT$20-Project_Register!$AQ$20)&lt;=0,0,IF(1-Project_Register!$AV$20&lt;=0.000001,IF(Assumptions!N$96=Assumptions!$C$10+1,(Project_Register!$AT$20-Project_Register!$AQ$20),0),(Project_Register!$AT$20-Project_Register!$AQ$20)*(N562-N563)/(1-Project_Register!$AV$20)))*Project_Register!$AA$20)</f>
        <v>0</v>
      </c>
      <c r="O567" s="58" t="n">
        <f aca="false">IF(O$5="A",0,IF((Project_Register!$AT$20-Project_Register!$AQ$20)&lt;=0,0,IF(1-Project_Register!$AV$20&lt;=0.000001,IF(Assumptions!O$96=Assumptions!$C$10+1,(Project_Register!$AT$20-Project_Register!$AQ$20),0),(Project_Register!$AT$20-Project_Register!$AQ$20)*(O562-O563)/(1-Project_Register!$AV$20)))*Project_Register!$AA$20)</f>
        <v>0</v>
      </c>
      <c r="P567" s="58" t="n">
        <f aca="false">IF(P$5="A",0,IF((Project_Register!$AT$20-Project_Register!$AQ$20)&lt;=0,0,IF(1-Project_Register!$AV$20&lt;=0.000001,IF(Assumptions!P$96=Assumptions!$C$10+1,(Project_Register!$AT$20-Project_Register!$AQ$20),0),(Project_Register!$AT$20-Project_Register!$AQ$20)*(P562-P563)/(1-Project_Register!$AV$20)))*Project_Register!$AA$20)</f>
        <v>0</v>
      </c>
      <c r="Q567" s="58" t="n">
        <f aca="false">IF(Q$5="A",0,IF((Project_Register!$AT$20-Project_Register!$AQ$20)&lt;=0,0,IF(1-Project_Register!$AV$20&lt;=0.000001,IF(Assumptions!Q$96=Assumptions!$C$10+1,(Project_Register!$AT$20-Project_Register!$AQ$20),0),(Project_Register!$AT$20-Project_Register!$AQ$20)*(Q562-Q563)/(1-Project_Register!$AV$20)))*Project_Register!$AA$20)</f>
        <v>0</v>
      </c>
      <c r="R567" s="58" t="n">
        <f aca="false">IF(R$5="A",0,IF((Project_Register!$AT$20-Project_Register!$AQ$20)&lt;=0,0,IF(1-Project_Register!$AV$20&lt;=0.000001,IF(Assumptions!R$96=Assumptions!$C$10+1,(Project_Register!$AT$20-Project_Register!$AQ$20),0),(Project_Register!$AT$20-Project_Register!$AQ$20)*(R562-R563)/(1-Project_Register!$AV$20)))*Project_Register!$AA$20)</f>
        <v>0</v>
      </c>
      <c r="S567" s="58" t="n">
        <f aca="false">IF(S$5="A",0,IF((Project_Register!$AT$20-Project_Register!$AQ$20)&lt;=0,0,IF(1-Project_Register!$AV$20&lt;=0.000001,IF(Assumptions!S$96=Assumptions!$C$10+1,(Project_Register!$AT$20-Project_Register!$AQ$20),0),(Project_Register!$AT$20-Project_Register!$AQ$20)*(S562-S563)/(1-Project_Register!$AV$20)))*Project_Register!$AA$20)</f>
        <v>0</v>
      </c>
      <c r="T567" s="58" t="n">
        <f aca="false">IF(T$5="A",0,IF((Project_Register!$AT$20-Project_Register!$AQ$20)&lt;=0,0,IF(1-Project_Register!$AV$20&lt;=0.000001,IF(Assumptions!T$96=Assumptions!$C$10+1,(Project_Register!$AT$20-Project_Register!$AQ$20),0),(Project_Register!$AT$20-Project_Register!$AQ$20)*(T562-T563)/(1-Project_Register!$AV$20)))*Project_Register!$AA$20)</f>
        <v>0</v>
      </c>
      <c r="U567" s="58" t="n">
        <f aca="false">IF(U$5="A",0,IF((Project_Register!$AT$20-Project_Register!$AQ$20)&lt;=0,0,IF(1-Project_Register!$AV$20&lt;=0.000001,IF(Assumptions!U$96=Assumptions!$C$10+1,(Project_Register!$AT$20-Project_Register!$AQ$20),0),(Project_Register!$AT$20-Project_Register!$AQ$20)*(U562-U563)/(1-Project_Register!$AV$20)))*Project_Register!$AA$20)</f>
        <v>0</v>
      </c>
      <c r="V567" s="58" t="n">
        <f aca="false">IF(V$5="A",0,IF((Project_Register!$AT$20-Project_Register!$AQ$20)&lt;=0,0,IF(1-Project_Register!$AV$20&lt;=0.000001,IF(Assumptions!V$96=Assumptions!$C$10+1,(Project_Register!$AT$20-Project_Register!$AQ$20),0),(Project_Register!$AT$20-Project_Register!$AQ$20)*(V562-V563)/(1-Project_Register!$AV$20)))*Project_Register!$AA$20)</f>
        <v>0</v>
      </c>
      <c r="W567" s="58" t="n">
        <f aca="false">IF(W$5="A",0,IF((Project_Register!$AT$20-Project_Register!$AQ$20)&lt;=0,0,IF(1-Project_Register!$AV$20&lt;=0.000001,IF(Assumptions!W$96=Assumptions!$C$10+1,(Project_Register!$AT$20-Project_Register!$AQ$20),0),(Project_Register!$AT$20-Project_Register!$AQ$20)*(W562-W563)/(1-Project_Register!$AV$20)))*Project_Register!$AA$20)</f>
        <v>0</v>
      </c>
      <c r="X567" s="58" t="n">
        <f aca="false">IF(X$5="A",0,IF((Project_Register!$AT$20-Project_Register!$AQ$20)&lt;=0,0,IF(1-Project_Register!$AV$20&lt;=0.000001,IF(Assumptions!X$96=Assumptions!$C$10+1,(Project_Register!$AT$20-Project_Register!$AQ$20),0),(Project_Register!$AT$20-Project_Register!$AQ$20)*(X562-X563)/(1-Project_Register!$AV$20)))*Project_Register!$AA$20)</f>
        <v>551.720116618076</v>
      </c>
      <c r="Y567" s="58" t="n">
        <f aca="false">IF(Y$5="A",0,IF((Project_Register!$AT$20-Project_Register!$AQ$20)&lt;=0,0,IF(1-Project_Register!$AV$20&lt;=0.000001,IF(Assumptions!Y$96=Assumptions!$C$10+1,(Project_Register!$AT$20-Project_Register!$AQ$20),0),(Project_Register!$AT$20-Project_Register!$AQ$20)*(Y562-Y563)/(1-Project_Register!$AV$20)))*Project_Register!$AA$20)</f>
        <v>1422.85714285714</v>
      </c>
      <c r="Z567" s="58" t="n">
        <f aca="false">IF(Z$5="A",0,IF((Project_Register!$AT$20-Project_Register!$AQ$20)&lt;=0,0,IF(1-Project_Register!$AV$20&lt;=0.000001,IF(Assumptions!Z$96=Assumptions!$C$10+1,(Project_Register!$AT$20-Project_Register!$AQ$20),0),(Project_Register!$AT$20-Project_Register!$AQ$20)*(Z562-Z563)/(1-Project_Register!$AV$20)))*Project_Register!$AA$20)</f>
        <v>1945.53935860058</v>
      </c>
      <c r="AA567" s="58" t="n">
        <f aca="false">IF(AA$5="A",0,IF((Project_Register!$AT$20-Project_Register!$AQ$20)&lt;=0,0,IF(1-Project_Register!$AV$20&lt;=0.000001,IF(Assumptions!AA$96=Assumptions!$C$10+1,(Project_Register!$AT$20-Project_Register!$AQ$20),0),(Project_Register!$AT$20-Project_Register!$AQ$20)*(AA562-AA563)/(1-Project_Register!$AV$20)))*Project_Register!$AA$20)</f>
        <v>2119.7667638484</v>
      </c>
      <c r="AB567" s="58" t="n">
        <f aca="false">IF(AB$5="A",0,IF((Project_Register!$AT$20-Project_Register!$AQ$20)&lt;=0,0,IF(1-Project_Register!$AV$20&lt;=0.000001,IF(Assumptions!AB$96=Assumptions!$C$10+1,(Project_Register!$AT$20-Project_Register!$AQ$20),0),(Project_Register!$AT$20-Project_Register!$AQ$20)*(AB562-AB563)/(1-Project_Register!$AV$20)))*Project_Register!$AA$20)</f>
        <v>1945.53935860058</v>
      </c>
    </row>
    <row r="568" customFormat="false" ht="15" hidden="false" customHeight="false" outlineLevel="0" collapsed="false">
      <c r="A568" s="27" t="s">
        <v>726</v>
      </c>
      <c r="B568" s="56" t="s">
        <v>722</v>
      </c>
      <c r="C568" s="57" t="n">
        <f aca="false">SUM(E568:P568)</f>
        <v>0</v>
      </c>
      <c r="D568" s="57" t="n">
        <f aca="false">SUM(Q568:AB568)</f>
        <v>18632.6530612245</v>
      </c>
      <c r="E568" s="58" t="n">
        <f aca="false">IF(E$5="A",0,IF((Project_Register!$AT$20-Project_Register!$AQ$20)&lt;=0,0,IF(1-Project_Register!$AV$20&lt;=0.000001,IF(Assumptions!E$96=Assumptions!$C$10+1,(Project_Register!$AT$20-Project_Register!$AQ$20),0),(Project_Register!$AT$20-Project_Register!$AQ$20)*(E562-E563)/(1-Project_Register!$AV$20)))*Project_Register!$AB$20)</f>
        <v>0</v>
      </c>
      <c r="F568" s="58" t="n">
        <f aca="false">IF(F$5="A",0,IF((Project_Register!$AT$20-Project_Register!$AQ$20)&lt;=0,0,IF(1-Project_Register!$AV$20&lt;=0.000001,IF(Assumptions!F$96=Assumptions!$C$10+1,(Project_Register!$AT$20-Project_Register!$AQ$20),0),(Project_Register!$AT$20-Project_Register!$AQ$20)*(F562-F563)/(1-Project_Register!$AV$20)))*Project_Register!$AB$20)</f>
        <v>0</v>
      </c>
      <c r="G568" s="58" t="n">
        <f aca="false">IF(G$5="A",0,IF((Project_Register!$AT$20-Project_Register!$AQ$20)&lt;=0,0,IF(1-Project_Register!$AV$20&lt;=0.000001,IF(Assumptions!G$96=Assumptions!$C$10+1,(Project_Register!$AT$20-Project_Register!$AQ$20),0),(Project_Register!$AT$20-Project_Register!$AQ$20)*(G562-G563)/(1-Project_Register!$AV$20)))*Project_Register!$AB$20)</f>
        <v>0</v>
      </c>
      <c r="H568" s="58" t="n">
        <f aca="false">IF(H$5="A",0,IF((Project_Register!$AT$20-Project_Register!$AQ$20)&lt;=0,0,IF(1-Project_Register!$AV$20&lt;=0.000001,IF(Assumptions!H$96=Assumptions!$C$10+1,(Project_Register!$AT$20-Project_Register!$AQ$20),0),(Project_Register!$AT$20-Project_Register!$AQ$20)*(H562-H563)/(1-Project_Register!$AV$20)))*Project_Register!$AB$20)</f>
        <v>0</v>
      </c>
      <c r="I568" s="58" t="n">
        <f aca="false">IF(I$5="A",0,IF((Project_Register!$AT$20-Project_Register!$AQ$20)&lt;=0,0,IF(1-Project_Register!$AV$20&lt;=0.000001,IF(Assumptions!I$96=Assumptions!$C$10+1,(Project_Register!$AT$20-Project_Register!$AQ$20),0),(Project_Register!$AT$20-Project_Register!$AQ$20)*(I562-I563)/(1-Project_Register!$AV$20)))*Project_Register!$AB$20)</f>
        <v>0</v>
      </c>
      <c r="J568" s="58" t="n">
        <f aca="false">IF(J$5="A",0,IF((Project_Register!$AT$20-Project_Register!$AQ$20)&lt;=0,0,IF(1-Project_Register!$AV$20&lt;=0.000001,IF(Assumptions!J$96=Assumptions!$C$10+1,(Project_Register!$AT$20-Project_Register!$AQ$20),0),(Project_Register!$AT$20-Project_Register!$AQ$20)*(J562-J563)/(1-Project_Register!$AV$20)))*Project_Register!$AB$20)</f>
        <v>0</v>
      </c>
      <c r="K568" s="58" t="n">
        <f aca="false">IF(K$5="A",0,IF((Project_Register!$AT$20-Project_Register!$AQ$20)&lt;=0,0,IF(1-Project_Register!$AV$20&lt;=0.000001,IF(Assumptions!K$96=Assumptions!$C$10+1,(Project_Register!$AT$20-Project_Register!$AQ$20),0),(Project_Register!$AT$20-Project_Register!$AQ$20)*(K562-K563)/(1-Project_Register!$AV$20)))*Project_Register!$AB$20)</f>
        <v>0</v>
      </c>
      <c r="L568" s="58" t="n">
        <f aca="false">IF(L$5="A",0,IF((Project_Register!$AT$20-Project_Register!$AQ$20)&lt;=0,0,IF(1-Project_Register!$AV$20&lt;=0.000001,IF(Assumptions!L$96=Assumptions!$C$10+1,(Project_Register!$AT$20-Project_Register!$AQ$20),0),(Project_Register!$AT$20-Project_Register!$AQ$20)*(L562-L563)/(1-Project_Register!$AV$20)))*Project_Register!$AB$20)</f>
        <v>0</v>
      </c>
      <c r="M568" s="58" t="n">
        <f aca="false">IF(M$5="A",0,IF((Project_Register!$AT$20-Project_Register!$AQ$20)&lt;=0,0,IF(1-Project_Register!$AV$20&lt;=0.000001,IF(Assumptions!M$96=Assumptions!$C$10+1,(Project_Register!$AT$20-Project_Register!$AQ$20),0),(Project_Register!$AT$20-Project_Register!$AQ$20)*(M562-M563)/(1-Project_Register!$AV$20)))*Project_Register!$AB$20)</f>
        <v>0</v>
      </c>
      <c r="N568" s="58" t="n">
        <f aca="false">IF(N$5="A",0,IF((Project_Register!$AT$20-Project_Register!$AQ$20)&lt;=0,0,IF(1-Project_Register!$AV$20&lt;=0.000001,IF(Assumptions!N$96=Assumptions!$C$10+1,(Project_Register!$AT$20-Project_Register!$AQ$20),0),(Project_Register!$AT$20-Project_Register!$AQ$20)*(N562-N563)/(1-Project_Register!$AV$20)))*Project_Register!$AB$20)</f>
        <v>0</v>
      </c>
      <c r="O568" s="58" t="n">
        <f aca="false">IF(O$5="A",0,IF((Project_Register!$AT$20-Project_Register!$AQ$20)&lt;=0,0,IF(1-Project_Register!$AV$20&lt;=0.000001,IF(Assumptions!O$96=Assumptions!$C$10+1,(Project_Register!$AT$20-Project_Register!$AQ$20),0),(Project_Register!$AT$20-Project_Register!$AQ$20)*(O562-O563)/(1-Project_Register!$AV$20)))*Project_Register!$AB$20)</f>
        <v>0</v>
      </c>
      <c r="P568" s="58" t="n">
        <f aca="false">IF(P$5="A",0,IF((Project_Register!$AT$20-Project_Register!$AQ$20)&lt;=0,0,IF(1-Project_Register!$AV$20&lt;=0.000001,IF(Assumptions!P$96=Assumptions!$C$10+1,(Project_Register!$AT$20-Project_Register!$AQ$20),0),(Project_Register!$AT$20-Project_Register!$AQ$20)*(P562-P563)/(1-Project_Register!$AV$20)))*Project_Register!$AB$20)</f>
        <v>0</v>
      </c>
      <c r="Q568" s="58" t="n">
        <f aca="false">IF(Q$5="A",0,IF((Project_Register!$AT$20-Project_Register!$AQ$20)&lt;=0,0,IF(1-Project_Register!$AV$20&lt;=0.000001,IF(Assumptions!Q$96=Assumptions!$C$10+1,(Project_Register!$AT$20-Project_Register!$AQ$20),0),(Project_Register!$AT$20-Project_Register!$AQ$20)*(Q562-Q563)/(1-Project_Register!$AV$20)))*Project_Register!$AB$20)</f>
        <v>0</v>
      </c>
      <c r="R568" s="58" t="n">
        <f aca="false">IF(R$5="A",0,IF((Project_Register!$AT$20-Project_Register!$AQ$20)&lt;=0,0,IF(1-Project_Register!$AV$20&lt;=0.000001,IF(Assumptions!R$96=Assumptions!$C$10+1,(Project_Register!$AT$20-Project_Register!$AQ$20),0),(Project_Register!$AT$20-Project_Register!$AQ$20)*(R562-R563)/(1-Project_Register!$AV$20)))*Project_Register!$AB$20)</f>
        <v>0</v>
      </c>
      <c r="S568" s="58" t="n">
        <f aca="false">IF(S$5="A",0,IF((Project_Register!$AT$20-Project_Register!$AQ$20)&lt;=0,0,IF(1-Project_Register!$AV$20&lt;=0.000001,IF(Assumptions!S$96=Assumptions!$C$10+1,(Project_Register!$AT$20-Project_Register!$AQ$20),0),(Project_Register!$AT$20-Project_Register!$AQ$20)*(S562-S563)/(1-Project_Register!$AV$20)))*Project_Register!$AB$20)</f>
        <v>0</v>
      </c>
      <c r="T568" s="58" t="n">
        <f aca="false">IF(T$5="A",0,IF((Project_Register!$AT$20-Project_Register!$AQ$20)&lt;=0,0,IF(1-Project_Register!$AV$20&lt;=0.000001,IF(Assumptions!T$96=Assumptions!$C$10+1,(Project_Register!$AT$20-Project_Register!$AQ$20),0),(Project_Register!$AT$20-Project_Register!$AQ$20)*(T562-T563)/(1-Project_Register!$AV$20)))*Project_Register!$AB$20)</f>
        <v>0</v>
      </c>
      <c r="U568" s="58" t="n">
        <f aca="false">IF(U$5="A",0,IF((Project_Register!$AT$20-Project_Register!$AQ$20)&lt;=0,0,IF(1-Project_Register!$AV$20&lt;=0.000001,IF(Assumptions!U$96=Assumptions!$C$10+1,(Project_Register!$AT$20-Project_Register!$AQ$20),0),(Project_Register!$AT$20-Project_Register!$AQ$20)*(U562-U563)/(1-Project_Register!$AV$20)))*Project_Register!$AB$20)</f>
        <v>0</v>
      </c>
      <c r="V568" s="58" t="n">
        <f aca="false">IF(V$5="A",0,IF((Project_Register!$AT$20-Project_Register!$AQ$20)&lt;=0,0,IF(1-Project_Register!$AV$20&lt;=0.000001,IF(Assumptions!V$96=Assumptions!$C$10+1,(Project_Register!$AT$20-Project_Register!$AQ$20),0),(Project_Register!$AT$20-Project_Register!$AQ$20)*(V562-V563)/(1-Project_Register!$AV$20)))*Project_Register!$AB$20)</f>
        <v>0</v>
      </c>
      <c r="W568" s="58" t="n">
        <f aca="false">IF(W$5="A",0,IF((Project_Register!$AT$20-Project_Register!$AQ$20)&lt;=0,0,IF(1-Project_Register!$AV$20&lt;=0.000001,IF(Assumptions!W$96=Assumptions!$C$10+1,(Project_Register!$AT$20-Project_Register!$AQ$20),0),(Project_Register!$AT$20-Project_Register!$AQ$20)*(W562-W563)/(1-Project_Register!$AV$20)))*Project_Register!$AB$20)</f>
        <v>0</v>
      </c>
      <c r="X568" s="58" t="n">
        <f aca="false">IF(X$5="A",0,IF((Project_Register!$AT$20-Project_Register!$AQ$20)&lt;=0,0,IF(1-Project_Register!$AV$20&lt;=0.000001,IF(Assumptions!X$96=Assumptions!$C$10+1,(Project_Register!$AT$20-Project_Register!$AQ$20),0),(Project_Register!$AT$20-Project_Register!$AQ$20)*(X562-X563)/(1-Project_Register!$AV$20)))*Project_Register!$AB$20)</f>
        <v>1287.34693877551</v>
      </c>
      <c r="Y568" s="58" t="n">
        <f aca="false">IF(Y$5="A",0,IF((Project_Register!$AT$20-Project_Register!$AQ$20)&lt;=0,0,IF(1-Project_Register!$AV$20&lt;=0.000001,IF(Assumptions!Y$96=Assumptions!$C$10+1,(Project_Register!$AT$20-Project_Register!$AQ$20),0),(Project_Register!$AT$20-Project_Register!$AQ$20)*(Y562-Y563)/(1-Project_Register!$AV$20)))*Project_Register!$AB$20)</f>
        <v>3320</v>
      </c>
      <c r="Z568" s="58" t="n">
        <f aca="false">IF(Z$5="A",0,IF((Project_Register!$AT$20-Project_Register!$AQ$20)&lt;=0,0,IF(1-Project_Register!$AV$20&lt;=0.000001,IF(Assumptions!Z$96=Assumptions!$C$10+1,(Project_Register!$AT$20-Project_Register!$AQ$20),0),(Project_Register!$AT$20-Project_Register!$AQ$20)*(Z562-Z563)/(1-Project_Register!$AV$20)))*Project_Register!$AB$20)</f>
        <v>4539.59183673469</v>
      </c>
      <c r="AA568" s="58" t="n">
        <f aca="false">IF(AA$5="A",0,IF((Project_Register!$AT$20-Project_Register!$AQ$20)&lt;=0,0,IF(1-Project_Register!$AV$20&lt;=0.000001,IF(Assumptions!AA$96=Assumptions!$C$10+1,(Project_Register!$AT$20-Project_Register!$AQ$20),0),(Project_Register!$AT$20-Project_Register!$AQ$20)*(AA562-AA563)/(1-Project_Register!$AV$20)))*Project_Register!$AB$20)</f>
        <v>4946.12244897959</v>
      </c>
      <c r="AB568" s="58" t="n">
        <f aca="false">IF(AB$5="A",0,IF((Project_Register!$AT$20-Project_Register!$AQ$20)&lt;=0,0,IF(1-Project_Register!$AV$20&lt;=0.000001,IF(Assumptions!AB$96=Assumptions!$C$10+1,(Project_Register!$AT$20-Project_Register!$AQ$20),0),(Project_Register!$AT$20-Project_Register!$AQ$20)*(AB562-AB563)/(1-Project_Register!$AV$20)))*Project_Register!$AB$20)</f>
        <v>4539.59183673469</v>
      </c>
    </row>
    <row r="569" customFormat="false" ht="15" hidden="false" customHeight="false" outlineLevel="0" collapsed="false">
      <c r="A569" s="67" t="s">
        <v>727</v>
      </c>
      <c r="B569" s="68" t="s">
        <v>728</v>
      </c>
      <c r="C569" s="69" t="n">
        <f aca="false">SUM(E569:P569)</f>
        <v>0</v>
      </c>
      <c r="D569" s="69" t="n">
        <f aca="false">SUM(Q569:AB569)</f>
        <v>266180.758017493</v>
      </c>
      <c r="E569" s="69" t="n">
        <f aca="false">SUM(E564:E568)</f>
        <v>0</v>
      </c>
      <c r="F569" s="69" t="n">
        <f aca="false">SUM(F564:F568)</f>
        <v>0</v>
      </c>
      <c r="G569" s="69" t="n">
        <f aca="false">SUM(G564:G568)</f>
        <v>0</v>
      </c>
      <c r="H569" s="69" t="n">
        <f aca="false">SUM(H564:H568)</f>
        <v>0</v>
      </c>
      <c r="I569" s="69" t="n">
        <f aca="false">SUM(I564:I568)</f>
        <v>0</v>
      </c>
      <c r="J569" s="69" t="n">
        <f aca="false">SUM(J564:J568)</f>
        <v>0</v>
      </c>
      <c r="K569" s="69" t="n">
        <f aca="false">SUM(K564:K568)</f>
        <v>0</v>
      </c>
      <c r="L569" s="69" t="n">
        <f aca="false">SUM(L564:L568)</f>
        <v>0</v>
      </c>
      <c r="M569" s="69" t="n">
        <f aca="false">SUM(M564:M568)</f>
        <v>0</v>
      </c>
      <c r="N569" s="69" t="n">
        <f aca="false">SUM(N564:N568)</f>
        <v>0</v>
      </c>
      <c r="O569" s="69" t="n">
        <f aca="false">SUM(O564:O568)</f>
        <v>0</v>
      </c>
      <c r="P569" s="69" t="n">
        <f aca="false">SUM(P564:P568)</f>
        <v>0</v>
      </c>
      <c r="Q569" s="69" t="n">
        <f aca="false">SUM(Q564:Q568)</f>
        <v>0</v>
      </c>
      <c r="R569" s="69" t="n">
        <f aca="false">SUM(R564:R568)</f>
        <v>0</v>
      </c>
      <c r="S569" s="69" t="n">
        <f aca="false">SUM(S564:S568)</f>
        <v>0</v>
      </c>
      <c r="T569" s="69" t="n">
        <f aca="false">SUM(T564:T568)</f>
        <v>0</v>
      </c>
      <c r="U569" s="69" t="n">
        <f aca="false">SUM(U564:U568)</f>
        <v>0</v>
      </c>
      <c r="V569" s="69" t="n">
        <f aca="false">SUM(V564:V568)</f>
        <v>0</v>
      </c>
      <c r="W569" s="69" t="n">
        <f aca="false">SUM(W564:W568)</f>
        <v>0</v>
      </c>
      <c r="X569" s="69" t="n">
        <f aca="false">SUM(X564:X568)</f>
        <v>18390.6705539359</v>
      </c>
      <c r="Y569" s="69" t="n">
        <f aca="false">SUM(Y564:Y568)</f>
        <v>47428.5714285714</v>
      </c>
      <c r="Z569" s="69" t="n">
        <f aca="false">SUM(Z564:Z568)</f>
        <v>64851.3119533528</v>
      </c>
      <c r="AA569" s="69" t="n">
        <f aca="false">SUM(AA564:AA568)</f>
        <v>70658.8921282799</v>
      </c>
      <c r="AB569" s="69" t="n">
        <f aca="false">SUM(AB564:AB568)</f>
        <v>64851.3119533528</v>
      </c>
    </row>
    <row r="570" customFormat="false" ht="15" hidden="false" customHeight="false" outlineLevel="0" collapsed="false">
      <c r="A570" s="27" t="s">
        <v>729</v>
      </c>
      <c r="B570" s="56" t="s">
        <v>730</v>
      </c>
      <c r="C570" s="57" t="n">
        <f aca="false">P570</f>
        <v>0</v>
      </c>
      <c r="D570" s="57" t="n">
        <f aca="false">AB570</f>
        <v>266180.758017493</v>
      </c>
      <c r="E570" s="58" t="n">
        <f aca="false">Project_Register!$AC$20+E569</f>
        <v>0</v>
      </c>
      <c r="F570" s="70" t="n">
        <f aca="false">E570+F569</f>
        <v>0</v>
      </c>
      <c r="G570" s="70" t="n">
        <f aca="false">F570+G569</f>
        <v>0</v>
      </c>
      <c r="H570" s="70" t="n">
        <f aca="false">G570+H569</f>
        <v>0</v>
      </c>
      <c r="I570" s="70" t="n">
        <f aca="false">H570+I569</f>
        <v>0</v>
      </c>
      <c r="J570" s="70" t="n">
        <f aca="false">I570+J569</f>
        <v>0</v>
      </c>
      <c r="K570" s="70" t="n">
        <f aca="false">J570+K569</f>
        <v>0</v>
      </c>
      <c r="L570" s="70" t="n">
        <f aca="false">K570+L569</f>
        <v>0</v>
      </c>
      <c r="M570" s="70" t="n">
        <f aca="false">L570+M569</f>
        <v>0</v>
      </c>
      <c r="N570" s="70" t="n">
        <f aca="false">M570+N569</f>
        <v>0</v>
      </c>
      <c r="O570" s="70" t="n">
        <f aca="false">N570+O569</f>
        <v>0</v>
      </c>
      <c r="P570" s="70" t="n">
        <f aca="false">O570+P569</f>
        <v>0</v>
      </c>
      <c r="Q570" s="70" t="n">
        <f aca="false">P570+Q569</f>
        <v>0</v>
      </c>
      <c r="R570" s="70" t="n">
        <f aca="false">Q570+R569</f>
        <v>0</v>
      </c>
      <c r="S570" s="70" t="n">
        <f aca="false">R570+S569</f>
        <v>0</v>
      </c>
      <c r="T570" s="70" t="n">
        <f aca="false">S570+T569</f>
        <v>0</v>
      </c>
      <c r="U570" s="70" t="n">
        <f aca="false">T570+U569</f>
        <v>0</v>
      </c>
      <c r="V570" s="70" t="n">
        <f aca="false">U570+V569</f>
        <v>0</v>
      </c>
      <c r="W570" s="70" t="n">
        <f aca="false">V570+W569</f>
        <v>0</v>
      </c>
      <c r="X570" s="70" t="n">
        <f aca="false">W570+X569</f>
        <v>18390.6705539359</v>
      </c>
      <c r="Y570" s="70" t="n">
        <f aca="false">X570+Y569</f>
        <v>65819.2419825073</v>
      </c>
      <c r="Z570" s="70" t="n">
        <f aca="false">Y570+Z569</f>
        <v>130670.55393586</v>
      </c>
      <c r="AA570" s="70" t="n">
        <f aca="false">Z570+AA569</f>
        <v>201329.44606414</v>
      </c>
      <c r="AB570" s="70" t="n">
        <f aca="false">AA570+AB569</f>
        <v>266180.758017493</v>
      </c>
    </row>
    <row r="571" customFormat="false" ht="15" hidden="false" customHeight="false" outlineLevel="0" collapsed="false">
      <c r="A571" s="27" t="s">
        <v>731</v>
      </c>
      <c r="B571" s="56" t="s">
        <v>732</v>
      </c>
      <c r="C571" s="57" t="n">
        <f aca="false">P571</f>
        <v>332000</v>
      </c>
      <c r="D571" s="57" t="n">
        <f aca="false">AB571</f>
        <v>332000</v>
      </c>
      <c r="E571" s="58" t="n">
        <f aca="false">IF(E$5="A",IF(E570+Project_Register!$AP$20&lt;=0,Project_Register!$AP$20,E570+Project_Register!$AP$20),Project_Register!$AT$20)</f>
        <v>332000</v>
      </c>
      <c r="F571" s="58" t="n">
        <f aca="false">IF(F$5="A",IF(F570+Project_Register!$AP$20&lt;=0,Project_Register!$AP$20,F570+Project_Register!$AP$20),Project_Register!$AT$20)</f>
        <v>332000</v>
      </c>
      <c r="G571" s="58" t="n">
        <f aca="false">IF(G$5="A",IF(G570+Project_Register!$AP$20&lt;=0,Project_Register!$AP$20,G570+Project_Register!$AP$20),Project_Register!$AT$20)</f>
        <v>332000</v>
      </c>
      <c r="H571" s="58" t="n">
        <f aca="false">IF(H$5="A",IF(H570+Project_Register!$AP$20&lt;=0,Project_Register!$AP$20,H570+Project_Register!$AP$20),Project_Register!$AT$20)</f>
        <v>332000</v>
      </c>
      <c r="I571" s="58" t="n">
        <f aca="false">IF(I$5="A",IF(I570+Project_Register!$AP$20&lt;=0,Project_Register!$AP$20,I570+Project_Register!$AP$20),Project_Register!$AT$20)</f>
        <v>332000</v>
      </c>
      <c r="J571" s="58" t="n">
        <f aca="false">IF(J$5="A",IF(J570+Project_Register!$AP$20&lt;=0,Project_Register!$AP$20,J570+Project_Register!$AP$20),Project_Register!$AT$20)</f>
        <v>332000</v>
      </c>
      <c r="K571" s="58" t="n">
        <f aca="false">IF(K$5="A",IF(K570+Project_Register!$AP$20&lt;=0,Project_Register!$AP$20,K570+Project_Register!$AP$20),Project_Register!$AT$20)</f>
        <v>332000</v>
      </c>
      <c r="L571" s="58" t="n">
        <f aca="false">IF(L$5="A",IF(L570+Project_Register!$AP$20&lt;=0,Project_Register!$AP$20,L570+Project_Register!$AP$20),Project_Register!$AT$20)</f>
        <v>332000</v>
      </c>
      <c r="M571" s="58" t="n">
        <f aca="false">IF(M$5="A",IF(M570+Project_Register!$AP$20&lt;=0,Project_Register!$AP$20,M570+Project_Register!$AP$20),Project_Register!$AT$20)</f>
        <v>332000</v>
      </c>
      <c r="N571" s="58" t="n">
        <f aca="false">IF(N$5="A",IF(N570+Project_Register!$AP$20&lt;=0,Project_Register!$AP$20,N570+Project_Register!$AP$20),Project_Register!$AT$20)</f>
        <v>332000</v>
      </c>
      <c r="O571" s="58" t="n">
        <f aca="false">IF(O$5="A",IF(O570+Project_Register!$AP$20&lt;=0,Project_Register!$AP$20,O570+Project_Register!$AP$20),Project_Register!$AT$20)</f>
        <v>332000</v>
      </c>
      <c r="P571" s="58" t="n">
        <f aca="false">IF(P$5="A",IF(P570+Project_Register!$AP$20&lt;=0,Project_Register!$AP$20,P570+Project_Register!$AP$20),Project_Register!$AT$20)</f>
        <v>332000</v>
      </c>
      <c r="Q571" s="58" t="n">
        <f aca="false">IF(Q$5="A",IF(Q570+Project_Register!$AP$20&lt;=0,Project_Register!$AP$20,Q570+Project_Register!$AP$20),Project_Register!$AT$20)</f>
        <v>332000</v>
      </c>
      <c r="R571" s="58" t="n">
        <f aca="false">IF(R$5="A",IF(R570+Project_Register!$AP$20&lt;=0,Project_Register!$AP$20,R570+Project_Register!$AP$20),Project_Register!$AT$20)</f>
        <v>332000</v>
      </c>
      <c r="S571" s="58" t="n">
        <f aca="false">IF(S$5="A",IF(S570+Project_Register!$AP$20&lt;=0,Project_Register!$AP$20,S570+Project_Register!$AP$20),Project_Register!$AT$20)</f>
        <v>332000</v>
      </c>
      <c r="T571" s="58" t="n">
        <f aca="false">IF(T$5="A",IF(T570+Project_Register!$AP$20&lt;=0,Project_Register!$AP$20,T570+Project_Register!$AP$20),Project_Register!$AT$20)</f>
        <v>332000</v>
      </c>
      <c r="U571" s="58" t="n">
        <f aca="false">IF(U$5="A",IF(U570+Project_Register!$AP$20&lt;=0,Project_Register!$AP$20,U570+Project_Register!$AP$20),Project_Register!$AT$20)</f>
        <v>332000</v>
      </c>
      <c r="V571" s="58" t="n">
        <f aca="false">IF(V$5="A",IF(V570+Project_Register!$AP$20&lt;=0,Project_Register!$AP$20,V570+Project_Register!$AP$20),Project_Register!$AT$20)</f>
        <v>332000</v>
      </c>
      <c r="W571" s="58" t="n">
        <f aca="false">IF(W$5="A",IF(W570+Project_Register!$AP$20&lt;=0,Project_Register!$AP$20,W570+Project_Register!$AP$20),Project_Register!$AT$20)</f>
        <v>332000</v>
      </c>
      <c r="X571" s="58" t="n">
        <f aca="false">IF(X$5="A",IF(X570+Project_Register!$AP$20&lt;=0,Project_Register!$AP$20,X570+Project_Register!$AP$20),Project_Register!$AT$20)</f>
        <v>332000</v>
      </c>
      <c r="Y571" s="58" t="n">
        <f aca="false">IF(Y$5="A",IF(Y570+Project_Register!$AP$20&lt;=0,Project_Register!$AP$20,Y570+Project_Register!$AP$20),Project_Register!$AT$20)</f>
        <v>332000</v>
      </c>
      <c r="Z571" s="58" t="n">
        <f aca="false">IF(Z$5="A",IF(Z570+Project_Register!$AP$20&lt;=0,Project_Register!$AP$20,Z570+Project_Register!$AP$20),Project_Register!$AT$20)</f>
        <v>332000</v>
      </c>
      <c r="AA571" s="58" t="n">
        <f aca="false">IF(AA$5="A",IF(AA570+Project_Register!$AP$20&lt;=0,Project_Register!$AP$20,AA570+Project_Register!$AP$20),Project_Register!$AT$20)</f>
        <v>332000</v>
      </c>
      <c r="AB571" s="58" t="n">
        <f aca="false">IF(AB$5="A",IF(AB570+Project_Register!$AP$20&lt;=0,Project_Register!$AP$20,AB570+Project_Register!$AP$20),Project_Register!$AT$20)</f>
        <v>332000</v>
      </c>
    </row>
    <row r="572" customFormat="false" ht="15" hidden="false" customHeight="false" outlineLevel="0" collapsed="false">
      <c r="A572" s="27" t="s">
        <v>733</v>
      </c>
      <c r="B572" s="56" t="s">
        <v>734</v>
      </c>
      <c r="C572" s="59" t="n">
        <f aca="false">P572</f>
        <v>0</v>
      </c>
      <c r="D572" s="59" t="n">
        <f aca="false">AB572</f>
        <v>0.801749271137026</v>
      </c>
      <c r="E572" s="60" t="n">
        <f aca="false">IF(E571&lt;=0,0,MIN(1,E570/E571))</f>
        <v>0</v>
      </c>
      <c r="F572" s="60" t="n">
        <f aca="false">IF(F571&lt;=0,0,MIN(1,F570/F571))</f>
        <v>0</v>
      </c>
      <c r="G572" s="60" t="n">
        <f aca="false">IF(G571&lt;=0,0,MIN(1,G570/G571))</f>
        <v>0</v>
      </c>
      <c r="H572" s="60" t="n">
        <f aca="false">IF(H571&lt;=0,0,MIN(1,H570/H571))</f>
        <v>0</v>
      </c>
      <c r="I572" s="60" t="n">
        <f aca="false">IF(I571&lt;=0,0,MIN(1,I570/I571))</f>
        <v>0</v>
      </c>
      <c r="J572" s="60" t="n">
        <f aca="false">IF(J571&lt;=0,0,MIN(1,J570/J571))</f>
        <v>0</v>
      </c>
      <c r="K572" s="60" t="n">
        <f aca="false">IF(K571&lt;=0,0,MIN(1,K570/K571))</f>
        <v>0</v>
      </c>
      <c r="L572" s="60" t="n">
        <f aca="false">IF(L571&lt;=0,0,MIN(1,L570/L571))</f>
        <v>0</v>
      </c>
      <c r="M572" s="60" t="n">
        <f aca="false">IF(M571&lt;=0,0,MIN(1,M570/M571))</f>
        <v>0</v>
      </c>
      <c r="N572" s="60" t="n">
        <f aca="false">IF(N571&lt;=0,0,MIN(1,N570/N571))</f>
        <v>0</v>
      </c>
      <c r="O572" s="60" t="n">
        <f aca="false">IF(O571&lt;=0,0,MIN(1,O570/O571))</f>
        <v>0</v>
      </c>
      <c r="P572" s="60" t="n">
        <f aca="false">IF(P571&lt;=0,0,MIN(1,P570/P571))</f>
        <v>0</v>
      </c>
      <c r="Q572" s="60" t="n">
        <f aca="false">IF(Q571&lt;=0,0,MIN(1,Q570/Q571))</f>
        <v>0</v>
      </c>
      <c r="R572" s="60" t="n">
        <f aca="false">IF(R571&lt;=0,0,MIN(1,R570/R571))</f>
        <v>0</v>
      </c>
      <c r="S572" s="60" t="n">
        <f aca="false">IF(S571&lt;=0,0,MIN(1,S570/S571))</f>
        <v>0</v>
      </c>
      <c r="T572" s="60" t="n">
        <f aca="false">IF(T571&lt;=0,0,MIN(1,T570/T571))</f>
        <v>0</v>
      </c>
      <c r="U572" s="60" t="n">
        <f aca="false">IF(U571&lt;=0,0,MIN(1,U570/U571))</f>
        <v>0</v>
      </c>
      <c r="V572" s="60" t="n">
        <f aca="false">IF(V571&lt;=0,0,MIN(1,V570/V571))</f>
        <v>0</v>
      </c>
      <c r="W572" s="60" t="n">
        <f aca="false">IF(W571&lt;=0,0,MIN(1,W570/W571))</f>
        <v>0</v>
      </c>
      <c r="X572" s="60" t="n">
        <f aca="false">IF(X571&lt;=0,0,MIN(1,X570/X571))</f>
        <v>0.0553935860058309</v>
      </c>
      <c r="Y572" s="60" t="n">
        <f aca="false">IF(Y571&lt;=0,0,MIN(1,Y570/Y571))</f>
        <v>0.198250728862974</v>
      </c>
      <c r="Z572" s="60" t="n">
        <f aca="false">IF(Z571&lt;=0,0,MIN(1,Z570/Z571))</f>
        <v>0.393586005830904</v>
      </c>
      <c r="AA572" s="60" t="n">
        <f aca="false">IF(AA571&lt;=0,0,MIN(1,AA570/AA571))</f>
        <v>0.606413994169096</v>
      </c>
      <c r="AB572" s="60" t="n">
        <f aca="false">IF(AB571&lt;=0,0,MIN(1,AB570/AB571))</f>
        <v>0.801749271137026</v>
      </c>
    </row>
    <row r="573" customFormat="false" ht="15" hidden="false" customHeight="false" outlineLevel="0" collapsed="false">
      <c r="A573" s="27" t="s">
        <v>735</v>
      </c>
      <c r="B573" s="56" t="s">
        <v>736</v>
      </c>
      <c r="C573" s="57" t="n">
        <f aca="false">P573</f>
        <v>0</v>
      </c>
      <c r="D573" s="57" t="n">
        <f aca="false">AB573</f>
        <v>0</v>
      </c>
      <c r="E573" s="58" t="n">
        <f aca="false">SUMIFS(Variations!$H$6:$H$21,Variations!$B$6:$B$21,"CF-P05",Variations!$F$6:$F$21,"Approved",Variations!$G$6:$G$21,"&lt;="&amp;Assumptions!E$95)</f>
        <v>0</v>
      </c>
      <c r="F573" s="58" t="n">
        <f aca="false">SUMIFS(Variations!$H$6:$H$21,Variations!$B$6:$B$21,"CF-P05",Variations!$F$6:$F$21,"Approved",Variations!$G$6:$G$21,"&lt;="&amp;Assumptions!F$95)</f>
        <v>0</v>
      </c>
      <c r="G573" s="58" t="n">
        <f aca="false">SUMIFS(Variations!$H$6:$H$21,Variations!$B$6:$B$21,"CF-P05",Variations!$F$6:$F$21,"Approved",Variations!$G$6:$G$21,"&lt;="&amp;Assumptions!G$95)</f>
        <v>0</v>
      </c>
      <c r="H573" s="58" t="n">
        <f aca="false">SUMIFS(Variations!$H$6:$H$21,Variations!$B$6:$B$21,"CF-P05",Variations!$F$6:$F$21,"Approved",Variations!$G$6:$G$21,"&lt;="&amp;Assumptions!H$95)</f>
        <v>0</v>
      </c>
      <c r="I573" s="58" t="n">
        <f aca="false">SUMIFS(Variations!$H$6:$H$21,Variations!$B$6:$B$21,"CF-P05",Variations!$F$6:$F$21,"Approved",Variations!$G$6:$G$21,"&lt;="&amp;Assumptions!I$95)</f>
        <v>0</v>
      </c>
      <c r="J573" s="58" t="n">
        <f aca="false">SUMIFS(Variations!$H$6:$H$21,Variations!$B$6:$B$21,"CF-P05",Variations!$F$6:$F$21,"Approved",Variations!$G$6:$G$21,"&lt;="&amp;Assumptions!J$95)</f>
        <v>0</v>
      </c>
      <c r="K573" s="58" t="n">
        <f aca="false">SUMIFS(Variations!$H$6:$H$21,Variations!$B$6:$B$21,"CF-P05",Variations!$F$6:$F$21,"Approved",Variations!$G$6:$G$21,"&lt;="&amp;Assumptions!K$95)</f>
        <v>0</v>
      </c>
      <c r="L573" s="58" t="n">
        <f aca="false">SUMIFS(Variations!$H$6:$H$21,Variations!$B$6:$B$21,"CF-P05",Variations!$F$6:$F$21,"Approved",Variations!$G$6:$G$21,"&lt;="&amp;Assumptions!L$95)</f>
        <v>0</v>
      </c>
      <c r="M573" s="58" t="n">
        <f aca="false">SUMIFS(Variations!$H$6:$H$21,Variations!$B$6:$B$21,"CF-P05",Variations!$F$6:$F$21,"Approved",Variations!$G$6:$G$21,"&lt;="&amp;Assumptions!M$95)</f>
        <v>0</v>
      </c>
      <c r="N573" s="58" t="n">
        <f aca="false">SUMIFS(Variations!$H$6:$H$21,Variations!$B$6:$B$21,"CF-P05",Variations!$F$6:$F$21,"Approved",Variations!$G$6:$G$21,"&lt;="&amp;Assumptions!N$95)</f>
        <v>0</v>
      </c>
      <c r="O573" s="58" t="n">
        <f aca="false">SUMIFS(Variations!$H$6:$H$21,Variations!$B$6:$B$21,"CF-P05",Variations!$F$6:$F$21,"Approved",Variations!$G$6:$G$21,"&lt;="&amp;Assumptions!O$95)</f>
        <v>0</v>
      </c>
      <c r="P573" s="58" t="n">
        <f aca="false">SUMIFS(Variations!$H$6:$H$21,Variations!$B$6:$B$21,"CF-P05",Variations!$F$6:$F$21,"Approved",Variations!$G$6:$G$21,"&lt;="&amp;Assumptions!P$95)</f>
        <v>0</v>
      </c>
      <c r="Q573" s="58" t="n">
        <f aca="false">SUMIFS(Variations!$H$6:$H$21,Variations!$B$6:$B$21,"CF-P05",Variations!$F$6:$F$21,"Approved",Variations!$G$6:$G$21,"&lt;="&amp;Assumptions!Q$95)</f>
        <v>0</v>
      </c>
      <c r="R573" s="58" t="n">
        <f aca="false">SUMIFS(Variations!$H$6:$H$21,Variations!$B$6:$B$21,"CF-P05",Variations!$F$6:$F$21,"Approved",Variations!$G$6:$G$21,"&lt;="&amp;Assumptions!R$95)</f>
        <v>0</v>
      </c>
      <c r="S573" s="58" t="n">
        <f aca="false">SUMIFS(Variations!$H$6:$H$21,Variations!$B$6:$B$21,"CF-P05",Variations!$F$6:$F$21,"Approved",Variations!$G$6:$G$21,"&lt;="&amp;Assumptions!S$95)</f>
        <v>0</v>
      </c>
      <c r="T573" s="58" t="n">
        <f aca="false">SUMIFS(Variations!$H$6:$H$21,Variations!$B$6:$B$21,"CF-P05",Variations!$F$6:$F$21,"Approved",Variations!$G$6:$G$21,"&lt;="&amp;Assumptions!T$95)</f>
        <v>0</v>
      </c>
      <c r="U573" s="58" t="n">
        <f aca="false">SUMIFS(Variations!$H$6:$H$21,Variations!$B$6:$B$21,"CF-P05",Variations!$F$6:$F$21,"Approved",Variations!$G$6:$G$21,"&lt;="&amp;Assumptions!U$95)</f>
        <v>0</v>
      </c>
      <c r="V573" s="58" t="n">
        <f aca="false">SUMIFS(Variations!$H$6:$H$21,Variations!$B$6:$B$21,"CF-P05",Variations!$F$6:$F$21,"Approved",Variations!$G$6:$G$21,"&lt;="&amp;Assumptions!V$95)</f>
        <v>0</v>
      </c>
      <c r="W573" s="58" t="n">
        <f aca="false">SUMIFS(Variations!$H$6:$H$21,Variations!$B$6:$B$21,"CF-P05",Variations!$F$6:$F$21,"Approved",Variations!$G$6:$G$21,"&lt;="&amp;Assumptions!W$95)</f>
        <v>0</v>
      </c>
      <c r="X573" s="58" t="n">
        <f aca="false">SUMIFS(Variations!$H$6:$H$21,Variations!$B$6:$B$21,"CF-P05",Variations!$F$6:$F$21,"Approved",Variations!$G$6:$G$21,"&lt;="&amp;Assumptions!X$95)</f>
        <v>0</v>
      </c>
      <c r="Y573" s="58" t="n">
        <f aca="false">SUMIFS(Variations!$H$6:$H$21,Variations!$B$6:$B$21,"CF-P05",Variations!$F$6:$F$21,"Approved",Variations!$G$6:$G$21,"&lt;="&amp;Assumptions!Y$95)</f>
        <v>0</v>
      </c>
      <c r="Z573" s="58" t="n">
        <f aca="false">SUMIFS(Variations!$H$6:$H$21,Variations!$B$6:$B$21,"CF-P05",Variations!$F$6:$F$21,"Approved",Variations!$G$6:$G$21,"&lt;="&amp;Assumptions!Z$95)</f>
        <v>0</v>
      </c>
      <c r="AA573" s="58" t="n">
        <f aca="false">SUMIFS(Variations!$H$6:$H$21,Variations!$B$6:$B$21,"CF-P05",Variations!$F$6:$F$21,"Approved",Variations!$G$6:$G$21,"&lt;="&amp;Assumptions!AA$95)</f>
        <v>0</v>
      </c>
      <c r="AB573" s="58" t="n">
        <f aca="false">SUMIFS(Variations!$H$6:$H$21,Variations!$B$6:$B$21,"CF-P05",Variations!$F$6:$F$21,"Approved",Variations!$G$6:$G$21,"&lt;="&amp;Assumptions!AB$95)</f>
        <v>0</v>
      </c>
    </row>
    <row r="574" customFormat="false" ht="15" hidden="false" customHeight="false" outlineLevel="0" collapsed="false">
      <c r="A574" s="27" t="s">
        <v>737</v>
      </c>
      <c r="B574" s="56"/>
      <c r="C574" s="57" t="n">
        <f aca="false">P574</f>
        <v>0</v>
      </c>
      <c r="D574" s="57" t="n">
        <f aca="false">AB574</f>
        <v>0</v>
      </c>
      <c r="E574" s="58" t="n">
        <f aca="false">SUMIFS(Variations!$E$6:$E$21,Variations!$B$6:$B$21,"CF-P05",Variations!$D$6:$D$21,"&lt;="&amp;Assumptions!E$95,Variations!$G$6:$G$21,"&gt;"&amp;Assumptions!E$95)</f>
        <v>0</v>
      </c>
      <c r="F574" s="58" t="n">
        <f aca="false">SUMIFS(Variations!$E$6:$E$21,Variations!$B$6:$B$21,"CF-P05",Variations!$D$6:$D$21,"&lt;="&amp;Assumptions!F$95,Variations!$G$6:$G$21,"&gt;"&amp;Assumptions!F$95)</f>
        <v>0</v>
      </c>
      <c r="G574" s="58" t="n">
        <f aca="false">SUMIFS(Variations!$E$6:$E$21,Variations!$B$6:$B$21,"CF-P05",Variations!$D$6:$D$21,"&lt;="&amp;Assumptions!G$95,Variations!$G$6:$G$21,"&gt;"&amp;Assumptions!G$95)</f>
        <v>0</v>
      </c>
      <c r="H574" s="58" t="n">
        <f aca="false">SUMIFS(Variations!$E$6:$E$21,Variations!$B$6:$B$21,"CF-P05",Variations!$D$6:$D$21,"&lt;="&amp;Assumptions!H$95,Variations!$G$6:$G$21,"&gt;"&amp;Assumptions!H$95)</f>
        <v>0</v>
      </c>
      <c r="I574" s="58" t="n">
        <f aca="false">SUMIFS(Variations!$E$6:$E$21,Variations!$B$6:$B$21,"CF-P05",Variations!$D$6:$D$21,"&lt;="&amp;Assumptions!I$95,Variations!$G$6:$G$21,"&gt;"&amp;Assumptions!I$95)</f>
        <v>0</v>
      </c>
      <c r="J574" s="58" t="n">
        <f aca="false">SUMIFS(Variations!$E$6:$E$21,Variations!$B$6:$B$21,"CF-P05",Variations!$D$6:$D$21,"&lt;="&amp;Assumptions!J$95,Variations!$G$6:$G$21,"&gt;"&amp;Assumptions!J$95)</f>
        <v>0</v>
      </c>
      <c r="K574" s="58" t="n">
        <f aca="false">SUMIFS(Variations!$E$6:$E$21,Variations!$B$6:$B$21,"CF-P05",Variations!$D$6:$D$21,"&lt;="&amp;Assumptions!K$95,Variations!$G$6:$G$21,"&gt;"&amp;Assumptions!K$95)</f>
        <v>0</v>
      </c>
      <c r="L574" s="58" t="n">
        <f aca="false">SUMIFS(Variations!$E$6:$E$21,Variations!$B$6:$B$21,"CF-P05",Variations!$D$6:$D$21,"&lt;="&amp;Assumptions!L$95,Variations!$G$6:$G$21,"&gt;"&amp;Assumptions!L$95)</f>
        <v>0</v>
      </c>
      <c r="M574" s="58" t="n">
        <f aca="false">SUMIFS(Variations!$E$6:$E$21,Variations!$B$6:$B$21,"CF-P05",Variations!$D$6:$D$21,"&lt;="&amp;Assumptions!M$95,Variations!$G$6:$G$21,"&gt;"&amp;Assumptions!M$95)</f>
        <v>0</v>
      </c>
      <c r="N574" s="58" t="n">
        <f aca="false">SUMIFS(Variations!$E$6:$E$21,Variations!$B$6:$B$21,"CF-P05",Variations!$D$6:$D$21,"&lt;="&amp;Assumptions!N$95,Variations!$G$6:$G$21,"&gt;"&amp;Assumptions!N$95)</f>
        <v>0</v>
      </c>
      <c r="O574" s="58" t="n">
        <f aca="false">SUMIFS(Variations!$E$6:$E$21,Variations!$B$6:$B$21,"CF-P05",Variations!$D$6:$D$21,"&lt;="&amp;Assumptions!O$95,Variations!$G$6:$G$21,"&gt;"&amp;Assumptions!O$95)</f>
        <v>0</v>
      </c>
      <c r="P574" s="58" t="n">
        <f aca="false">SUMIFS(Variations!$E$6:$E$21,Variations!$B$6:$B$21,"CF-P05",Variations!$D$6:$D$21,"&lt;="&amp;Assumptions!P$95,Variations!$G$6:$G$21,"&gt;"&amp;Assumptions!P$95)</f>
        <v>0</v>
      </c>
      <c r="Q574" s="58" t="n">
        <f aca="false">SUMIFS(Variations!$E$6:$E$21,Variations!$B$6:$B$21,"CF-P05",Variations!$D$6:$D$21,"&lt;="&amp;Assumptions!Q$95,Variations!$G$6:$G$21,"&gt;"&amp;Assumptions!Q$95)</f>
        <v>0</v>
      </c>
      <c r="R574" s="58" t="n">
        <f aca="false">SUMIFS(Variations!$E$6:$E$21,Variations!$B$6:$B$21,"CF-P05",Variations!$D$6:$D$21,"&lt;="&amp;Assumptions!R$95,Variations!$G$6:$G$21,"&gt;"&amp;Assumptions!R$95)</f>
        <v>0</v>
      </c>
      <c r="S574" s="58" t="n">
        <f aca="false">SUMIFS(Variations!$E$6:$E$21,Variations!$B$6:$B$21,"CF-P05",Variations!$D$6:$D$21,"&lt;="&amp;Assumptions!S$95,Variations!$G$6:$G$21,"&gt;"&amp;Assumptions!S$95)</f>
        <v>0</v>
      </c>
      <c r="T574" s="58" t="n">
        <f aca="false">SUMIFS(Variations!$E$6:$E$21,Variations!$B$6:$B$21,"CF-P05",Variations!$D$6:$D$21,"&lt;="&amp;Assumptions!T$95,Variations!$G$6:$G$21,"&gt;"&amp;Assumptions!T$95)</f>
        <v>0</v>
      </c>
      <c r="U574" s="58" t="n">
        <f aca="false">SUMIFS(Variations!$E$6:$E$21,Variations!$B$6:$B$21,"CF-P05",Variations!$D$6:$D$21,"&lt;="&amp;Assumptions!U$95,Variations!$G$6:$G$21,"&gt;"&amp;Assumptions!U$95)</f>
        <v>0</v>
      </c>
      <c r="V574" s="58" t="n">
        <f aca="false">SUMIFS(Variations!$E$6:$E$21,Variations!$B$6:$B$21,"CF-P05",Variations!$D$6:$D$21,"&lt;="&amp;Assumptions!V$95,Variations!$G$6:$G$21,"&gt;"&amp;Assumptions!V$95)</f>
        <v>0</v>
      </c>
      <c r="W574" s="58" t="n">
        <f aca="false">SUMIFS(Variations!$E$6:$E$21,Variations!$B$6:$B$21,"CF-P05",Variations!$D$6:$D$21,"&lt;="&amp;Assumptions!W$95,Variations!$G$6:$G$21,"&gt;"&amp;Assumptions!W$95)</f>
        <v>0</v>
      </c>
      <c r="X574" s="58" t="n">
        <f aca="false">SUMIFS(Variations!$E$6:$E$21,Variations!$B$6:$B$21,"CF-P05",Variations!$D$6:$D$21,"&lt;="&amp;Assumptions!X$95,Variations!$G$6:$G$21,"&gt;"&amp;Assumptions!X$95)</f>
        <v>0</v>
      </c>
      <c r="Y574" s="58" t="n">
        <f aca="false">SUMIFS(Variations!$E$6:$E$21,Variations!$B$6:$B$21,"CF-P05",Variations!$D$6:$D$21,"&lt;="&amp;Assumptions!Y$95,Variations!$G$6:$G$21,"&gt;"&amp;Assumptions!Y$95)</f>
        <v>0</v>
      </c>
      <c r="Z574" s="58" t="n">
        <f aca="false">SUMIFS(Variations!$E$6:$E$21,Variations!$B$6:$B$21,"CF-P05",Variations!$D$6:$D$21,"&lt;="&amp;Assumptions!Z$95,Variations!$G$6:$G$21,"&gt;"&amp;Assumptions!Z$95)</f>
        <v>0</v>
      </c>
      <c r="AA574" s="58" t="n">
        <f aca="false">SUMIFS(Variations!$E$6:$E$21,Variations!$B$6:$B$21,"CF-P05",Variations!$D$6:$D$21,"&lt;="&amp;Assumptions!AA$95,Variations!$G$6:$G$21,"&gt;"&amp;Assumptions!AA$95)</f>
        <v>0</v>
      </c>
      <c r="AB574" s="58" t="n">
        <f aca="false">SUMIFS(Variations!$E$6:$E$21,Variations!$B$6:$B$21,"CF-P05",Variations!$D$6:$D$21,"&lt;="&amp;Assumptions!AB$95,Variations!$G$6:$G$21,"&gt;"&amp;Assumptions!AB$95)</f>
        <v>0</v>
      </c>
    </row>
    <row r="575" customFormat="false" ht="15" hidden="false" customHeight="false" outlineLevel="0" collapsed="false">
      <c r="A575" s="27" t="s">
        <v>738</v>
      </c>
      <c r="B575" s="56"/>
      <c r="C575" s="57" t="n">
        <f aca="false">P575</f>
        <v>0</v>
      </c>
      <c r="D575" s="57" t="n">
        <f aca="false">AB575</f>
        <v>0</v>
      </c>
      <c r="E575" s="58" t="n">
        <f aca="false">SUMIFS(Variations!$E$6:$E$21,Variations!$B$6:$B$21,"CF-P05",Variations!$F$6:$F$21,"Pending",Variations!$G$6:$G$21,"&lt;="&amp;Assumptions!E$95)</f>
        <v>0</v>
      </c>
      <c r="F575" s="58" t="n">
        <f aca="false">SUMIFS(Variations!$E$6:$E$21,Variations!$B$6:$B$21,"CF-P05",Variations!$F$6:$F$21,"Pending",Variations!$G$6:$G$21,"&lt;="&amp;Assumptions!F$95)</f>
        <v>0</v>
      </c>
      <c r="G575" s="58" t="n">
        <f aca="false">SUMIFS(Variations!$E$6:$E$21,Variations!$B$6:$B$21,"CF-P05",Variations!$F$6:$F$21,"Pending",Variations!$G$6:$G$21,"&lt;="&amp;Assumptions!G$95)</f>
        <v>0</v>
      </c>
      <c r="H575" s="58" t="n">
        <f aca="false">SUMIFS(Variations!$E$6:$E$21,Variations!$B$6:$B$21,"CF-P05",Variations!$F$6:$F$21,"Pending",Variations!$G$6:$G$21,"&lt;="&amp;Assumptions!H$95)</f>
        <v>0</v>
      </c>
      <c r="I575" s="58" t="n">
        <f aca="false">SUMIFS(Variations!$E$6:$E$21,Variations!$B$6:$B$21,"CF-P05",Variations!$F$6:$F$21,"Pending",Variations!$G$6:$G$21,"&lt;="&amp;Assumptions!I$95)</f>
        <v>0</v>
      </c>
      <c r="J575" s="58" t="n">
        <f aca="false">SUMIFS(Variations!$E$6:$E$21,Variations!$B$6:$B$21,"CF-P05",Variations!$F$6:$F$21,"Pending",Variations!$G$6:$G$21,"&lt;="&amp;Assumptions!J$95)</f>
        <v>0</v>
      </c>
      <c r="K575" s="58" t="n">
        <f aca="false">SUMIFS(Variations!$E$6:$E$21,Variations!$B$6:$B$21,"CF-P05",Variations!$F$6:$F$21,"Pending",Variations!$G$6:$G$21,"&lt;="&amp;Assumptions!K$95)</f>
        <v>0</v>
      </c>
      <c r="L575" s="58" t="n">
        <f aca="false">SUMIFS(Variations!$E$6:$E$21,Variations!$B$6:$B$21,"CF-P05",Variations!$F$6:$F$21,"Pending",Variations!$G$6:$G$21,"&lt;="&amp;Assumptions!L$95)</f>
        <v>0</v>
      </c>
      <c r="M575" s="58" t="n">
        <f aca="false">SUMIFS(Variations!$E$6:$E$21,Variations!$B$6:$B$21,"CF-P05",Variations!$F$6:$F$21,"Pending",Variations!$G$6:$G$21,"&lt;="&amp;Assumptions!M$95)</f>
        <v>0</v>
      </c>
      <c r="N575" s="58" t="n">
        <f aca="false">SUMIFS(Variations!$E$6:$E$21,Variations!$B$6:$B$21,"CF-P05",Variations!$F$6:$F$21,"Pending",Variations!$G$6:$G$21,"&lt;="&amp;Assumptions!N$95)</f>
        <v>0</v>
      </c>
      <c r="O575" s="58" t="n">
        <f aca="false">SUMIFS(Variations!$E$6:$E$21,Variations!$B$6:$B$21,"CF-P05",Variations!$F$6:$F$21,"Pending",Variations!$G$6:$G$21,"&lt;="&amp;Assumptions!O$95)</f>
        <v>0</v>
      </c>
      <c r="P575" s="58" t="n">
        <f aca="false">SUMIFS(Variations!$E$6:$E$21,Variations!$B$6:$B$21,"CF-P05",Variations!$F$6:$F$21,"Pending",Variations!$G$6:$G$21,"&lt;="&amp;Assumptions!P$95)</f>
        <v>0</v>
      </c>
      <c r="Q575" s="58" t="n">
        <f aca="false">SUMIFS(Variations!$E$6:$E$21,Variations!$B$6:$B$21,"CF-P05",Variations!$F$6:$F$21,"Pending",Variations!$G$6:$G$21,"&lt;="&amp;Assumptions!Q$95)</f>
        <v>0</v>
      </c>
      <c r="R575" s="58" t="n">
        <f aca="false">SUMIFS(Variations!$E$6:$E$21,Variations!$B$6:$B$21,"CF-P05",Variations!$F$6:$F$21,"Pending",Variations!$G$6:$G$21,"&lt;="&amp;Assumptions!R$95)</f>
        <v>0</v>
      </c>
      <c r="S575" s="58" t="n">
        <f aca="false">SUMIFS(Variations!$E$6:$E$21,Variations!$B$6:$B$21,"CF-P05",Variations!$F$6:$F$21,"Pending",Variations!$G$6:$G$21,"&lt;="&amp;Assumptions!S$95)</f>
        <v>0</v>
      </c>
      <c r="T575" s="58" t="n">
        <f aca="false">SUMIFS(Variations!$E$6:$E$21,Variations!$B$6:$B$21,"CF-P05",Variations!$F$6:$F$21,"Pending",Variations!$G$6:$G$21,"&lt;="&amp;Assumptions!T$95)</f>
        <v>0</v>
      </c>
      <c r="U575" s="58" t="n">
        <f aca="false">SUMIFS(Variations!$E$6:$E$21,Variations!$B$6:$B$21,"CF-P05",Variations!$F$6:$F$21,"Pending",Variations!$G$6:$G$21,"&lt;="&amp;Assumptions!U$95)</f>
        <v>0</v>
      </c>
      <c r="V575" s="58" t="n">
        <f aca="false">SUMIFS(Variations!$E$6:$E$21,Variations!$B$6:$B$21,"CF-P05",Variations!$F$6:$F$21,"Pending",Variations!$G$6:$G$21,"&lt;="&amp;Assumptions!V$95)</f>
        <v>0</v>
      </c>
      <c r="W575" s="58" t="n">
        <f aca="false">SUMIFS(Variations!$E$6:$E$21,Variations!$B$6:$B$21,"CF-P05",Variations!$F$6:$F$21,"Pending",Variations!$G$6:$G$21,"&lt;="&amp;Assumptions!W$95)</f>
        <v>0</v>
      </c>
      <c r="X575" s="58" t="n">
        <f aca="false">SUMIFS(Variations!$E$6:$E$21,Variations!$B$6:$B$21,"CF-P05",Variations!$F$6:$F$21,"Pending",Variations!$G$6:$G$21,"&lt;="&amp;Assumptions!X$95)</f>
        <v>0</v>
      </c>
      <c r="Y575" s="58" t="n">
        <f aca="false">SUMIFS(Variations!$E$6:$E$21,Variations!$B$6:$B$21,"CF-P05",Variations!$F$6:$F$21,"Pending",Variations!$G$6:$G$21,"&lt;="&amp;Assumptions!Y$95)</f>
        <v>0</v>
      </c>
      <c r="Z575" s="58" t="n">
        <f aca="false">SUMIFS(Variations!$E$6:$E$21,Variations!$B$6:$B$21,"CF-P05",Variations!$F$6:$F$21,"Pending",Variations!$G$6:$G$21,"&lt;="&amp;Assumptions!Z$95)</f>
        <v>0</v>
      </c>
      <c r="AA575" s="58" t="n">
        <f aca="false">SUMIFS(Variations!$E$6:$E$21,Variations!$B$6:$B$21,"CF-P05",Variations!$F$6:$F$21,"Pending",Variations!$G$6:$G$21,"&lt;="&amp;Assumptions!AA$95)</f>
        <v>0</v>
      </c>
      <c r="AB575" s="58" t="n">
        <f aca="false">SUMIFS(Variations!$E$6:$E$21,Variations!$B$6:$B$21,"CF-P05",Variations!$F$6:$F$21,"Pending",Variations!$G$6:$G$21,"&lt;="&amp;Assumptions!AB$95)</f>
        <v>0</v>
      </c>
    </row>
    <row r="576" customFormat="false" ht="15" hidden="false" customHeight="false" outlineLevel="0" collapsed="false">
      <c r="A576" s="27" t="s">
        <v>739</v>
      </c>
      <c r="B576" s="56" t="s">
        <v>740</v>
      </c>
      <c r="C576" s="57" t="n">
        <f aca="false">P576</f>
        <v>384000</v>
      </c>
      <c r="D576" s="57" t="n">
        <f aca="false">AB576</f>
        <v>384000</v>
      </c>
      <c r="E576" s="58" t="n">
        <f aca="false">Project_Register!$AO$20+E573+Assumptions!$C$74*E574+Assumptions!$F$121*E575</f>
        <v>384000</v>
      </c>
      <c r="F576" s="58" t="n">
        <f aca="false">Project_Register!$AO$20+F573+Assumptions!$C$74*F574+Assumptions!$F$121*F575</f>
        <v>384000</v>
      </c>
      <c r="G576" s="58" t="n">
        <f aca="false">Project_Register!$AO$20+G573+Assumptions!$C$74*G574+Assumptions!$F$121*G575</f>
        <v>384000</v>
      </c>
      <c r="H576" s="58" t="n">
        <f aca="false">Project_Register!$AO$20+H573+Assumptions!$C$74*H574+Assumptions!$F$121*H575</f>
        <v>384000</v>
      </c>
      <c r="I576" s="58" t="n">
        <f aca="false">Project_Register!$AO$20+I573+Assumptions!$C$74*I574+Assumptions!$F$121*I575</f>
        <v>384000</v>
      </c>
      <c r="J576" s="58" t="n">
        <f aca="false">Project_Register!$AO$20+J573+Assumptions!$C$74*J574+Assumptions!$F$121*J575</f>
        <v>384000</v>
      </c>
      <c r="K576" s="58" t="n">
        <f aca="false">Project_Register!$AO$20+K573+Assumptions!$C$74*K574+Assumptions!$F$121*K575</f>
        <v>384000</v>
      </c>
      <c r="L576" s="58" t="n">
        <f aca="false">Project_Register!$AO$20+L573+Assumptions!$C$74*L574+Assumptions!$F$121*L575</f>
        <v>384000</v>
      </c>
      <c r="M576" s="58" t="n">
        <f aca="false">Project_Register!$AO$20+M573+Assumptions!$C$74*M574+Assumptions!$F$121*M575</f>
        <v>384000</v>
      </c>
      <c r="N576" s="58" t="n">
        <f aca="false">Project_Register!$AO$20+N573+Assumptions!$C$74*N574+Assumptions!$F$121*N575</f>
        <v>384000</v>
      </c>
      <c r="O576" s="58" t="n">
        <f aca="false">Project_Register!$AO$20+O573+Assumptions!$C$74*O574+Assumptions!$F$121*O575</f>
        <v>384000</v>
      </c>
      <c r="P576" s="58" t="n">
        <f aca="false">Project_Register!$AO$20+P573+Assumptions!$C$74*P574+Assumptions!$F$121*P575</f>
        <v>384000</v>
      </c>
      <c r="Q576" s="58" t="n">
        <f aca="false">Project_Register!$AO$20+Q573+Assumptions!$C$74*Q574+Assumptions!$F$121*Q575</f>
        <v>384000</v>
      </c>
      <c r="R576" s="58" t="n">
        <f aca="false">Project_Register!$AO$20+R573+Assumptions!$C$74*R574+Assumptions!$F$121*R575</f>
        <v>384000</v>
      </c>
      <c r="S576" s="58" t="n">
        <f aca="false">Project_Register!$AO$20+S573+Assumptions!$C$74*S574+Assumptions!$F$121*S575</f>
        <v>384000</v>
      </c>
      <c r="T576" s="58" t="n">
        <f aca="false">Project_Register!$AO$20+T573+Assumptions!$C$74*T574+Assumptions!$F$121*T575</f>
        <v>384000</v>
      </c>
      <c r="U576" s="58" t="n">
        <f aca="false">Project_Register!$AO$20+U573+Assumptions!$C$74*U574+Assumptions!$F$121*U575</f>
        <v>384000</v>
      </c>
      <c r="V576" s="58" t="n">
        <f aca="false">Project_Register!$AO$20+V573+Assumptions!$C$74*V574+Assumptions!$F$121*V575</f>
        <v>384000</v>
      </c>
      <c r="W576" s="58" t="n">
        <f aca="false">Project_Register!$AO$20+W573+Assumptions!$C$74*W574+Assumptions!$F$121*W575</f>
        <v>384000</v>
      </c>
      <c r="X576" s="58" t="n">
        <f aca="false">Project_Register!$AO$20+X573+Assumptions!$C$74*X574+Assumptions!$F$121*X575</f>
        <v>384000</v>
      </c>
      <c r="Y576" s="58" t="n">
        <f aca="false">Project_Register!$AO$20+Y573+Assumptions!$C$74*Y574+Assumptions!$F$121*Y575</f>
        <v>384000</v>
      </c>
      <c r="Z576" s="58" t="n">
        <f aca="false">Project_Register!$AO$20+Z573+Assumptions!$C$74*Z574+Assumptions!$F$121*Z575</f>
        <v>384000</v>
      </c>
      <c r="AA576" s="58" t="n">
        <f aca="false">Project_Register!$AO$20+AA573+Assumptions!$C$74*AA574+Assumptions!$F$121*AA575</f>
        <v>384000</v>
      </c>
      <c r="AB576" s="58" t="n">
        <f aca="false">Project_Register!$AO$20+AB573+Assumptions!$C$74*AB574+Assumptions!$F$121*AB575</f>
        <v>384000</v>
      </c>
    </row>
    <row r="577" customFormat="false" ht="15" hidden="false" customHeight="false" outlineLevel="0" collapsed="false">
      <c r="A577" s="27" t="s">
        <v>741</v>
      </c>
      <c r="B577" s="56" t="s">
        <v>742</v>
      </c>
      <c r="C577" s="57" t="n">
        <f aca="false">P577</f>
        <v>0</v>
      </c>
      <c r="D577" s="57" t="n">
        <f aca="false">AB577</f>
        <v>307871.720116618</v>
      </c>
      <c r="E577" s="58" t="n">
        <f aca="false">IF(E$5="A",Project_Register!$AD$20+0,E572*E576)</f>
        <v>0</v>
      </c>
      <c r="F577" s="70" t="n">
        <f aca="false">IF(F$5="A",E577+0,F572*F576)</f>
        <v>0</v>
      </c>
      <c r="G577" s="70" t="n">
        <f aca="false">IF(G$5="A",F577+0,G572*G576)</f>
        <v>0</v>
      </c>
      <c r="H577" s="70" t="n">
        <f aca="false">IF(H$5="A",G577+0,H572*H576)</f>
        <v>0</v>
      </c>
      <c r="I577" s="70" t="n">
        <f aca="false">IF(I$5="A",H577+0,I572*I576)</f>
        <v>0</v>
      </c>
      <c r="J577" s="70" t="n">
        <f aca="false">IF(J$5="A",I577+0,J572*J576)</f>
        <v>0</v>
      </c>
      <c r="K577" s="70" t="n">
        <f aca="false">IF(K$5="A",J577+0,K572*K576)</f>
        <v>0</v>
      </c>
      <c r="L577" s="70" t="n">
        <f aca="false">IF(L$5="A",K577+0,L572*L576)</f>
        <v>0</v>
      </c>
      <c r="M577" s="70" t="n">
        <f aca="false">IF(M$5="A",L577+0,M572*M576)</f>
        <v>0</v>
      </c>
      <c r="N577" s="70" t="n">
        <f aca="false">IF(N$5="A",M577+0,N572*N576)</f>
        <v>0</v>
      </c>
      <c r="O577" s="70" t="n">
        <f aca="false">IF(O$5="A",N577+0,O572*O576)</f>
        <v>0</v>
      </c>
      <c r="P577" s="70" t="n">
        <f aca="false">IF(P$5="A",O577+0,P572*P576)</f>
        <v>0</v>
      </c>
      <c r="Q577" s="70" t="n">
        <f aca="false">IF(Q$5="A",P577+0,Q572*Q576)</f>
        <v>0</v>
      </c>
      <c r="R577" s="70" t="n">
        <f aca="false">IF(R$5="A",Q577+0,R572*R576)</f>
        <v>0</v>
      </c>
      <c r="S577" s="70" t="n">
        <f aca="false">IF(S$5="A",R577+0,S572*S576)</f>
        <v>0</v>
      </c>
      <c r="T577" s="70" t="n">
        <f aca="false">IF(T$5="A",S577+0,T572*T576)</f>
        <v>0</v>
      </c>
      <c r="U577" s="70" t="n">
        <f aca="false">IF(U$5="A",T577+0,U572*U576)</f>
        <v>0</v>
      </c>
      <c r="V577" s="70" t="n">
        <f aca="false">IF(V$5="A",U577+0,V572*V576)</f>
        <v>0</v>
      </c>
      <c r="W577" s="70" t="n">
        <f aca="false">IF(W$5="A",V577+0,W572*W576)</f>
        <v>0</v>
      </c>
      <c r="X577" s="70" t="n">
        <f aca="false">IF(X$5="A",W577+0,X572*X576)</f>
        <v>21271.1370262391</v>
      </c>
      <c r="Y577" s="70" t="n">
        <f aca="false">IF(Y$5="A",X577+0,Y572*Y576)</f>
        <v>76128.2798833819</v>
      </c>
      <c r="Z577" s="70" t="n">
        <f aca="false">IF(Z$5="A",Y577+0,Z572*Z576)</f>
        <v>151137.026239067</v>
      </c>
      <c r="AA577" s="70" t="n">
        <f aca="false">IF(AA$5="A",Z577+0,AA572*AA576)</f>
        <v>232862.973760933</v>
      </c>
      <c r="AB577" s="70" t="n">
        <f aca="false">IF(AB$5="A",AA577+0,AB572*AB576)</f>
        <v>307871.720116618</v>
      </c>
    </row>
    <row r="578" customFormat="false" ht="15" hidden="false" customHeight="false" outlineLevel="0" collapsed="false">
      <c r="A578" s="67" t="s">
        <v>743</v>
      </c>
      <c r="B578" s="68" t="s">
        <v>744</v>
      </c>
      <c r="C578" s="69" t="n">
        <f aca="false">SUM(E578:P578)</f>
        <v>0</v>
      </c>
      <c r="D578" s="69" t="n">
        <f aca="false">SUM(Q578:AB578)</f>
        <v>307871.720116618</v>
      </c>
      <c r="E578" s="74" t="n">
        <f aca="false">E577-Project_Register!$AD$20</f>
        <v>0</v>
      </c>
      <c r="F578" s="69" t="n">
        <f aca="false">F577-E577</f>
        <v>0</v>
      </c>
      <c r="G578" s="69" t="n">
        <f aca="false">G577-F577</f>
        <v>0</v>
      </c>
      <c r="H578" s="69" t="n">
        <f aca="false">H577-G577</f>
        <v>0</v>
      </c>
      <c r="I578" s="69" t="n">
        <f aca="false">I577-H577</f>
        <v>0</v>
      </c>
      <c r="J578" s="69" t="n">
        <f aca="false">J577-I577</f>
        <v>0</v>
      </c>
      <c r="K578" s="69" t="n">
        <f aca="false">K577-J577</f>
        <v>0</v>
      </c>
      <c r="L578" s="69" t="n">
        <f aca="false">L577-K577</f>
        <v>0</v>
      </c>
      <c r="M578" s="69" t="n">
        <f aca="false">M577-L577</f>
        <v>0</v>
      </c>
      <c r="N578" s="69" t="n">
        <f aca="false">N577-M577</f>
        <v>0</v>
      </c>
      <c r="O578" s="69" t="n">
        <f aca="false">O577-N577</f>
        <v>0</v>
      </c>
      <c r="P578" s="69" t="n">
        <f aca="false">P577-O577</f>
        <v>0</v>
      </c>
      <c r="Q578" s="69" t="n">
        <f aca="false">Q577-P577</f>
        <v>0</v>
      </c>
      <c r="R578" s="69" t="n">
        <f aca="false">R577-Q577</f>
        <v>0</v>
      </c>
      <c r="S578" s="69" t="n">
        <f aca="false">S577-R577</f>
        <v>0</v>
      </c>
      <c r="T578" s="69" t="n">
        <f aca="false">T577-S577</f>
        <v>0</v>
      </c>
      <c r="U578" s="69" t="n">
        <f aca="false">U577-T577</f>
        <v>0</v>
      </c>
      <c r="V578" s="69" t="n">
        <f aca="false">V577-U577</f>
        <v>0</v>
      </c>
      <c r="W578" s="69" t="n">
        <f aca="false">W577-V577</f>
        <v>0</v>
      </c>
      <c r="X578" s="69" t="n">
        <f aca="false">X577-W577</f>
        <v>21271.1370262391</v>
      </c>
      <c r="Y578" s="69" t="n">
        <f aca="false">Y577-X577</f>
        <v>54857.1428571429</v>
      </c>
      <c r="Z578" s="69" t="n">
        <f aca="false">Z577-Y577</f>
        <v>75008.7463556851</v>
      </c>
      <c r="AA578" s="69" t="n">
        <f aca="false">AA577-Z577</f>
        <v>81725.9475218659</v>
      </c>
      <c r="AB578" s="69" t="n">
        <f aca="false">AB577-AA577</f>
        <v>75008.7463556851</v>
      </c>
    </row>
    <row r="579" customFormat="false" ht="15" hidden="false" customHeight="false" outlineLevel="0" collapsed="false">
      <c r="A579" s="27" t="s">
        <v>745</v>
      </c>
      <c r="B579" s="56" t="s">
        <v>746</v>
      </c>
      <c r="C579" s="57" t="n">
        <f aca="false">P579</f>
        <v>0</v>
      </c>
      <c r="D579" s="57" t="n">
        <f aca="false">AB579</f>
        <v>0</v>
      </c>
      <c r="E579" s="70" t="n">
        <f aca="false">MAX(0,E571-E576)*(1-E572)</f>
        <v>0</v>
      </c>
      <c r="F579" s="70" t="n">
        <f aca="false">MAX(0,F571-F576)*(1-F572)</f>
        <v>0</v>
      </c>
      <c r="G579" s="70" t="n">
        <f aca="false">MAX(0,G571-G576)*(1-G572)</f>
        <v>0</v>
      </c>
      <c r="H579" s="70" t="n">
        <f aca="false">MAX(0,H571-H576)*(1-H572)</f>
        <v>0</v>
      </c>
      <c r="I579" s="70" t="n">
        <f aca="false">MAX(0,I571-I576)*(1-I572)</f>
        <v>0</v>
      </c>
      <c r="J579" s="70" t="n">
        <f aca="false">MAX(0,J571-J576)*(1-J572)</f>
        <v>0</v>
      </c>
      <c r="K579" s="70" t="n">
        <f aca="false">MAX(0,K571-K576)*(1-K572)</f>
        <v>0</v>
      </c>
      <c r="L579" s="70" t="n">
        <f aca="false">MAX(0,L571-L576)*(1-L572)</f>
        <v>0</v>
      </c>
      <c r="M579" s="70" t="n">
        <f aca="false">MAX(0,M571-M576)*(1-M572)</f>
        <v>0</v>
      </c>
      <c r="N579" s="70" t="n">
        <f aca="false">MAX(0,N571-N576)*(1-N572)</f>
        <v>0</v>
      </c>
      <c r="O579" s="70" t="n">
        <f aca="false">MAX(0,O571-O576)*(1-O572)</f>
        <v>0</v>
      </c>
      <c r="P579" s="70" t="n">
        <f aca="false">MAX(0,P571-P576)*(1-P572)</f>
        <v>0</v>
      </c>
      <c r="Q579" s="70" t="n">
        <f aca="false">MAX(0,Q571-Q576)*(1-Q572)</f>
        <v>0</v>
      </c>
      <c r="R579" s="70" t="n">
        <f aca="false">MAX(0,R571-R576)*(1-R572)</f>
        <v>0</v>
      </c>
      <c r="S579" s="70" t="n">
        <f aca="false">MAX(0,S571-S576)*(1-S572)</f>
        <v>0</v>
      </c>
      <c r="T579" s="70" t="n">
        <f aca="false">MAX(0,T571-T576)*(1-T572)</f>
        <v>0</v>
      </c>
      <c r="U579" s="70" t="n">
        <f aca="false">MAX(0,U571-U576)*(1-U572)</f>
        <v>0</v>
      </c>
      <c r="V579" s="70" t="n">
        <f aca="false">MAX(0,V571-V576)*(1-V572)</f>
        <v>0</v>
      </c>
      <c r="W579" s="70" t="n">
        <f aca="false">MAX(0,W571-W576)*(1-W572)</f>
        <v>0</v>
      </c>
      <c r="X579" s="70" t="n">
        <f aca="false">MAX(0,X571-X576)*(1-X572)</f>
        <v>0</v>
      </c>
      <c r="Y579" s="70" t="n">
        <f aca="false">MAX(0,Y571-Y576)*(1-Y572)</f>
        <v>0</v>
      </c>
      <c r="Z579" s="70" t="n">
        <f aca="false">MAX(0,Z571-Z576)*(1-Z572)</f>
        <v>0</v>
      </c>
      <c r="AA579" s="70" t="n">
        <f aca="false">MAX(0,AA571-AA576)*(1-AA572)</f>
        <v>0</v>
      </c>
      <c r="AB579" s="70" t="n">
        <f aca="false">MAX(0,AB571-AB576)*(1-AB572)</f>
        <v>0</v>
      </c>
    </row>
    <row r="580" customFormat="false" ht="15" hidden="false" customHeight="false" outlineLevel="0" collapsed="false">
      <c r="A580" s="27" t="s">
        <v>747</v>
      </c>
      <c r="B580" s="56"/>
      <c r="C580" s="57" t="n">
        <f aca="false">SUM(E580:P580)</f>
        <v>0</v>
      </c>
      <c r="D580" s="57" t="n">
        <f aca="false">SUM(Q580:AB580)</f>
        <v>0</v>
      </c>
      <c r="E580" s="70" t="n">
        <f aca="false">-(E579-0)</f>
        <v>-0</v>
      </c>
      <c r="F580" s="70" t="n">
        <f aca="false">-(F579-E579)</f>
        <v>-0</v>
      </c>
      <c r="G580" s="70" t="n">
        <f aca="false">-(G579-F579)</f>
        <v>-0</v>
      </c>
      <c r="H580" s="70" t="n">
        <f aca="false">-(H579-G579)</f>
        <v>-0</v>
      </c>
      <c r="I580" s="70" t="n">
        <f aca="false">-(I579-H579)</f>
        <v>-0</v>
      </c>
      <c r="J580" s="70" t="n">
        <f aca="false">-(J579-I579)</f>
        <v>-0</v>
      </c>
      <c r="K580" s="70" t="n">
        <f aca="false">-(K579-J579)</f>
        <v>-0</v>
      </c>
      <c r="L580" s="70" t="n">
        <f aca="false">-(L579-K579)</f>
        <v>-0</v>
      </c>
      <c r="M580" s="70" t="n">
        <f aca="false">-(M579-L579)</f>
        <v>-0</v>
      </c>
      <c r="N580" s="70" t="n">
        <f aca="false">-(N579-M579)</f>
        <v>-0</v>
      </c>
      <c r="O580" s="70" t="n">
        <f aca="false">-(O579-N579)</f>
        <v>-0</v>
      </c>
      <c r="P580" s="70" t="n">
        <f aca="false">-(P579-O579)</f>
        <v>-0</v>
      </c>
      <c r="Q580" s="70" t="n">
        <f aca="false">-(Q579-P579)</f>
        <v>-0</v>
      </c>
      <c r="R580" s="70" t="n">
        <f aca="false">-(R579-Q579)</f>
        <v>-0</v>
      </c>
      <c r="S580" s="70" t="n">
        <f aca="false">-(S579-R579)</f>
        <v>-0</v>
      </c>
      <c r="T580" s="70" t="n">
        <f aca="false">-(T579-S579)</f>
        <v>-0</v>
      </c>
      <c r="U580" s="70" t="n">
        <f aca="false">-(U579-T579)</f>
        <v>-0</v>
      </c>
      <c r="V580" s="70" t="n">
        <f aca="false">-(V579-U579)</f>
        <v>-0</v>
      </c>
      <c r="W580" s="70" t="n">
        <f aca="false">-(W579-V579)</f>
        <v>-0</v>
      </c>
      <c r="X580" s="70" t="n">
        <f aca="false">-(X579-W579)</f>
        <v>-0</v>
      </c>
      <c r="Y580" s="70" t="n">
        <f aca="false">-(Y579-X579)</f>
        <v>-0</v>
      </c>
      <c r="Z580" s="70" t="n">
        <f aca="false">-(Z579-Y579)</f>
        <v>-0</v>
      </c>
      <c r="AA580" s="70" t="n">
        <f aca="false">-(AA579-Z579)</f>
        <v>-0</v>
      </c>
      <c r="AB580" s="70" t="n">
        <f aca="false">-(AB579-AA579)</f>
        <v>-0</v>
      </c>
    </row>
    <row r="581" customFormat="false" ht="15" hidden="false" customHeight="false" outlineLevel="0" collapsed="false">
      <c r="A581" s="67" t="s">
        <v>748</v>
      </c>
      <c r="B581" s="68" t="s">
        <v>749</v>
      </c>
      <c r="C581" s="69" t="n">
        <f aca="false">SUM(E581:P581)</f>
        <v>0</v>
      </c>
      <c r="D581" s="69" t="n">
        <f aca="false">SUM(Q581:AB581)</f>
        <v>41690.9620991254</v>
      </c>
      <c r="E581" s="69" t="n">
        <f aca="false">E578-E569+E580</f>
        <v>0</v>
      </c>
      <c r="F581" s="69" t="n">
        <f aca="false">F578-F569+F580</f>
        <v>0</v>
      </c>
      <c r="G581" s="69" t="n">
        <f aca="false">G578-G569+G580</f>
        <v>0</v>
      </c>
      <c r="H581" s="69" t="n">
        <f aca="false">H578-H569+H580</f>
        <v>0</v>
      </c>
      <c r="I581" s="69" t="n">
        <f aca="false">I578-I569+I580</f>
        <v>0</v>
      </c>
      <c r="J581" s="69" t="n">
        <f aca="false">J578-J569+J580</f>
        <v>0</v>
      </c>
      <c r="K581" s="69" t="n">
        <f aca="false">K578-K569+K580</f>
        <v>0</v>
      </c>
      <c r="L581" s="69" t="n">
        <f aca="false">L578-L569+L580</f>
        <v>0</v>
      </c>
      <c r="M581" s="69" t="n">
        <f aca="false">M578-M569+M580</f>
        <v>0</v>
      </c>
      <c r="N581" s="69" t="n">
        <f aca="false">N578-N569+N580</f>
        <v>0</v>
      </c>
      <c r="O581" s="69" t="n">
        <f aca="false">O578-O569+O580</f>
        <v>0</v>
      </c>
      <c r="P581" s="69" t="n">
        <f aca="false">P578-P569+P580</f>
        <v>0</v>
      </c>
      <c r="Q581" s="69" t="n">
        <f aca="false">Q578-Q569+Q580</f>
        <v>0</v>
      </c>
      <c r="R581" s="69" t="n">
        <f aca="false">R578-R569+R580</f>
        <v>0</v>
      </c>
      <c r="S581" s="69" t="n">
        <f aca="false">S578-S569+S580</f>
        <v>0</v>
      </c>
      <c r="T581" s="69" t="n">
        <f aca="false">T578-T569+T580</f>
        <v>0</v>
      </c>
      <c r="U581" s="69" t="n">
        <f aca="false">U578-U569+U580</f>
        <v>0</v>
      </c>
      <c r="V581" s="69" t="n">
        <f aca="false">V578-V569+V580</f>
        <v>0</v>
      </c>
      <c r="W581" s="69" t="n">
        <f aca="false">W578-W569+W580</f>
        <v>0</v>
      </c>
      <c r="X581" s="69" t="n">
        <f aca="false">X578-X569+X580</f>
        <v>2880.46647230321</v>
      </c>
      <c r="Y581" s="69" t="n">
        <f aca="false">Y578-Y569+Y580</f>
        <v>7428.57142857143</v>
      </c>
      <c r="Z581" s="69" t="n">
        <f aca="false">Z578-Z569+Z580</f>
        <v>10157.4344023324</v>
      </c>
      <c r="AA581" s="69" t="n">
        <f aca="false">AA578-AA569+AA580</f>
        <v>11067.055393586</v>
      </c>
      <c r="AB581" s="69" t="n">
        <f aca="false">AB578-AB569+AB580</f>
        <v>10157.4344023324</v>
      </c>
    </row>
    <row r="582" customFormat="false" ht="15" hidden="false" customHeight="false" outlineLevel="0" collapsed="false">
      <c r="A582" s="27" t="s">
        <v>750</v>
      </c>
      <c r="B582" s="56"/>
      <c r="C582" s="57" t="n">
        <f aca="false">P582</f>
        <v>384000</v>
      </c>
      <c r="D582" s="57" t="n">
        <f aca="false">AB582</f>
        <v>384000</v>
      </c>
      <c r="E582" s="58" t="n">
        <f aca="false">Project_Register!$AO$20+E573+Assumptions!$F$121*E575</f>
        <v>384000</v>
      </c>
      <c r="F582" s="58" t="n">
        <f aca="false">Project_Register!$AO$20+F573+Assumptions!$F$121*F575</f>
        <v>384000</v>
      </c>
      <c r="G582" s="58" t="n">
        <f aca="false">Project_Register!$AO$20+G573+Assumptions!$F$121*G575</f>
        <v>384000</v>
      </c>
      <c r="H582" s="58" t="n">
        <f aca="false">Project_Register!$AO$20+H573+Assumptions!$F$121*H575</f>
        <v>384000</v>
      </c>
      <c r="I582" s="58" t="n">
        <f aca="false">Project_Register!$AO$20+I573+Assumptions!$F$121*I575</f>
        <v>384000</v>
      </c>
      <c r="J582" s="58" t="n">
        <f aca="false">Project_Register!$AO$20+J573+Assumptions!$F$121*J575</f>
        <v>384000</v>
      </c>
      <c r="K582" s="58" t="n">
        <f aca="false">Project_Register!$AO$20+K573+Assumptions!$F$121*K575</f>
        <v>384000</v>
      </c>
      <c r="L582" s="58" t="n">
        <f aca="false">Project_Register!$AO$20+L573+Assumptions!$F$121*L575</f>
        <v>384000</v>
      </c>
      <c r="M582" s="58" t="n">
        <f aca="false">Project_Register!$AO$20+M573+Assumptions!$F$121*M575</f>
        <v>384000</v>
      </c>
      <c r="N582" s="58" t="n">
        <f aca="false">Project_Register!$AO$20+N573+Assumptions!$F$121*N575</f>
        <v>384000</v>
      </c>
      <c r="O582" s="58" t="n">
        <f aca="false">Project_Register!$AO$20+O573+Assumptions!$F$121*O575</f>
        <v>384000</v>
      </c>
      <c r="P582" s="58" t="n">
        <f aca="false">Project_Register!$AO$20+P573+Assumptions!$F$121*P575</f>
        <v>384000</v>
      </c>
      <c r="Q582" s="58" t="n">
        <f aca="false">Project_Register!$AO$20+Q573+Assumptions!$F$121*Q575</f>
        <v>384000</v>
      </c>
      <c r="R582" s="58" t="n">
        <f aca="false">Project_Register!$AO$20+R573+Assumptions!$F$121*R575</f>
        <v>384000</v>
      </c>
      <c r="S582" s="58" t="n">
        <f aca="false">Project_Register!$AO$20+S573+Assumptions!$F$121*S575</f>
        <v>384000</v>
      </c>
      <c r="T582" s="58" t="n">
        <f aca="false">Project_Register!$AO$20+T573+Assumptions!$F$121*T575</f>
        <v>384000</v>
      </c>
      <c r="U582" s="58" t="n">
        <f aca="false">Project_Register!$AO$20+U573+Assumptions!$F$121*U575</f>
        <v>384000</v>
      </c>
      <c r="V582" s="58" t="n">
        <f aca="false">Project_Register!$AO$20+V573+Assumptions!$F$121*V575</f>
        <v>384000</v>
      </c>
      <c r="W582" s="58" t="n">
        <f aca="false">Project_Register!$AO$20+W573+Assumptions!$F$121*W575</f>
        <v>384000</v>
      </c>
      <c r="X582" s="58" t="n">
        <f aca="false">Project_Register!$AO$20+X573+Assumptions!$F$121*X575</f>
        <v>384000</v>
      </c>
      <c r="Y582" s="58" t="n">
        <f aca="false">Project_Register!$AO$20+Y573+Assumptions!$F$121*Y575</f>
        <v>384000</v>
      </c>
      <c r="Z582" s="58" t="n">
        <f aca="false">Project_Register!$AO$20+Z573+Assumptions!$F$121*Z575</f>
        <v>384000</v>
      </c>
      <c r="AA582" s="58" t="n">
        <f aca="false">Project_Register!$AO$20+AA573+Assumptions!$F$121*AA575</f>
        <v>384000</v>
      </c>
      <c r="AB582" s="58" t="n">
        <f aca="false">Project_Register!$AO$20+AB573+Assumptions!$F$121*AB575</f>
        <v>384000</v>
      </c>
    </row>
    <row r="583" customFormat="false" ht="15" hidden="false" customHeight="false" outlineLevel="0" collapsed="false">
      <c r="A583" s="27" t="s">
        <v>751</v>
      </c>
      <c r="B583" s="56" t="s">
        <v>752</v>
      </c>
      <c r="C583" s="57" t="n">
        <f aca="false">P583</f>
        <v>0</v>
      </c>
      <c r="D583" s="57" t="n">
        <f aca="false">AB583</f>
        <v>232862.973760933</v>
      </c>
      <c r="E583" s="58" t="n">
        <f aca="false">IF(E$5="A",Project_Register!$AE$20+0,IF(Assumptions!E$96&gt;=Project_Register!$AM$20,E582,MIN(E582,MAX(Project_Register!$AE$20,0*E582))))</f>
        <v>0</v>
      </c>
      <c r="F583" s="58" t="n">
        <f aca="false">IF(F$5="A",E583+0,IF(Assumptions!F$96&gt;=Project_Register!$AM$20,F582,MIN(F582,MAX(E583,E572*F582))))</f>
        <v>0</v>
      </c>
      <c r="G583" s="58" t="n">
        <f aca="false">IF(G$5="A",F583+0,IF(Assumptions!G$96&gt;=Project_Register!$AM$20,G582,MIN(G582,MAX(F583,F572*G582))))</f>
        <v>0</v>
      </c>
      <c r="H583" s="58" t="n">
        <f aca="false">IF(H$5="A",G583+0,IF(Assumptions!H$96&gt;=Project_Register!$AM$20,H582,MIN(H582,MAX(G583,G572*H582))))</f>
        <v>0</v>
      </c>
      <c r="I583" s="58" t="n">
        <f aca="false">IF(I$5="A",H583+0,IF(Assumptions!I$96&gt;=Project_Register!$AM$20,I582,MIN(I582,MAX(H583,H572*I582))))</f>
        <v>0</v>
      </c>
      <c r="J583" s="58" t="n">
        <f aca="false">IF(J$5="A",I583+0,IF(Assumptions!J$96&gt;=Project_Register!$AM$20,J582,MIN(J582,MAX(I583,I572*J582))))</f>
        <v>0</v>
      </c>
      <c r="K583" s="58" t="n">
        <f aca="false">IF(K$5="A",J583+0,IF(Assumptions!K$96&gt;=Project_Register!$AM$20,K582,MIN(K582,MAX(J583,J572*K582))))</f>
        <v>0</v>
      </c>
      <c r="L583" s="58" t="n">
        <f aca="false">IF(L$5="A",K583+0,IF(Assumptions!L$96&gt;=Project_Register!$AM$20,L582,MIN(L582,MAX(K583,K572*L582))))</f>
        <v>0</v>
      </c>
      <c r="M583" s="58" t="n">
        <f aca="false">IF(M$5="A",L583+0,IF(Assumptions!M$96&gt;=Project_Register!$AM$20,M582,MIN(M582,MAX(L583,L572*M582))))</f>
        <v>0</v>
      </c>
      <c r="N583" s="58" t="n">
        <f aca="false">IF(N$5="A",M583+0,IF(Assumptions!N$96&gt;=Project_Register!$AM$20,N582,MIN(N582,MAX(M583,M572*N582))))</f>
        <v>0</v>
      </c>
      <c r="O583" s="58" t="n">
        <f aca="false">IF(O$5="A",N583+0,IF(Assumptions!O$96&gt;=Project_Register!$AM$20,O582,MIN(O582,MAX(N583,N572*O582))))</f>
        <v>0</v>
      </c>
      <c r="P583" s="58" t="n">
        <f aca="false">IF(P$5="A",O583+0,IF(Assumptions!P$96&gt;=Project_Register!$AM$20,P582,MIN(P582,MAX(O583,O572*P582))))</f>
        <v>0</v>
      </c>
      <c r="Q583" s="58" t="n">
        <f aca="false">IF(Q$5="A",P583+0,IF(Assumptions!Q$96&gt;=Project_Register!$AM$20,Q582,MIN(Q582,MAX(P583,P572*Q582))))</f>
        <v>0</v>
      </c>
      <c r="R583" s="58" t="n">
        <f aca="false">IF(R$5="A",Q583+0,IF(Assumptions!R$96&gt;=Project_Register!$AM$20,R582,MIN(R582,MAX(Q583,Q572*R582))))</f>
        <v>0</v>
      </c>
      <c r="S583" s="58" t="n">
        <f aca="false">IF(S$5="A",R583+0,IF(Assumptions!S$96&gt;=Project_Register!$AM$20,S582,MIN(S582,MAX(R583,R572*S582))))</f>
        <v>0</v>
      </c>
      <c r="T583" s="58" t="n">
        <f aca="false">IF(T$5="A",S583+0,IF(Assumptions!T$96&gt;=Project_Register!$AM$20,T582,MIN(T582,MAX(S583,S572*T582))))</f>
        <v>0</v>
      </c>
      <c r="U583" s="58" t="n">
        <f aca="false">IF(U$5="A",T583+0,IF(Assumptions!U$96&gt;=Project_Register!$AM$20,U582,MIN(U582,MAX(T583,T572*U582))))</f>
        <v>0</v>
      </c>
      <c r="V583" s="58" t="n">
        <f aca="false">IF(V$5="A",U583+0,IF(Assumptions!V$96&gt;=Project_Register!$AM$20,V582,MIN(V582,MAX(U583,U572*V582))))</f>
        <v>0</v>
      </c>
      <c r="W583" s="58" t="n">
        <f aca="false">IF(W$5="A",V583+0,IF(Assumptions!W$96&gt;=Project_Register!$AM$20,W582,MIN(W582,MAX(V583,V572*W582))))</f>
        <v>0</v>
      </c>
      <c r="X583" s="58" t="n">
        <f aca="false">IF(X$5="A",W583+0,IF(Assumptions!X$96&gt;=Project_Register!$AM$20,X582,MIN(X582,MAX(W583,W572*X582))))</f>
        <v>0</v>
      </c>
      <c r="Y583" s="58" t="n">
        <f aca="false">IF(Y$5="A",X583+0,IF(Assumptions!Y$96&gt;=Project_Register!$AM$20,Y582,MIN(Y582,MAX(X583,X572*Y582))))</f>
        <v>21271.1370262391</v>
      </c>
      <c r="Z583" s="58" t="n">
        <f aca="false">IF(Z$5="A",Y583+0,IF(Assumptions!Z$96&gt;=Project_Register!$AM$20,Z582,MIN(Z582,MAX(Y583,Y572*Z582))))</f>
        <v>76128.2798833819</v>
      </c>
      <c r="AA583" s="58" t="n">
        <f aca="false">IF(AA$5="A",Z583+0,IF(Assumptions!AA$96&gt;=Project_Register!$AM$20,AA582,MIN(AA582,MAX(Z583,Z572*AA582))))</f>
        <v>151137.026239067</v>
      </c>
      <c r="AB583" s="58" t="n">
        <f aca="false">IF(AB$5="A",AA583+0,IF(Assumptions!AB$96&gt;=Project_Register!$AM$20,AB582,MIN(AB582,MAX(AA583,AA572*AB582))))</f>
        <v>232862.973760933</v>
      </c>
    </row>
    <row r="584" customFormat="false" ht="15" hidden="false" customHeight="false" outlineLevel="0" collapsed="false">
      <c r="A584" s="27" t="s">
        <v>753</v>
      </c>
      <c r="B584" s="56"/>
      <c r="C584" s="57" t="n">
        <f aca="false">SUM(E584:P584)</f>
        <v>0</v>
      </c>
      <c r="D584" s="57" t="n">
        <f aca="false">SUM(Q584:AB584)</f>
        <v>232862.973760933</v>
      </c>
      <c r="E584" s="58" t="n">
        <f aca="false">E583-Project_Register!$AE$20</f>
        <v>0</v>
      </c>
      <c r="F584" s="70" t="n">
        <f aca="false">F583-E583</f>
        <v>0</v>
      </c>
      <c r="G584" s="70" t="n">
        <f aca="false">G583-F583</f>
        <v>0</v>
      </c>
      <c r="H584" s="70" t="n">
        <f aca="false">H583-G583</f>
        <v>0</v>
      </c>
      <c r="I584" s="70" t="n">
        <f aca="false">I583-H583</f>
        <v>0</v>
      </c>
      <c r="J584" s="70" t="n">
        <f aca="false">J583-I583</f>
        <v>0</v>
      </c>
      <c r="K584" s="70" t="n">
        <f aca="false">K583-J583</f>
        <v>0</v>
      </c>
      <c r="L584" s="70" t="n">
        <f aca="false">L583-K583</f>
        <v>0</v>
      </c>
      <c r="M584" s="70" t="n">
        <f aca="false">M583-L583</f>
        <v>0</v>
      </c>
      <c r="N584" s="70" t="n">
        <f aca="false">N583-M583</f>
        <v>0</v>
      </c>
      <c r="O584" s="70" t="n">
        <f aca="false">O583-N583</f>
        <v>0</v>
      </c>
      <c r="P584" s="70" t="n">
        <f aca="false">P583-O583</f>
        <v>0</v>
      </c>
      <c r="Q584" s="70" t="n">
        <f aca="false">Q583-P583</f>
        <v>0</v>
      </c>
      <c r="R584" s="70" t="n">
        <f aca="false">R583-Q583</f>
        <v>0</v>
      </c>
      <c r="S584" s="70" t="n">
        <f aca="false">S583-R583</f>
        <v>0</v>
      </c>
      <c r="T584" s="70" t="n">
        <f aca="false">T583-S583</f>
        <v>0</v>
      </c>
      <c r="U584" s="70" t="n">
        <f aca="false">U583-T583</f>
        <v>0</v>
      </c>
      <c r="V584" s="70" t="n">
        <f aca="false">V583-U583</f>
        <v>0</v>
      </c>
      <c r="W584" s="70" t="n">
        <f aca="false">W583-V583</f>
        <v>0</v>
      </c>
      <c r="X584" s="70" t="n">
        <f aca="false">X583-W583</f>
        <v>0</v>
      </c>
      <c r="Y584" s="70" t="n">
        <f aca="false">Y583-X583</f>
        <v>21271.1370262391</v>
      </c>
      <c r="Z584" s="70" t="n">
        <f aca="false">Z583-Y583</f>
        <v>54857.1428571429</v>
      </c>
      <c r="AA584" s="70" t="n">
        <f aca="false">AA583-Z583</f>
        <v>75008.7463556851</v>
      </c>
      <c r="AB584" s="70" t="n">
        <f aca="false">AB583-AA583</f>
        <v>81725.9475218659</v>
      </c>
    </row>
    <row r="585" customFormat="false" ht="15" hidden="false" customHeight="false" outlineLevel="0" collapsed="false">
      <c r="A585" s="27" t="s">
        <v>754</v>
      </c>
      <c r="B585" s="56" t="s">
        <v>755</v>
      </c>
      <c r="C585" s="57" t="n">
        <f aca="false">P585</f>
        <v>0</v>
      </c>
      <c r="D585" s="57" t="n">
        <f aca="false">AB585</f>
        <v>11643.1486880466</v>
      </c>
      <c r="E585" s="58" t="n">
        <f aca="false">Project_Register!$Q$20*E583*(1-Project_Register!$R$20*(Assumptions!E$96&gt;=Project_Register!$AK$20+1)-(1-Project_Register!$R$20)*(Assumptions!E$96&gt;=Project_Register!$AN$20))</f>
        <v>0</v>
      </c>
      <c r="F585" s="58" t="n">
        <f aca="false">Project_Register!$Q$20*F583*(1-Project_Register!$R$20*(Assumptions!F$96&gt;=Project_Register!$AK$20+1)-(1-Project_Register!$R$20)*(Assumptions!F$96&gt;=Project_Register!$AN$20))</f>
        <v>0</v>
      </c>
      <c r="G585" s="58" t="n">
        <f aca="false">Project_Register!$Q$20*G583*(1-Project_Register!$R$20*(Assumptions!G$96&gt;=Project_Register!$AK$20+1)-(1-Project_Register!$R$20)*(Assumptions!G$96&gt;=Project_Register!$AN$20))</f>
        <v>0</v>
      </c>
      <c r="H585" s="58" t="n">
        <f aca="false">Project_Register!$Q$20*H583*(1-Project_Register!$R$20*(Assumptions!H$96&gt;=Project_Register!$AK$20+1)-(1-Project_Register!$R$20)*(Assumptions!H$96&gt;=Project_Register!$AN$20))</f>
        <v>0</v>
      </c>
      <c r="I585" s="58" t="n">
        <f aca="false">Project_Register!$Q$20*I583*(1-Project_Register!$R$20*(Assumptions!I$96&gt;=Project_Register!$AK$20+1)-(1-Project_Register!$R$20)*(Assumptions!I$96&gt;=Project_Register!$AN$20))</f>
        <v>0</v>
      </c>
      <c r="J585" s="58" t="n">
        <f aca="false">Project_Register!$Q$20*J583*(1-Project_Register!$R$20*(Assumptions!J$96&gt;=Project_Register!$AK$20+1)-(1-Project_Register!$R$20)*(Assumptions!J$96&gt;=Project_Register!$AN$20))</f>
        <v>0</v>
      </c>
      <c r="K585" s="58" t="n">
        <f aca="false">Project_Register!$Q$20*K583*(1-Project_Register!$R$20*(Assumptions!K$96&gt;=Project_Register!$AK$20+1)-(1-Project_Register!$R$20)*(Assumptions!K$96&gt;=Project_Register!$AN$20))</f>
        <v>0</v>
      </c>
      <c r="L585" s="58" t="n">
        <f aca="false">Project_Register!$Q$20*L583*(1-Project_Register!$R$20*(Assumptions!L$96&gt;=Project_Register!$AK$20+1)-(1-Project_Register!$R$20)*(Assumptions!L$96&gt;=Project_Register!$AN$20))</f>
        <v>0</v>
      </c>
      <c r="M585" s="58" t="n">
        <f aca="false">Project_Register!$Q$20*M583*(1-Project_Register!$R$20*(Assumptions!M$96&gt;=Project_Register!$AK$20+1)-(1-Project_Register!$R$20)*(Assumptions!M$96&gt;=Project_Register!$AN$20))</f>
        <v>0</v>
      </c>
      <c r="N585" s="58" t="n">
        <f aca="false">Project_Register!$Q$20*N583*(1-Project_Register!$R$20*(Assumptions!N$96&gt;=Project_Register!$AK$20+1)-(1-Project_Register!$R$20)*(Assumptions!N$96&gt;=Project_Register!$AN$20))</f>
        <v>0</v>
      </c>
      <c r="O585" s="58" t="n">
        <f aca="false">Project_Register!$Q$20*O583*(1-Project_Register!$R$20*(Assumptions!O$96&gt;=Project_Register!$AK$20+1)-(1-Project_Register!$R$20)*(Assumptions!O$96&gt;=Project_Register!$AN$20))</f>
        <v>0</v>
      </c>
      <c r="P585" s="58" t="n">
        <f aca="false">Project_Register!$Q$20*P583*(1-Project_Register!$R$20*(Assumptions!P$96&gt;=Project_Register!$AK$20+1)-(1-Project_Register!$R$20)*(Assumptions!P$96&gt;=Project_Register!$AN$20))</f>
        <v>0</v>
      </c>
      <c r="Q585" s="58" t="n">
        <f aca="false">Project_Register!$Q$20*Q583*(1-Project_Register!$R$20*(Assumptions!Q$96&gt;=Project_Register!$AK$20+1)-(1-Project_Register!$R$20)*(Assumptions!Q$96&gt;=Project_Register!$AN$20))</f>
        <v>0</v>
      </c>
      <c r="R585" s="58" t="n">
        <f aca="false">Project_Register!$Q$20*R583*(1-Project_Register!$R$20*(Assumptions!R$96&gt;=Project_Register!$AK$20+1)-(1-Project_Register!$R$20)*(Assumptions!R$96&gt;=Project_Register!$AN$20))</f>
        <v>0</v>
      </c>
      <c r="S585" s="58" t="n">
        <f aca="false">Project_Register!$Q$20*S583*(1-Project_Register!$R$20*(Assumptions!S$96&gt;=Project_Register!$AK$20+1)-(1-Project_Register!$R$20)*(Assumptions!S$96&gt;=Project_Register!$AN$20))</f>
        <v>0</v>
      </c>
      <c r="T585" s="58" t="n">
        <f aca="false">Project_Register!$Q$20*T583*(1-Project_Register!$R$20*(Assumptions!T$96&gt;=Project_Register!$AK$20+1)-(1-Project_Register!$R$20)*(Assumptions!T$96&gt;=Project_Register!$AN$20))</f>
        <v>0</v>
      </c>
      <c r="U585" s="58" t="n">
        <f aca="false">Project_Register!$Q$20*U583*(1-Project_Register!$R$20*(Assumptions!U$96&gt;=Project_Register!$AK$20+1)-(1-Project_Register!$R$20)*(Assumptions!U$96&gt;=Project_Register!$AN$20))</f>
        <v>0</v>
      </c>
      <c r="V585" s="58" t="n">
        <f aca="false">Project_Register!$Q$20*V583*(1-Project_Register!$R$20*(Assumptions!V$96&gt;=Project_Register!$AK$20+1)-(1-Project_Register!$R$20)*(Assumptions!V$96&gt;=Project_Register!$AN$20))</f>
        <v>0</v>
      </c>
      <c r="W585" s="58" t="n">
        <f aca="false">Project_Register!$Q$20*W583*(1-Project_Register!$R$20*(Assumptions!W$96&gt;=Project_Register!$AK$20+1)-(1-Project_Register!$R$20)*(Assumptions!W$96&gt;=Project_Register!$AN$20))</f>
        <v>0</v>
      </c>
      <c r="X585" s="58" t="n">
        <f aca="false">Project_Register!$Q$20*X583*(1-Project_Register!$R$20*(Assumptions!X$96&gt;=Project_Register!$AK$20+1)-(1-Project_Register!$R$20)*(Assumptions!X$96&gt;=Project_Register!$AN$20))</f>
        <v>0</v>
      </c>
      <c r="Y585" s="58" t="n">
        <f aca="false">Project_Register!$Q$20*Y583*(1-Project_Register!$R$20*(Assumptions!Y$96&gt;=Project_Register!$AK$20+1)-(1-Project_Register!$R$20)*(Assumptions!Y$96&gt;=Project_Register!$AN$20))</f>
        <v>1063.55685131195</v>
      </c>
      <c r="Z585" s="58" t="n">
        <f aca="false">Project_Register!$Q$20*Z583*(1-Project_Register!$R$20*(Assumptions!Z$96&gt;=Project_Register!$AK$20+1)-(1-Project_Register!$R$20)*(Assumptions!Z$96&gt;=Project_Register!$AN$20))</f>
        <v>3806.4139941691</v>
      </c>
      <c r="AA585" s="58" t="n">
        <f aca="false">Project_Register!$Q$20*AA583*(1-Project_Register!$R$20*(Assumptions!AA$96&gt;=Project_Register!$AK$20+1)-(1-Project_Register!$R$20)*(Assumptions!AA$96&gt;=Project_Register!$AN$20))</f>
        <v>7556.85131195335</v>
      </c>
      <c r="AB585" s="58" t="n">
        <f aca="false">Project_Register!$Q$20*AB583*(1-Project_Register!$R$20*(Assumptions!AB$96&gt;=Project_Register!$AK$20+1)-(1-Project_Register!$R$20)*(Assumptions!AB$96&gt;=Project_Register!$AN$20))</f>
        <v>11643.1486880466</v>
      </c>
    </row>
    <row r="586" customFormat="false" ht="15" hidden="false" customHeight="false" outlineLevel="0" collapsed="false">
      <c r="A586" s="27" t="s">
        <v>756</v>
      </c>
      <c r="B586" s="56"/>
      <c r="C586" s="57" t="n">
        <f aca="false">SUM(E586:P586)</f>
        <v>0</v>
      </c>
      <c r="D586" s="57" t="n">
        <f aca="false">SUM(Q586:AB586)</f>
        <v>11643.1486880466</v>
      </c>
      <c r="E586" s="58" t="n">
        <f aca="false">E585-Project_Register!$AW$20</f>
        <v>0</v>
      </c>
      <c r="F586" s="70" t="n">
        <f aca="false">F585-E585</f>
        <v>0</v>
      </c>
      <c r="G586" s="70" t="n">
        <f aca="false">G585-F585</f>
        <v>0</v>
      </c>
      <c r="H586" s="70" t="n">
        <f aca="false">H585-G585</f>
        <v>0</v>
      </c>
      <c r="I586" s="70" t="n">
        <f aca="false">I585-H585</f>
        <v>0</v>
      </c>
      <c r="J586" s="70" t="n">
        <f aca="false">J585-I585</f>
        <v>0</v>
      </c>
      <c r="K586" s="70" t="n">
        <f aca="false">K585-J585</f>
        <v>0</v>
      </c>
      <c r="L586" s="70" t="n">
        <f aca="false">L585-K585</f>
        <v>0</v>
      </c>
      <c r="M586" s="70" t="n">
        <f aca="false">M585-L585</f>
        <v>0</v>
      </c>
      <c r="N586" s="70" t="n">
        <f aca="false">N585-M585</f>
        <v>0</v>
      </c>
      <c r="O586" s="70" t="n">
        <f aca="false">O585-N585</f>
        <v>0</v>
      </c>
      <c r="P586" s="70" t="n">
        <f aca="false">P585-O585</f>
        <v>0</v>
      </c>
      <c r="Q586" s="70" t="n">
        <f aca="false">Q585-P585</f>
        <v>0</v>
      </c>
      <c r="R586" s="70" t="n">
        <f aca="false">R585-Q585</f>
        <v>0</v>
      </c>
      <c r="S586" s="70" t="n">
        <f aca="false">S585-R585</f>
        <v>0</v>
      </c>
      <c r="T586" s="70" t="n">
        <f aca="false">T585-S585</f>
        <v>0</v>
      </c>
      <c r="U586" s="70" t="n">
        <f aca="false">U585-T585</f>
        <v>0</v>
      </c>
      <c r="V586" s="70" t="n">
        <f aca="false">V585-U585</f>
        <v>0</v>
      </c>
      <c r="W586" s="70" t="n">
        <f aca="false">W585-V585</f>
        <v>0</v>
      </c>
      <c r="X586" s="70" t="n">
        <f aca="false">X585-W585</f>
        <v>0</v>
      </c>
      <c r="Y586" s="70" t="n">
        <f aca="false">Y585-X585</f>
        <v>1063.55685131195</v>
      </c>
      <c r="Z586" s="70" t="n">
        <f aca="false">Z585-Y585</f>
        <v>2742.85714285714</v>
      </c>
      <c r="AA586" s="70" t="n">
        <f aca="false">AA585-Z585</f>
        <v>3750.43731778426</v>
      </c>
      <c r="AB586" s="70" t="n">
        <f aca="false">AB585-AA585</f>
        <v>4086.29737609329</v>
      </c>
    </row>
    <row r="587" customFormat="false" ht="15" hidden="false" customHeight="false" outlineLevel="0" collapsed="false">
      <c r="A587" s="27" t="s">
        <v>757</v>
      </c>
      <c r="B587" s="56"/>
      <c r="C587" s="57" t="n">
        <f aca="false">SUM(E587:P587)</f>
        <v>0</v>
      </c>
      <c r="D587" s="57" t="n">
        <f aca="false">SUM(Q587:AB587)</f>
        <v>221219.825072886</v>
      </c>
      <c r="E587" s="70" t="n">
        <f aca="false">E584-E586</f>
        <v>0</v>
      </c>
      <c r="F587" s="70" t="n">
        <f aca="false">F584-F586</f>
        <v>0</v>
      </c>
      <c r="G587" s="70" t="n">
        <f aca="false">G584-G586</f>
        <v>0</v>
      </c>
      <c r="H587" s="70" t="n">
        <f aca="false">H584-H586</f>
        <v>0</v>
      </c>
      <c r="I587" s="70" t="n">
        <f aca="false">I584-I586</f>
        <v>0</v>
      </c>
      <c r="J587" s="70" t="n">
        <f aca="false">J584-J586</f>
        <v>0</v>
      </c>
      <c r="K587" s="70" t="n">
        <f aca="false">K584-K586</f>
        <v>0</v>
      </c>
      <c r="L587" s="70" t="n">
        <f aca="false">L584-L586</f>
        <v>0</v>
      </c>
      <c r="M587" s="70" t="n">
        <f aca="false">M584-M586</f>
        <v>0</v>
      </c>
      <c r="N587" s="70" t="n">
        <f aca="false">N584-N586</f>
        <v>0</v>
      </c>
      <c r="O587" s="70" t="n">
        <f aca="false">O584-O586</f>
        <v>0</v>
      </c>
      <c r="P587" s="70" t="n">
        <f aca="false">P584-P586</f>
        <v>0</v>
      </c>
      <c r="Q587" s="70" t="n">
        <f aca="false">Q584-Q586</f>
        <v>0</v>
      </c>
      <c r="R587" s="70" t="n">
        <f aca="false">R584-R586</f>
        <v>0</v>
      </c>
      <c r="S587" s="70" t="n">
        <f aca="false">S584-S586</f>
        <v>0</v>
      </c>
      <c r="T587" s="70" t="n">
        <f aca="false">T584-T586</f>
        <v>0</v>
      </c>
      <c r="U587" s="70" t="n">
        <f aca="false">U584-U586</f>
        <v>0</v>
      </c>
      <c r="V587" s="70" t="n">
        <f aca="false">V584-V586</f>
        <v>0</v>
      </c>
      <c r="W587" s="70" t="n">
        <f aca="false">W584-W586</f>
        <v>0</v>
      </c>
      <c r="X587" s="70" t="n">
        <f aca="false">X584-X586</f>
        <v>0</v>
      </c>
      <c r="Y587" s="70" t="n">
        <f aca="false">Y584-Y586</f>
        <v>20207.5801749271</v>
      </c>
      <c r="Z587" s="70" t="n">
        <f aca="false">Z584-Z586</f>
        <v>52114.2857142857</v>
      </c>
      <c r="AA587" s="70" t="n">
        <f aca="false">AA584-AA586</f>
        <v>71258.3090379009</v>
      </c>
      <c r="AB587" s="70" t="n">
        <f aca="false">AB584-AB586</f>
        <v>77639.6501457726</v>
      </c>
    </row>
    <row r="588" customFormat="false" ht="15" hidden="false" customHeight="false" outlineLevel="0" collapsed="false">
      <c r="A588" s="27" t="s">
        <v>758</v>
      </c>
      <c r="B588" s="56" t="s">
        <v>759</v>
      </c>
      <c r="C588" s="57" t="n">
        <f aca="false">SUM(E588:P588)</f>
        <v>0</v>
      </c>
      <c r="D588" s="57" t="n">
        <f aca="false">SUM(Q588:AB588)</f>
        <v>29864.6763848397</v>
      </c>
      <c r="E588" s="58" t="n">
        <f aca="false">E587*Project_Register!$W$20</f>
        <v>0</v>
      </c>
      <c r="F588" s="58" t="n">
        <f aca="false">F587*Project_Register!$W$20</f>
        <v>0</v>
      </c>
      <c r="G588" s="58" t="n">
        <f aca="false">G587*Project_Register!$W$20</f>
        <v>0</v>
      </c>
      <c r="H588" s="58" t="n">
        <f aca="false">H587*Project_Register!$W$20</f>
        <v>0</v>
      </c>
      <c r="I588" s="58" t="n">
        <f aca="false">I587*Project_Register!$W$20</f>
        <v>0</v>
      </c>
      <c r="J588" s="58" t="n">
        <f aca="false">J587*Project_Register!$W$20</f>
        <v>0</v>
      </c>
      <c r="K588" s="58" t="n">
        <f aca="false">K587*Project_Register!$W$20</f>
        <v>0</v>
      </c>
      <c r="L588" s="58" t="n">
        <f aca="false">L587*Project_Register!$W$20</f>
        <v>0</v>
      </c>
      <c r="M588" s="58" t="n">
        <f aca="false">M587*Project_Register!$W$20</f>
        <v>0</v>
      </c>
      <c r="N588" s="58" t="n">
        <f aca="false">N587*Project_Register!$W$20</f>
        <v>0</v>
      </c>
      <c r="O588" s="58" t="n">
        <f aca="false">O587*Project_Register!$W$20</f>
        <v>0</v>
      </c>
      <c r="P588" s="58" t="n">
        <f aca="false">P587*Project_Register!$W$20</f>
        <v>0</v>
      </c>
      <c r="Q588" s="58" t="n">
        <f aca="false">Q587*Project_Register!$W$20</f>
        <v>0</v>
      </c>
      <c r="R588" s="58" t="n">
        <f aca="false">R587*Project_Register!$W$20</f>
        <v>0</v>
      </c>
      <c r="S588" s="58" t="n">
        <f aca="false">S587*Project_Register!$W$20</f>
        <v>0</v>
      </c>
      <c r="T588" s="58" t="n">
        <f aca="false">T587*Project_Register!$W$20</f>
        <v>0</v>
      </c>
      <c r="U588" s="58" t="n">
        <f aca="false">U587*Project_Register!$W$20</f>
        <v>0</v>
      </c>
      <c r="V588" s="58" t="n">
        <f aca="false">V587*Project_Register!$W$20</f>
        <v>0</v>
      </c>
      <c r="W588" s="58" t="n">
        <f aca="false">W587*Project_Register!$W$20</f>
        <v>0</v>
      </c>
      <c r="X588" s="58" t="n">
        <f aca="false">X587*Project_Register!$W$20</f>
        <v>0</v>
      </c>
      <c r="Y588" s="58" t="n">
        <f aca="false">Y587*Project_Register!$W$20</f>
        <v>2728.02332361516</v>
      </c>
      <c r="Z588" s="58" t="n">
        <f aca="false">Z587*Project_Register!$W$20</f>
        <v>7035.42857142857</v>
      </c>
      <c r="AA588" s="58" t="n">
        <f aca="false">AA587*Project_Register!$W$20</f>
        <v>9619.87172011662</v>
      </c>
      <c r="AB588" s="58" t="n">
        <f aca="false">AB587*Project_Register!$W$20</f>
        <v>10481.3527696793</v>
      </c>
    </row>
    <row r="589" customFormat="false" ht="15" hidden="false" customHeight="false" outlineLevel="0" collapsed="false">
      <c r="A589" s="27" t="s">
        <v>760</v>
      </c>
      <c r="B589" s="56"/>
      <c r="C589" s="57" t="n">
        <f aca="false">SUM(E589:P589)</f>
        <v>0</v>
      </c>
      <c r="D589" s="57" t="n">
        <f aca="false">SUM(Q589:AB589)</f>
        <v>251084.501457726</v>
      </c>
      <c r="E589" s="70" t="n">
        <f aca="false">E587+E588</f>
        <v>0</v>
      </c>
      <c r="F589" s="70" t="n">
        <f aca="false">F587+F588</f>
        <v>0</v>
      </c>
      <c r="G589" s="70" t="n">
        <f aca="false">G587+G588</f>
        <v>0</v>
      </c>
      <c r="H589" s="70" t="n">
        <f aca="false">H587+H588</f>
        <v>0</v>
      </c>
      <c r="I589" s="70" t="n">
        <f aca="false">I587+I588</f>
        <v>0</v>
      </c>
      <c r="J589" s="70" t="n">
        <f aca="false">J587+J588</f>
        <v>0</v>
      </c>
      <c r="K589" s="70" t="n">
        <f aca="false">K587+K588</f>
        <v>0</v>
      </c>
      <c r="L589" s="70" t="n">
        <f aca="false">L587+L588</f>
        <v>0</v>
      </c>
      <c r="M589" s="70" t="n">
        <f aca="false">M587+M588</f>
        <v>0</v>
      </c>
      <c r="N589" s="70" t="n">
        <f aca="false">N587+N588</f>
        <v>0</v>
      </c>
      <c r="O589" s="70" t="n">
        <f aca="false">O587+O588</f>
        <v>0</v>
      </c>
      <c r="P589" s="70" t="n">
        <f aca="false">P587+P588</f>
        <v>0</v>
      </c>
      <c r="Q589" s="70" t="n">
        <f aca="false">Q587+Q588</f>
        <v>0</v>
      </c>
      <c r="R589" s="70" t="n">
        <f aca="false">R587+R588</f>
        <v>0</v>
      </c>
      <c r="S589" s="70" t="n">
        <f aca="false">S587+S588</f>
        <v>0</v>
      </c>
      <c r="T589" s="70" t="n">
        <f aca="false">T587+T588</f>
        <v>0</v>
      </c>
      <c r="U589" s="70" t="n">
        <f aca="false">U587+U588</f>
        <v>0</v>
      </c>
      <c r="V589" s="70" t="n">
        <f aca="false">V587+V588</f>
        <v>0</v>
      </c>
      <c r="W589" s="70" t="n">
        <f aca="false">W587+W588</f>
        <v>0</v>
      </c>
      <c r="X589" s="70" t="n">
        <f aca="false">X587+X588</f>
        <v>0</v>
      </c>
      <c r="Y589" s="70" t="n">
        <f aca="false">Y587+Y588</f>
        <v>22935.6034985423</v>
      </c>
      <c r="Z589" s="70" t="n">
        <f aca="false">Z587+Z588</f>
        <v>59149.7142857143</v>
      </c>
      <c r="AA589" s="70" t="n">
        <f aca="false">AA587+AA588</f>
        <v>80878.1807580175</v>
      </c>
      <c r="AB589" s="70" t="n">
        <f aca="false">AB587+AB588</f>
        <v>88121.0029154519</v>
      </c>
    </row>
    <row r="590" customFormat="false" ht="15" hidden="false" customHeight="false" outlineLevel="0" collapsed="false">
      <c r="A590" s="27" t="s">
        <v>761</v>
      </c>
      <c r="B590" s="56" t="s">
        <v>762</v>
      </c>
      <c r="C590" s="57" t="n">
        <f aca="false">SUM(E590:P590)</f>
        <v>0</v>
      </c>
      <c r="D590" s="57" t="n">
        <f aca="false">SUM(Q590:AB590)</f>
        <v>162963.498542274</v>
      </c>
      <c r="E590" s="58" t="n">
        <f aca="false">IF(E$5="A",0,Project_Register!$AF$20+E589-(E589*MIN(1,Project_Register!$AY$20/30)+0*MIN(1,MAX(0,(Project_Register!$AY$20-30)/30))))</f>
        <v>0</v>
      </c>
      <c r="F590" s="58" t="n">
        <f aca="false">IF(F$5="A",0,E591+F589-(F589*MIN(1,Project_Register!$AY$20/30)+E589*MIN(1,MAX(0,(Project_Register!$AY$20-30)/30))))</f>
        <v>0</v>
      </c>
      <c r="G590" s="58" t="n">
        <f aca="false">IF(G$5="A",0,F591+G589-(G589*MIN(1,Project_Register!$AY$20/30)+F589*MIN(1,MAX(0,(Project_Register!$AY$20-30)/30))))</f>
        <v>0</v>
      </c>
      <c r="H590" s="58" t="n">
        <f aca="false">IF(H$5="A",0,G591+H589-(H589*MIN(1,Project_Register!$AY$20/30)+G589*MIN(1,MAX(0,(Project_Register!$AY$20-30)/30))))</f>
        <v>0</v>
      </c>
      <c r="I590" s="58" t="n">
        <f aca="false">IF(I$5="A",0,H591+I589-(I589*MIN(1,Project_Register!$AY$20/30)+H589*MIN(1,MAX(0,(Project_Register!$AY$20-30)/30))))</f>
        <v>0</v>
      </c>
      <c r="J590" s="58" t="n">
        <f aca="false">IF(J$5="A",0,I591+J589-(J589*MIN(1,Project_Register!$AY$20/30)+I589*MIN(1,MAX(0,(Project_Register!$AY$20-30)/30))))</f>
        <v>0</v>
      </c>
      <c r="K590" s="58" t="n">
        <f aca="false">IF(K$5="A",0,J591+K589-(K589*MIN(1,Project_Register!$AY$20/30)+J589*MIN(1,MAX(0,(Project_Register!$AY$20-30)/30))))</f>
        <v>0</v>
      </c>
      <c r="L590" s="58" t="n">
        <f aca="false">IF(L$5="A",0,K591+L589-(L589*MIN(1,Project_Register!$AY$20/30)+K589*MIN(1,MAX(0,(Project_Register!$AY$20-30)/30))))</f>
        <v>0</v>
      </c>
      <c r="M590" s="58" t="n">
        <f aca="false">IF(M$5="A",0,L591+M589-(M589*MIN(1,Project_Register!$AY$20/30)+L589*MIN(1,MAX(0,(Project_Register!$AY$20-30)/30))))</f>
        <v>0</v>
      </c>
      <c r="N590" s="58" t="n">
        <f aca="false">IF(N$5="A",0,M591+N589-(N589*MIN(1,Project_Register!$AY$20/30)+M589*MIN(1,MAX(0,(Project_Register!$AY$20-30)/30))))</f>
        <v>0</v>
      </c>
      <c r="O590" s="58" t="n">
        <f aca="false">IF(O$5="A",0,N591+O589-(O589*MIN(1,Project_Register!$AY$20/30)+N589*MIN(1,MAX(0,(Project_Register!$AY$20-30)/30))))</f>
        <v>0</v>
      </c>
      <c r="P590" s="58" t="n">
        <f aca="false">IF(P$5="A",0,O591+P589-(P589*MIN(1,Project_Register!$AY$20/30)+O589*MIN(1,MAX(0,(Project_Register!$AY$20-30)/30))))</f>
        <v>0</v>
      </c>
      <c r="Q590" s="58" t="n">
        <f aca="false">IF(Q$5="A",0,P591+Q589-(Q589*MIN(1,Project_Register!$AY$20/30)+P589*MIN(1,MAX(0,(Project_Register!$AY$20-30)/30))))</f>
        <v>0</v>
      </c>
      <c r="R590" s="58" t="n">
        <f aca="false">IF(R$5="A",0,Q591+R589-(R589*MIN(1,Project_Register!$AY$20/30)+Q589*MIN(1,MAX(0,(Project_Register!$AY$20-30)/30))))</f>
        <v>0</v>
      </c>
      <c r="S590" s="58" t="n">
        <f aca="false">IF(S$5="A",0,R591+S589-(S589*MIN(1,Project_Register!$AY$20/30)+R589*MIN(1,MAX(0,(Project_Register!$AY$20-30)/30))))</f>
        <v>0</v>
      </c>
      <c r="T590" s="58" t="n">
        <f aca="false">IF(T$5="A",0,S591+T589-(T589*MIN(1,Project_Register!$AY$20/30)+S589*MIN(1,MAX(0,(Project_Register!$AY$20-30)/30))))</f>
        <v>0</v>
      </c>
      <c r="U590" s="58" t="n">
        <f aca="false">IF(U$5="A",0,T591+U589-(U589*MIN(1,Project_Register!$AY$20/30)+T589*MIN(1,MAX(0,(Project_Register!$AY$20-30)/30))))</f>
        <v>0</v>
      </c>
      <c r="V590" s="58" t="n">
        <f aca="false">IF(V$5="A",0,U591+V589-(V589*MIN(1,Project_Register!$AY$20/30)+U589*MIN(1,MAX(0,(Project_Register!$AY$20-30)/30))))</f>
        <v>0</v>
      </c>
      <c r="W590" s="58" t="n">
        <f aca="false">IF(W$5="A",0,V591+W589-(W589*MIN(1,Project_Register!$AY$20/30)+V589*MIN(1,MAX(0,(Project_Register!$AY$20-30)/30))))</f>
        <v>0</v>
      </c>
      <c r="X590" s="58" t="n">
        <f aca="false">IF(X$5="A",0,W591+X589-(X589*MIN(1,Project_Register!$AY$20/30)+W589*MIN(1,MAX(0,(Project_Register!$AY$20-30)/30))))</f>
        <v>0</v>
      </c>
      <c r="Y590" s="58" t="n">
        <f aca="false">IF(Y$5="A",0,X591+Y589-(Y589*MIN(1,Project_Register!$AY$20/30)+X589*MIN(1,MAX(0,(Project_Register!$AY$20-30)/30))))</f>
        <v>0</v>
      </c>
      <c r="Z590" s="58" t="n">
        <f aca="false">IF(Z$5="A",0,Y591+Z589-(Z589*MIN(1,Project_Register!$AY$20/30)+Y589*MIN(1,MAX(0,(Project_Register!$AY$20-30)/30))))</f>
        <v>22935.6034985423</v>
      </c>
      <c r="AA590" s="58" t="n">
        <f aca="false">IF(AA$5="A",0,Z591+AA589-(AA589*MIN(1,Project_Register!$AY$20/30)+Z589*MIN(1,MAX(0,(Project_Register!$AY$20-30)/30))))</f>
        <v>59149.7142857143</v>
      </c>
      <c r="AB590" s="58" t="n">
        <f aca="false">IF(AB$5="A",0,AA591+AB589-(AB589*MIN(1,Project_Register!$AY$20/30)+AA589*MIN(1,MAX(0,(Project_Register!$AY$20-30)/30))))</f>
        <v>80878.1807580175</v>
      </c>
    </row>
    <row r="591" customFormat="false" ht="15" hidden="false" customHeight="false" outlineLevel="0" collapsed="false">
      <c r="A591" s="27" t="s">
        <v>763</v>
      </c>
      <c r="B591" s="56" t="s">
        <v>764</v>
      </c>
      <c r="C591" s="57" t="n">
        <f aca="false">P591</f>
        <v>0</v>
      </c>
      <c r="D591" s="57" t="n">
        <f aca="false">AB591</f>
        <v>88121.0029154519</v>
      </c>
      <c r="E591" s="58" t="n">
        <f aca="false">Project_Register!$AF$20+E589-E590</f>
        <v>0</v>
      </c>
      <c r="F591" s="70" t="n">
        <f aca="false">E591+F589-F590</f>
        <v>0</v>
      </c>
      <c r="G591" s="70" t="n">
        <f aca="false">F591+G589-G590</f>
        <v>0</v>
      </c>
      <c r="H591" s="70" t="n">
        <f aca="false">G591+H589-H590</f>
        <v>0</v>
      </c>
      <c r="I591" s="70" t="n">
        <f aca="false">H591+I589-I590</f>
        <v>0</v>
      </c>
      <c r="J591" s="70" t="n">
        <f aca="false">I591+J589-J590</f>
        <v>0</v>
      </c>
      <c r="K591" s="70" t="n">
        <f aca="false">J591+K589-K590</f>
        <v>0</v>
      </c>
      <c r="L591" s="70" t="n">
        <f aca="false">K591+L589-L590</f>
        <v>0</v>
      </c>
      <c r="M591" s="70" t="n">
        <f aca="false">L591+M589-M590</f>
        <v>0</v>
      </c>
      <c r="N591" s="70" t="n">
        <f aca="false">M591+N589-N590</f>
        <v>0</v>
      </c>
      <c r="O591" s="70" t="n">
        <f aca="false">N591+O589-O590</f>
        <v>0</v>
      </c>
      <c r="P591" s="70" t="n">
        <f aca="false">O591+P589-P590</f>
        <v>0</v>
      </c>
      <c r="Q591" s="70" t="n">
        <f aca="false">P591+Q589-Q590</f>
        <v>0</v>
      </c>
      <c r="R591" s="70" t="n">
        <f aca="false">Q591+R589-R590</f>
        <v>0</v>
      </c>
      <c r="S591" s="70" t="n">
        <f aca="false">R591+S589-S590</f>
        <v>0</v>
      </c>
      <c r="T591" s="70" t="n">
        <f aca="false">S591+T589-T590</f>
        <v>0</v>
      </c>
      <c r="U591" s="70" t="n">
        <f aca="false">T591+U589-U590</f>
        <v>0</v>
      </c>
      <c r="V591" s="70" t="n">
        <f aca="false">U591+V589-V590</f>
        <v>0</v>
      </c>
      <c r="W591" s="70" t="n">
        <f aca="false">V591+W589-W590</f>
        <v>0</v>
      </c>
      <c r="X591" s="70" t="n">
        <f aca="false">W591+X589-X590</f>
        <v>0</v>
      </c>
      <c r="Y591" s="70" t="n">
        <f aca="false">X591+Y589-Y590</f>
        <v>22935.6034985423</v>
      </c>
      <c r="Z591" s="70" t="n">
        <f aca="false">Y591+Z589-Z590</f>
        <v>59149.7142857143</v>
      </c>
      <c r="AA591" s="70" t="n">
        <f aca="false">Z591+AA589-AA590</f>
        <v>80878.1807580175</v>
      </c>
      <c r="AB591" s="70" t="n">
        <f aca="false">AA591+AB589-AB590</f>
        <v>88121.0029154519</v>
      </c>
    </row>
    <row r="592" customFormat="false" ht="15" hidden="false" customHeight="false" outlineLevel="0" collapsed="false">
      <c r="A592" s="27" t="s">
        <v>765</v>
      </c>
      <c r="B592" s="56" t="s">
        <v>766</v>
      </c>
      <c r="C592" s="57" t="n">
        <f aca="false">P592</f>
        <v>0</v>
      </c>
      <c r="D592" s="57" t="n">
        <f aca="false">AB592</f>
        <v>75008.7463556851</v>
      </c>
      <c r="E592" s="70" t="n">
        <f aca="false">E577-E583</f>
        <v>0</v>
      </c>
      <c r="F592" s="70" t="n">
        <f aca="false">F577-F583</f>
        <v>0</v>
      </c>
      <c r="G592" s="70" t="n">
        <f aca="false">G577-G583</f>
        <v>0</v>
      </c>
      <c r="H592" s="70" t="n">
        <f aca="false">H577-H583</f>
        <v>0</v>
      </c>
      <c r="I592" s="70" t="n">
        <f aca="false">I577-I583</f>
        <v>0</v>
      </c>
      <c r="J592" s="70" t="n">
        <f aca="false">J577-J583</f>
        <v>0</v>
      </c>
      <c r="K592" s="70" t="n">
        <f aca="false">K577-K583</f>
        <v>0</v>
      </c>
      <c r="L592" s="70" t="n">
        <f aca="false">L577-L583</f>
        <v>0</v>
      </c>
      <c r="M592" s="70" t="n">
        <f aca="false">M577-M583</f>
        <v>0</v>
      </c>
      <c r="N592" s="70" t="n">
        <f aca="false">N577-N583</f>
        <v>0</v>
      </c>
      <c r="O592" s="70" t="n">
        <f aca="false">O577-O583</f>
        <v>0</v>
      </c>
      <c r="P592" s="70" t="n">
        <f aca="false">P577-P583</f>
        <v>0</v>
      </c>
      <c r="Q592" s="70" t="n">
        <f aca="false">Q577-Q583</f>
        <v>0</v>
      </c>
      <c r="R592" s="70" t="n">
        <f aca="false">R577-R583</f>
        <v>0</v>
      </c>
      <c r="S592" s="70" t="n">
        <f aca="false">S577-S583</f>
        <v>0</v>
      </c>
      <c r="T592" s="70" t="n">
        <f aca="false">T577-T583</f>
        <v>0</v>
      </c>
      <c r="U592" s="70" t="n">
        <f aca="false">U577-U583</f>
        <v>0</v>
      </c>
      <c r="V592" s="70" t="n">
        <f aca="false">V577-V583</f>
        <v>0</v>
      </c>
      <c r="W592" s="70" t="n">
        <f aca="false">W577-W583</f>
        <v>0</v>
      </c>
      <c r="X592" s="70" t="n">
        <f aca="false">X577-X583</f>
        <v>21271.1370262391</v>
      </c>
      <c r="Y592" s="70" t="n">
        <f aca="false">Y577-Y583</f>
        <v>54857.1428571429</v>
      </c>
      <c r="Z592" s="70" t="n">
        <f aca="false">Z577-Z583</f>
        <v>75008.7463556851</v>
      </c>
      <c r="AA592" s="70" t="n">
        <f aca="false">AA577-AA583</f>
        <v>81725.9475218659</v>
      </c>
      <c r="AB592" s="70" t="n">
        <f aca="false">AB577-AB583</f>
        <v>75008.7463556851</v>
      </c>
    </row>
    <row r="593" customFormat="false" ht="15" hidden="false" customHeight="false" outlineLevel="0" collapsed="false">
      <c r="A593" s="27" t="s">
        <v>767</v>
      </c>
      <c r="B593" s="56"/>
      <c r="C593" s="57" t="n">
        <f aca="false">P593</f>
        <v>0</v>
      </c>
      <c r="D593" s="57" t="n">
        <f aca="false">AB593</f>
        <v>75008.7463556851</v>
      </c>
      <c r="E593" s="70" t="n">
        <f aca="false">MAX(0,E592)</f>
        <v>0</v>
      </c>
      <c r="F593" s="70" t="n">
        <f aca="false">MAX(0,F592)</f>
        <v>0</v>
      </c>
      <c r="G593" s="70" t="n">
        <f aca="false">MAX(0,G592)</f>
        <v>0</v>
      </c>
      <c r="H593" s="70" t="n">
        <f aca="false">MAX(0,H592)</f>
        <v>0</v>
      </c>
      <c r="I593" s="70" t="n">
        <f aca="false">MAX(0,I592)</f>
        <v>0</v>
      </c>
      <c r="J593" s="70" t="n">
        <f aca="false">MAX(0,J592)</f>
        <v>0</v>
      </c>
      <c r="K593" s="70" t="n">
        <f aca="false">MAX(0,K592)</f>
        <v>0</v>
      </c>
      <c r="L593" s="70" t="n">
        <f aca="false">MAX(0,L592)</f>
        <v>0</v>
      </c>
      <c r="M593" s="70" t="n">
        <f aca="false">MAX(0,M592)</f>
        <v>0</v>
      </c>
      <c r="N593" s="70" t="n">
        <f aca="false">MAX(0,N592)</f>
        <v>0</v>
      </c>
      <c r="O593" s="70" t="n">
        <f aca="false">MAX(0,O592)</f>
        <v>0</v>
      </c>
      <c r="P593" s="70" t="n">
        <f aca="false">MAX(0,P592)</f>
        <v>0</v>
      </c>
      <c r="Q593" s="70" t="n">
        <f aca="false">MAX(0,Q592)</f>
        <v>0</v>
      </c>
      <c r="R593" s="70" t="n">
        <f aca="false">MAX(0,R592)</f>
        <v>0</v>
      </c>
      <c r="S593" s="70" t="n">
        <f aca="false">MAX(0,S592)</f>
        <v>0</v>
      </c>
      <c r="T593" s="70" t="n">
        <f aca="false">MAX(0,T592)</f>
        <v>0</v>
      </c>
      <c r="U593" s="70" t="n">
        <f aca="false">MAX(0,U592)</f>
        <v>0</v>
      </c>
      <c r="V593" s="70" t="n">
        <f aca="false">MAX(0,V592)</f>
        <v>0</v>
      </c>
      <c r="W593" s="70" t="n">
        <f aca="false">MAX(0,W592)</f>
        <v>0</v>
      </c>
      <c r="X593" s="70" t="n">
        <f aca="false">MAX(0,X592)</f>
        <v>21271.1370262391</v>
      </c>
      <c r="Y593" s="70" t="n">
        <f aca="false">MAX(0,Y592)</f>
        <v>54857.1428571429</v>
      </c>
      <c r="Z593" s="70" t="n">
        <f aca="false">MAX(0,Z592)</f>
        <v>75008.7463556851</v>
      </c>
      <c r="AA593" s="70" t="n">
        <f aca="false">MAX(0,AA592)</f>
        <v>81725.9475218659</v>
      </c>
      <c r="AB593" s="70" t="n">
        <f aca="false">MAX(0,AB592)</f>
        <v>75008.7463556851</v>
      </c>
    </row>
    <row r="594" customFormat="false" ht="15" hidden="false" customHeight="false" outlineLevel="0" collapsed="false">
      <c r="A594" s="27" t="s">
        <v>768</v>
      </c>
      <c r="B594" s="56"/>
      <c r="C594" s="57" t="n">
        <f aca="false">P594</f>
        <v>-0</v>
      </c>
      <c r="D594" s="57" t="n">
        <f aca="false">AB594</f>
        <v>0</v>
      </c>
      <c r="E594" s="70" t="n">
        <f aca="false">MAX(0,-E592)</f>
        <v>-0</v>
      </c>
      <c r="F594" s="70" t="n">
        <f aca="false">MAX(0,-F592)</f>
        <v>-0</v>
      </c>
      <c r="G594" s="70" t="n">
        <f aca="false">MAX(0,-G592)</f>
        <v>-0</v>
      </c>
      <c r="H594" s="70" t="n">
        <f aca="false">MAX(0,-H592)</f>
        <v>-0</v>
      </c>
      <c r="I594" s="70" t="n">
        <f aca="false">MAX(0,-I592)</f>
        <v>-0</v>
      </c>
      <c r="J594" s="70" t="n">
        <f aca="false">MAX(0,-J592)</f>
        <v>-0</v>
      </c>
      <c r="K594" s="70" t="n">
        <f aca="false">MAX(0,-K592)</f>
        <v>-0</v>
      </c>
      <c r="L594" s="70" t="n">
        <f aca="false">MAX(0,-L592)</f>
        <v>-0</v>
      </c>
      <c r="M594" s="70" t="n">
        <f aca="false">MAX(0,-M592)</f>
        <v>-0</v>
      </c>
      <c r="N594" s="70" t="n">
        <f aca="false">MAX(0,-N592)</f>
        <v>-0</v>
      </c>
      <c r="O594" s="70" t="n">
        <f aca="false">MAX(0,-O592)</f>
        <v>-0</v>
      </c>
      <c r="P594" s="70" t="n">
        <f aca="false">MAX(0,-P592)</f>
        <v>-0</v>
      </c>
      <c r="Q594" s="70" t="n">
        <f aca="false">MAX(0,-Q592)</f>
        <v>-0</v>
      </c>
      <c r="R594" s="70" t="n">
        <f aca="false">MAX(0,-R592)</f>
        <v>-0</v>
      </c>
      <c r="S594" s="70" t="n">
        <f aca="false">MAX(0,-S592)</f>
        <v>-0</v>
      </c>
      <c r="T594" s="70" t="n">
        <f aca="false">MAX(0,-T592)</f>
        <v>-0</v>
      </c>
      <c r="U594" s="70" t="n">
        <f aca="false">MAX(0,-U592)</f>
        <v>-0</v>
      </c>
      <c r="V594" s="70" t="n">
        <f aca="false">MAX(0,-V592)</f>
        <v>-0</v>
      </c>
      <c r="W594" s="70" t="n">
        <f aca="false">MAX(0,-W592)</f>
        <v>-0</v>
      </c>
      <c r="X594" s="70" t="n">
        <f aca="false">MAX(0,-X592)</f>
        <v>0</v>
      </c>
      <c r="Y594" s="70" t="n">
        <f aca="false">MAX(0,-Y592)</f>
        <v>0</v>
      </c>
      <c r="Z594" s="70" t="n">
        <f aca="false">MAX(0,-Z592)</f>
        <v>0</v>
      </c>
      <c r="AA594" s="70" t="n">
        <f aca="false">MAX(0,-AA592)</f>
        <v>0</v>
      </c>
      <c r="AB594" s="70" t="n">
        <f aca="false">MAX(0,-AB592)</f>
        <v>0</v>
      </c>
    </row>
    <row r="595" customFormat="false" ht="15" hidden="false" customHeight="false" outlineLevel="0" collapsed="false">
      <c r="A595" s="27" t="s">
        <v>769</v>
      </c>
      <c r="B595" s="56"/>
      <c r="C595" s="57" t="n">
        <f aca="false">P595</f>
        <v>0</v>
      </c>
      <c r="D595" s="57" t="n">
        <f aca="false">AB595</f>
        <v>133090.379008746</v>
      </c>
      <c r="E595" s="58" t="n">
        <f aca="false">Project_Register!$AG$20+E565</f>
        <v>0</v>
      </c>
      <c r="F595" s="70" t="n">
        <f aca="false">E595+F565</f>
        <v>0</v>
      </c>
      <c r="G595" s="70" t="n">
        <f aca="false">F595+G565</f>
        <v>0</v>
      </c>
      <c r="H595" s="70" t="n">
        <f aca="false">G595+H565</f>
        <v>0</v>
      </c>
      <c r="I595" s="70" t="n">
        <f aca="false">H595+I565</f>
        <v>0</v>
      </c>
      <c r="J595" s="70" t="n">
        <f aca="false">I595+J565</f>
        <v>0</v>
      </c>
      <c r="K595" s="70" t="n">
        <f aca="false">J595+K565</f>
        <v>0</v>
      </c>
      <c r="L595" s="70" t="n">
        <f aca="false">K595+L565</f>
        <v>0</v>
      </c>
      <c r="M595" s="70" t="n">
        <f aca="false">L595+M565</f>
        <v>0</v>
      </c>
      <c r="N595" s="70" t="n">
        <f aca="false">M595+N565</f>
        <v>0</v>
      </c>
      <c r="O595" s="70" t="n">
        <f aca="false">N595+O565</f>
        <v>0</v>
      </c>
      <c r="P595" s="70" t="n">
        <f aca="false">O595+P565</f>
        <v>0</v>
      </c>
      <c r="Q595" s="70" t="n">
        <f aca="false">P595+Q565</f>
        <v>0</v>
      </c>
      <c r="R595" s="70" t="n">
        <f aca="false">Q595+R565</f>
        <v>0</v>
      </c>
      <c r="S595" s="70" t="n">
        <f aca="false">R595+S565</f>
        <v>0</v>
      </c>
      <c r="T595" s="70" t="n">
        <f aca="false">S595+T565</f>
        <v>0</v>
      </c>
      <c r="U595" s="70" t="n">
        <f aca="false">T595+U565</f>
        <v>0</v>
      </c>
      <c r="V595" s="70" t="n">
        <f aca="false">U595+V565</f>
        <v>0</v>
      </c>
      <c r="W595" s="70" t="n">
        <f aca="false">V595+W565</f>
        <v>0</v>
      </c>
      <c r="X595" s="70" t="n">
        <f aca="false">W595+X565</f>
        <v>9195.33527696793</v>
      </c>
      <c r="Y595" s="70" t="n">
        <f aca="false">X595+Y565</f>
        <v>32909.6209912536</v>
      </c>
      <c r="Z595" s="70" t="n">
        <f aca="false">Y595+Z565</f>
        <v>65335.27696793</v>
      </c>
      <c r="AA595" s="70" t="n">
        <f aca="false">Z595+AA565</f>
        <v>100664.72303207</v>
      </c>
      <c r="AB595" s="70" t="n">
        <f aca="false">AA595+AB565</f>
        <v>133090.379008746</v>
      </c>
    </row>
    <row r="596" customFormat="false" ht="15" hidden="false" customHeight="false" outlineLevel="0" collapsed="false">
      <c r="A596" s="27" t="s">
        <v>770</v>
      </c>
      <c r="B596" s="56"/>
      <c r="C596" s="57" t="n">
        <f aca="false">P596</f>
        <v>0</v>
      </c>
      <c r="D596" s="57" t="n">
        <f aca="false">AB596</f>
        <v>6654.51895043732</v>
      </c>
      <c r="E596" s="58" t="n">
        <f aca="false">Project_Register!$U$20*E595*(1-Project_Register!$R$20*(Assumptions!E$96&gt;=Project_Register!$AK$20+1)-(1-Project_Register!$R$20)*(Assumptions!E$96&gt;=Project_Register!$AN$20))</f>
        <v>0</v>
      </c>
      <c r="F596" s="58" t="n">
        <f aca="false">Project_Register!$U$20*F595*(1-Project_Register!$R$20*(Assumptions!F$96&gt;=Project_Register!$AK$20+1)-(1-Project_Register!$R$20)*(Assumptions!F$96&gt;=Project_Register!$AN$20))</f>
        <v>0</v>
      </c>
      <c r="G596" s="58" t="n">
        <f aca="false">Project_Register!$U$20*G595*(1-Project_Register!$R$20*(Assumptions!G$96&gt;=Project_Register!$AK$20+1)-(1-Project_Register!$R$20)*(Assumptions!G$96&gt;=Project_Register!$AN$20))</f>
        <v>0</v>
      </c>
      <c r="H596" s="58" t="n">
        <f aca="false">Project_Register!$U$20*H595*(1-Project_Register!$R$20*(Assumptions!H$96&gt;=Project_Register!$AK$20+1)-(1-Project_Register!$R$20)*(Assumptions!H$96&gt;=Project_Register!$AN$20))</f>
        <v>0</v>
      </c>
      <c r="I596" s="58" t="n">
        <f aca="false">Project_Register!$U$20*I595*(1-Project_Register!$R$20*(Assumptions!I$96&gt;=Project_Register!$AK$20+1)-(1-Project_Register!$R$20)*(Assumptions!I$96&gt;=Project_Register!$AN$20))</f>
        <v>0</v>
      </c>
      <c r="J596" s="58" t="n">
        <f aca="false">Project_Register!$U$20*J595*(1-Project_Register!$R$20*(Assumptions!J$96&gt;=Project_Register!$AK$20+1)-(1-Project_Register!$R$20)*(Assumptions!J$96&gt;=Project_Register!$AN$20))</f>
        <v>0</v>
      </c>
      <c r="K596" s="58" t="n">
        <f aca="false">Project_Register!$U$20*K595*(1-Project_Register!$R$20*(Assumptions!K$96&gt;=Project_Register!$AK$20+1)-(1-Project_Register!$R$20)*(Assumptions!K$96&gt;=Project_Register!$AN$20))</f>
        <v>0</v>
      </c>
      <c r="L596" s="58" t="n">
        <f aca="false">Project_Register!$U$20*L595*(1-Project_Register!$R$20*(Assumptions!L$96&gt;=Project_Register!$AK$20+1)-(1-Project_Register!$R$20)*(Assumptions!L$96&gt;=Project_Register!$AN$20))</f>
        <v>0</v>
      </c>
      <c r="M596" s="58" t="n">
        <f aca="false">Project_Register!$U$20*M595*(1-Project_Register!$R$20*(Assumptions!M$96&gt;=Project_Register!$AK$20+1)-(1-Project_Register!$R$20)*(Assumptions!M$96&gt;=Project_Register!$AN$20))</f>
        <v>0</v>
      </c>
      <c r="N596" s="58" t="n">
        <f aca="false">Project_Register!$U$20*N595*(1-Project_Register!$R$20*(Assumptions!N$96&gt;=Project_Register!$AK$20+1)-(1-Project_Register!$R$20)*(Assumptions!N$96&gt;=Project_Register!$AN$20))</f>
        <v>0</v>
      </c>
      <c r="O596" s="58" t="n">
        <f aca="false">Project_Register!$U$20*O595*(1-Project_Register!$R$20*(Assumptions!O$96&gt;=Project_Register!$AK$20+1)-(1-Project_Register!$R$20)*(Assumptions!O$96&gt;=Project_Register!$AN$20))</f>
        <v>0</v>
      </c>
      <c r="P596" s="58" t="n">
        <f aca="false">Project_Register!$U$20*P595*(1-Project_Register!$R$20*(Assumptions!P$96&gt;=Project_Register!$AK$20+1)-(1-Project_Register!$R$20)*(Assumptions!P$96&gt;=Project_Register!$AN$20))</f>
        <v>0</v>
      </c>
      <c r="Q596" s="58" t="n">
        <f aca="false">Project_Register!$U$20*Q595*(1-Project_Register!$R$20*(Assumptions!Q$96&gt;=Project_Register!$AK$20+1)-(1-Project_Register!$R$20)*(Assumptions!Q$96&gt;=Project_Register!$AN$20))</f>
        <v>0</v>
      </c>
      <c r="R596" s="58" t="n">
        <f aca="false">Project_Register!$U$20*R595*(1-Project_Register!$R$20*(Assumptions!R$96&gt;=Project_Register!$AK$20+1)-(1-Project_Register!$R$20)*(Assumptions!R$96&gt;=Project_Register!$AN$20))</f>
        <v>0</v>
      </c>
      <c r="S596" s="58" t="n">
        <f aca="false">Project_Register!$U$20*S595*(1-Project_Register!$R$20*(Assumptions!S$96&gt;=Project_Register!$AK$20+1)-(1-Project_Register!$R$20)*(Assumptions!S$96&gt;=Project_Register!$AN$20))</f>
        <v>0</v>
      </c>
      <c r="T596" s="58" t="n">
        <f aca="false">Project_Register!$U$20*T595*(1-Project_Register!$R$20*(Assumptions!T$96&gt;=Project_Register!$AK$20+1)-(1-Project_Register!$R$20)*(Assumptions!T$96&gt;=Project_Register!$AN$20))</f>
        <v>0</v>
      </c>
      <c r="U596" s="58" t="n">
        <f aca="false">Project_Register!$U$20*U595*(1-Project_Register!$R$20*(Assumptions!U$96&gt;=Project_Register!$AK$20+1)-(1-Project_Register!$R$20)*(Assumptions!U$96&gt;=Project_Register!$AN$20))</f>
        <v>0</v>
      </c>
      <c r="V596" s="58" t="n">
        <f aca="false">Project_Register!$U$20*V595*(1-Project_Register!$R$20*(Assumptions!V$96&gt;=Project_Register!$AK$20+1)-(1-Project_Register!$R$20)*(Assumptions!V$96&gt;=Project_Register!$AN$20))</f>
        <v>0</v>
      </c>
      <c r="W596" s="58" t="n">
        <f aca="false">Project_Register!$U$20*W595*(1-Project_Register!$R$20*(Assumptions!W$96&gt;=Project_Register!$AK$20+1)-(1-Project_Register!$R$20)*(Assumptions!W$96&gt;=Project_Register!$AN$20))</f>
        <v>0</v>
      </c>
      <c r="X596" s="58" t="n">
        <f aca="false">Project_Register!$U$20*X595*(1-Project_Register!$R$20*(Assumptions!X$96&gt;=Project_Register!$AK$20+1)-(1-Project_Register!$R$20)*(Assumptions!X$96&gt;=Project_Register!$AN$20))</f>
        <v>459.766763848397</v>
      </c>
      <c r="Y596" s="58" t="n">
        <f aca="false">Project_Register!$U$20*Y595*(1-Project_Register!$R$20*(Assumptions!Y$96&gt;=Project_Register!$AK$20+1)-(1-Project_Register!$R$20)*(Assumptions!Y$96&gt;=Project_Register!$AN$20))</f>
        <v>1645.48104956268</v>
      </c>
      <c r="Z596" s="58" t="n">
        <f aca="false">Project_Register!$U$20*Z595*(1-Project_Register!$R$20*(Assumptions!Z$96&gt;=Project_Register!$AK$20+1)-(1-Project_Register!$R$20)*(Assumptions!Z$96&gt;=Project_Register!$AN$20))</f>
        <v>3266.7638483965</v>
      </c>
      <c r="AA596" s="58" t="n">
        <f aca="false">Project_Register!$U$20*AA595*(1-Project_Register!$R$20*(Assumptions!AA$96&gt;=Project_Register!$AK$20+1)-(1-Project_Register!$R$20)*(Assumptions!AA$96&gt;=Project_Register!$AN$20))</f>
        <v>5033.2361516035</v>
      </c>
      <c r="AB596" s="58" t="n">
        <f aca="false">Project_Register!$U$20*AB595*(1-Project_Register!$R$20*(Assumptions!AB$96&gt;=Project_Register!$AK$20+1)-(1-Project_Register!$R$20)*(Assumptions!AB$96&gt;=Project_Register!$AN$20))</f>
        <v>6654.51895043732</v>
      </c>
    </row>
    <row r="597" customFormat="false" ht="15" hidden="false" customHeight="false" outlineLevel="0" collapsed="false">
      <c r="A597" s="27" t="s">
        <v>771</v>
      </c>
      <c r="B597" s="56"/>
      <c r="C597" s="57" t="n">
        <f aca="false">SUM(E597:P597)</f>
        <v>0</v>
      </c>
      <c r="D597" s="57" t="n">
        <f aca="false">SUM(Q597:AB597)</f>
        <v>6654.51895043732</v>
      </c>
      <c r="E597" s="58" t="n">
        <f aca="false">E596-Project_Register!$AX$20</f>
        <v>0</v>
      </c>
      <c r="F597" s="70" t="n">
        <f aca="false">F596-E596</f>
        <v>0</v>
      </c>
      <c r="G597" s="70" t="n">
        <f aca="false">G596-F596</f>
        <v>0</v>
      </c>
      <c r="H597" s="70" t="n">
        <f aca="false">H596-G596</f>
        <v>0</v>
      </c>
      <c r="I597" s="70" t="n">
        <f aca="false">I596-H596</f>
        <v>0</v>
      </c>
      <c r="J597" s="70" t="n">
        <f aca="false">J596-I596</f>
        <v>0</v>
      </c>
      <c r="K597" s="70" t="n">
        <f aca="false">K596-J596</f>
        <v>0</v>
      </c>
      <c r="L597" s="70" t="n">
        <f aca="false">L596-K596</f>
        <v>0</v>
      </c>
      <c r="M597" s="70" t="n">
        <f aca="false">M596-L596</f>
        <v>0</v>
      </c>
      <c r="N597" s="70" t="n">
        <f aca="false">N596-M596</f>
        <v>0</v>
      </c>
      <c r="O597" s="70" t="n">
        <f aca="false">O596-N596</f>
        <v>0</v>
      </c>
      <c r="P597" s="70" t="n">
        <f aca="false">P596-O596</f>
        <v>0</v>
      </c>
      <c r="Q597" s="70" t="n">
        <f aca="false">Q596-P596</f>
        <v>0</v>
      </c>
      <c r="R597" s="70" t="n">
        <f aca="false">R596-Q596</f>
        <v>0</v>
      </c>
      <c r="S597" s="70" t="n">
        <f aca="false">S596-R596</f>
        <v>0</v>
      </c>
      <c r="T597" s="70" t="n">
        <f aca="false">T596-S596</f>
        <v>0</v>
      </c>
      <c r="U597" s="70" t="n">
        <f aca="false">U596-T596</f>
        <v>0</v>
      </c>
      <c r="V597" s="70" t="n">
        <f aca="false">V596-U596</f>
        <v>0</v>
      </c>
      <c r="W597" s="70" t="n">
        <f aca="false">W596-V596</f>
        <v>0</v>
      </c>
      <c r="X597" s="70" t="n">
        <f aca="false">X596-W596</f>
        <v>459.766763848397</v>
      </c>
      <c r="Y597" s="70" t="n">
        <f aca="false">Y596-X596</f>
        <v>1185.71428571429</v>
      </c>
      <c r="Z597" s="70" t="n">
        <f aca="false">Z596-Y596</f>
        <v>1621.28279883382</v>
      </c>
      <c r="AA597" s="70" t="n">
        <f aca="false">AA596-Z596</f>
        <v>1766.472303207</v>
      </c>
      <c r="AB597" s="70" t="n">
        <f aca="false">AB596-AA596</f>
        <v>1621.28279883382</v>
      </c>
    </row>
    <row r="598" customFormat="false" ht="15" hidden="false" customHeight="false" outlineLevel="0" collapsed="false">
      <c r="A598" s="27" t="s">
        <v>772</v>
      </c>
      <c r="B598" s="56" t="s">
        <v>773</v>
      </c>
      <c r="C598" s="57" t="n">
        <f aca="false">P598</f>
        <v>0</v>
      </c>
      <c r="D598" s="57" t="n">
        <f aca="false">AB598</f>
        <v>38400</v>
      </c>
      <c r="E598" s="58" t="n">
        <f aca="false">Project_Register!$V$20*Project_Register!$AO$20*(Assumptions!E$96&gt;=Project_Register!$AL$20)*(Assumptions!E$96&lt;=Project_Register!$AK$20)</f>
        <v>0</v>
      </c>
      <c r="F598" s="58" t="n">
        <f aca="false">Project_Register!$V$20*Project_Register!$AO$20*(Assumptions!F$96&gt;=Project_Register!$AL$20)*(Assumptions!F$96&lt;=Project_Register!$AK$20)</f>
        <v>0</v>
      </c>
      <c r="G598" s="58" t="n">
        <f aca="false">Project_Register!$V$20*Project_Register!$AO$20*(Assumptions!G$96&gt;=Project_Register!$AL$20)*(Assumptions!G$96&lt;=Project_Register!$AK$20)</f>
        <v>0</v>
      </c>
      <c r="H598" s="58" t="n">
        <f aca="false">Project_Register!$V$20*Project_Register!$AO$20*(Assumptions!H$96&gt;=Project_Register!$AL$20)*(Assumptions!H$96&lt;=Project_Register!$AK$20)</f>
        <v>0</v>
      </c>
      <c r="I598" s="58" t="n">
        <f aca="false">Project_Register!$V$20*Project_Register!$AO$20*(Assumptions!I$96&gt;=Project_Register!$AL$20)*(Assumptions!I$96&lt;=Project_Register!$AK$20)</f>
        <v>0</v>
      </c>
      <c r="J598" s="58" t="n">
        <f aca="false">Project_Register!$V$20*Project_Register!$AO$20*(Assumptions!J$96&gt;=Project_Register!$AL$20)*(Assumptions!J$96&lt;=Project_Register!$AK$20)</f>
        <v>0</v>
      </c>
      <c r="K598" s="58" t="n">
        <f aca="false">Project_Register!$V$20*Project_Register!$AO$20*(Assumptions!K$96&gt;=Project_Register!$AL$20)*(Assumptions!K$96&lt;=Project_Register!$AK$20)</f>
        <v>0</v>
      </c>
      <c r="L598" s="58" t="n">
        <f aca="false">Project_Register!$V$20*Project_Register!$AO$20*(Assumptions!L$96&gt;=Project_Register!$AL$20)*(Assumptions!L$96&lt;=Project_Register!$AK$20)</f>
        <v>0</v>
      </c>
      <c r="M598" s="58" t="n">
        <f aca="false">Project_Register!$V$20*Project_Register!$AO$20*(Assumptions!M$96&gt;=Project_Register!$AL$20)*(Assumptions!M$96&lt;=Project_Register!$AK$20)</f>
        <v>0</v>
      </c>
      <c r="N598" s="58" t="n">
        <f aca="false">Project_Register!$V$20*Project_Register!$AO$20*(Assumptions!N$96&gt;=Project_Register!$AL$20)*(Assumptions!N$96&lt;=Project_Register!$AK$20)</f>
        <v>0</v>
      </c>
      <c r="O598" s="58" t="n">
        <f aca="false">Project_Register!$V$20*Project_Register!$AO$20*(Assumptions!O$96&gt;=Project_Register!$AL$20)*(Assumptions!O$96&lt;=Project_Register!$AK$20)</f>
        <v>0</v>
      </c>
      <c r="P598" s="58" t="n">
        <f aca="false">Project_Register!$V$20*Project_Register!$AO$20*(Assumptions!P$96&gt;=Project_Register!$AL$20)*(Assumptions!P$96&lt;=Project_Register!$AK$20)</f>
        <v>0</v>
      </c>
      <c r="Q598" s="58" t="n">
        <f aca="false">Project_Register!$V$20*Project_Register!$AO$20*(Assumptions!Q$96&gt;=Project_Register!$AL$20)*(Assumptions!Q$96&lt;=Project_Register!$AK$20)</f>
        <v>0</v>
      </c>
      <c r="R598" s="58" t="n">
        <f aca="false">Project_Register!$V$20*Project_Register!$AO$20*(Assumptions!R$96&gt;=Project_Register!$AL$20)*(Assumptions!R$96&lt;=Project_Register!$AK$20)</f>
        <v>0</v>
      </c>
      <c r="S598" s="58" t="n">
        <f aca="false">Project_Register!$V$20*Project_Register!$AO$20*(Assumptions!S$96&gt;=Project_Register!$AL$20)*(Assumptions!S$96&lt;=Project_Register!$AK$20)</f>
        <v>0</v>
      </c>
      <c r="T598" s="58" t="n">
        <f aca="false">Project_Register!$V$20*Project_Register!$AO$20*(Assumptions!T$96&gt;=Project_Register!$AL$20)*(Assumptions!T$96&lt;=Project_Register!$AK$20)</f>
        <v>0</v>
      </c>
      <c r="U598" s="58" t="n">
        <f aca="false">Project_Register!$V$20*Project_Register!$AO$20*(Assumptions!U$96&gt;=Project_Register!$AL$20)*(Assumptions!U$96&lt;=Project_Register!$AK$20)</f>
        <v>0</v>
      </c>
      <c r="V598" s="58" t="n">
        <f aca="false">Project_Register!$V$20*Project_Register!$AO$20*(Assumptions!V$96&gt;=Project_Register!$AL$20)*(Assumptions!V$96&lt;=Project_Register!$AK$20)</f>
        <v>0</v>
      </c>
      <c r="W598" s="58" t="n">
        <f aca="false">Project_Register!$V$20*Project_Register!$AO$20*(Assumptions!W$96&gt;=Project_Register!$AL$20)*(Assumptions!W$96&lt;=Project_Register!$AK$20)</f>
        <v>38400</v>
      </c>
      <c r="X598" s="58" t="n">
        <f aca="false">Project_Register!$V$20*Project_Register!$AO$20*(Assumptions!X$96&gt;=Project_Register!$AL$20)*(Assumptions!X$96&lt;=Project_Register!$AK$20)</f>
        <v>38400</v>
      </c>
      <c r="Y598" s="58" t="n">
        <f aca="false">Project_Register!$V$20*Project_Register!$AO$20*(Assumptions!Y$96&gt;=Project_Register!$AL$20)*(Assumptions!Y$96&lt;=Project_Register!$AK$20)</f>
        <v>38400</v>
      </c>
      <c r="Z598" s="58" t="n">
        <f aca="false">Project_Register!$V$20*Project_Register!$AO$20*(Assumptions!Z$96&gt;=Project_Register!$AL$20)*(Assumptions!Z$96&lt;=Project_Register!$AK$20)</f>
        <v>38400</v>
      </c>
      <c r="AA598" s="58" t="n">
        <f aca="false">Project_Register!$V$20*Project_Register!$AO$20*(Assumptions!AA$96&gt;=Project_Register!$AL$20)*(Assumptions!AA$96&lt;=Project_Register!$AK$20)</f>
        <v>38400</v>
      </c>
      <c r="AB598" s="58" t="n">
        <f aca="false">Project_Register!$V$20*Project_Register!$AO$20*(Assumptions!AB$96&gt;=Project_Register!$AL$20)*(Assumptions!AB$96&lt;=Project_Register!$AK$20)</f>
        <v>38400</v>
      </c>
    </row>
    <row r="599" customFormat="false" ht="15" hidden="false" customHeight="false" outlineLevel="0" collapsed="false">
      <c r="A599" s="27" t="s">
        <v>774</v>
      </c>
      <c r="B599" s="56"/>
      <c r="C599" s="57" t="n">
        <f aca="false">P599</f>
        <v>384000</v>
      </c>
      <c r="D599" s="57" t="n">
        <f aca="false">AB599</f>
        <v>76128.2798833819</v>
      </c>
      <c r="E599" s="58" t="n">
        <f aca="false">IF(OR(Project_Register!$E$20="Pipeline",Assumptions!E$96&gt;=Project_Register!$AL$20),MAX(0,E576-E577),0)</f>
        <v>384000</v>
      </c>
      <c r="F599" s="58" t="n">
        <f aca="false">IF(OR(Project_Register!$E$20="Pipeline",Assumptions!F$96&gt;=Project_Register!$AL$20),MAX(0,F576-F577),0)</f>
        <v>384000</v>
      </c>
      <c r="G599" s="58" t="n">
        <f aca="false">IF(OR(Project_Register!$E$20="Pipeline",Assumptions!G$96&gt;=Project_Register!$AL$20),MAX(0,G576-G577),0)</f>
        <v>384000</v>
      </c>
      <c r="H599" s="58" t="n">
        <f aca="false">IF(OR(Project_Register!$E$20="Pipeline",Assumptions!H$96&gt;=Project_Register!$AL$20),MAX(0,H576-H577),0)</f>
        <v>384000</v>
      </c>
      <c r="I599" s="58" t="n">
        <f aca="false">IF(OR(Project_Register!$E$20="Pipeline",Assumptions!I$96&gt;=Project_Register!$AL$20),MAX(0,I576-I577),0)</f>
        <v>384000</v>
      </c>
      <c r="J599" s="58" t="n">
        <f aca="false">IF(OR(Project_Register!$E$20="Pipeline",Assumptions!J$96&gt;=Project_Register!$AL$20),MAX(0,J576-J577),0)</f>
        <v>384000</v>
      </c>
      <c r="K599" s="58" t="n">
        <f aca="false">IF(OR(Project_Register!$E$20="Pipeline",Assumptions!K$96&gt;=Project_Register!$AL$20),MAX(0,K576-K577),0)</f>
        <v>384000</v>
      </c>
      <c r="L599" s="58" t="n">
        <f aca="false">IF(OR(Project_Register!$E$20="Pipeline",Assumptions!L$96&gt;=Project_Register!$AL$20),MAX(0,L576-L577),0)</f>
        <v>384000</v>
      </c>
      <c r="M599" s="58" t="n">
        <f aca="false">IF(OR(Project_Register!$E$20="Pipeline",Assumptions!M$96&gt;=Project_Register!$AL$20),MAX(0,M576-M577),0)</f>
        <v>384000</v>
      </c>
      <c r="N599" s="58" t="n">
        <f aca="false">IF(OR(Project_Register!$E$20="Pipeline",Assumptions!N$96&gt;=Project_Register!$AL$20),MAX(0,N576-N577),0)</f>
        <v>384000</v>
      </c>
      <c r="O599" s="58" t="n">
        <f aca="false">IF(OR(Project_Register!$E$20="Pipeline",Assumptions!O$96&gt;=Project_Register!$AL$20),MAX(0,O576-O577),0)</f>
        <v>384000</v>
      </c>
      <c r="P599" s="58" t="n">
        <f aca="false">IF(OR(Project_Register!$E$20="Pipeline",Assumptions!P$96&gt;=Project_Register!$AL$20),MAX(0,P576-P577),0)</f>
        <v>384000</v>
      </c>
      <c r="Q599" s="58" t="n">
        <f aca="false">IF(OR(Project_Register!$E$20="Pipeline",Assumptions!Q$96&gt;=Project_Register!$AL$20),MAX(0,Q576-Q577),0)</f>
        <v>384000</v>
      </c>
      <c r="R599" s="58" t="n">
        <f aca="false">IF(OR(Project_Register!$E$20="Pipeline",Assumptions!R$96&gt;=Project_Register!$AL$20),MAX(0,R576-R577),0)</f>
        <v>384000</v>
      </c>
      <c r="S599" s="58" t="n">
        <f aca="false">IF(OR(Project_Register!$E$20="Pipeline",Assumptions!S$96&gt;=Project_Register!$AL$20),MAX(0,S576-S577),0)</f>
        <v>384000</v>
      </c>
      <c r="T599" s="58" t="n">
        <f aca="false">IF(OR(Project_Register!$E$20="Pipeline",Assumptions!T$96&gt;=Project_Register!$AL$20),MAX(0,T576-T577),0)</f>
        <v>384000</v>
      </c>
      <c r="U599" s="58" t="n">
        <f aca="false">IF(OR(Project_Register!$E$20="Pipeline",Assumptions!U$96&gt;=Project_Register!$AL$20),MAX(0,U576-U577),0)</f>
        <v>384000</v>
      </c>
      <c r="V599" s="58" t="n">
        <f aca="false">IF(OR(Project_Register!$E$20="Pipeline",Assumptions!V$96&gt;=Project_Register!$AL$20),MAX(0,V576-V577),0)</f>
        <v>384000</v>
      </c>
      <c r="W599" s="58" t="n">
        <f aca="false">IF(OR(Project_Register!$E$20="Pipeline",Assumptions!W$96&gt;=Project_Register!$AL$20),MAX(0,W576-W577),0)</f>
        <v>384000</v>
      </c>
      <c r="X599" s="58" t="n">
        <f aca="false">IF(OR(Project_Register!$E$20="Pipeline",Assumptions!X$96&gt;=Project_Register!$AL$20),MAX(0,X576-X577),0)</f>
        <v>362728.862973761</v>
      </c>
      <c r="Y599" s="58" t="n">
        <f aca="false">IF(OR(Project_Register!$E$20="Pipeline",Assumptions!Y$96&gt;=Project_Register!$AL$20),MAX(0,Y576-Y577),0)</f>
        <v>307871.720116618</v>
      </c>
      <c r="Z599" s="58" t="n">
        <f aca="false">IF(OR(Project_Register!$E$20="Pipeline",Assumptions!Z$96&gt;=Project_Register!$AL$20),MAX(0,Z576-Z577),0)</f>
        <v>232862.973760933</v>
      </c>
      <c r="AA599" s="58" t="n">
        <f aca="false">IF(OR(Project_Register!$E$20="Pipeline",Assumptions!AA$96&gt;=Project_Register!$AL$20),MAX(0,AA576-AA577),0)</f>
        <v>151137.026239067</v>
      </c>
      <c r="AB599" s="58" t="n">
        <f aca="false">IF(OR(Project_Register!$E$20="Pipeline",Assumptions!AB$96&gt;=Project_Register!$AL$20),MAX(0,AB576-AB577),0)</f>
        <v>76128.2798833819</v>
      </c>
    </row>
    <row r="600" customFormat="false" ht="15" hidden="false" customHeight="false" outlineLevel="0" collapsed="false">
      <c r="A600" s="27" t="s">
        <v>775</v>
      </c>
      <c r="B600" s="56"/>
      <c r="C600" s="57" t="n">
        <f aca="false">SUM(E600:P600)</f>
        <v>0</v>
      </c>
      <c r="D600" s="57" t="n">
        <f aca="false">SUM(Q600:AB600)</f>
        <v>384000</v>
      </c>
      <c r="E600" s="58" t="n">
        <f aca="false">IF(Assumptions!E$96=Project_Register!$AL$20,Project_Register!$AO$20,0)</f>
        <v>0</v>
      </c>
      <c r="F600" s="58" t="n">
        <f aca="false">IF(Assumptions!F$96=Project_Register!$AL$20,Project_Register!$AO$20,0)</f>
        <v>0</v>
      </c>
      <c r="G600" s="58" t="n">
        <f aca="false">IF(Assumptions!G$96=Project_Register!$AL$20,Project_Register!$AO$20,0)</f>
        <v>0</v>
      </c>
      <c r="H600" s="58" t="n">
        <f aca="false">IF(Assumptions!H$96=Project_Register!$AL$20,Project_Register!$AO$20,0)</f>
        <v>0</v>
      </c>
      <c r="I600" s="58" t="n">
        <f aca="false">IF(Assumptions!I$96=Project_Register!$AL$20,Project_Register!$AO$20,0)</f>
        <v>0</v>
      </c>
      <c r="J600" s="58" t="n">
        <f aca="false">IF(Assumptions!J$96=Project_Register!$AL$20,Project_Register!$AO$20,0)</f>
        <v>0</v>
      </c>
      <c r="K600" s="58" t="n">
        <f aca="false">IF(Assumptions!K$96=Project_Register!$AL$20,Project_Register!$AO$20,0)</f>
        <v>0</v>
      </c>
      <c r="L600" s="58" t="n">
        <f aca="false">IF(Assumptions!L$96=Project_Register!$AL$20,Project_Register!$AO$20,0)</f>
        <v>0</v>
      </c>
      <c r="M600" s="58" t="n">
        <f aca="false">IF(Assumptions!M$96=Project_Register!$AL$20,Project_Register!$AO$20,0)</f>
        <v>0</v>
      </c>
      <c r="N600" s="58" t="n">
        <f aca="false">IF(Assumptions!N$96=Project_Register!$AL$20,Project_Register!$AO$20,0)</f>
        <v>0</v>
      </c>
      <c r="O600" s="58" t="n">
        <f aca="false">IF(Assumptions!O$96=Project_Register!$AL$20,Project_Register!$AO$20,0)</f>
        <v>0</v>
      </c>
      <c r="P600" s="58" t="n">
        <f aca="false">IF(Assumptions!P$96=Project_Register!$AL$20,Project_Register!$AO$20,0)</f>
        <v>0</v>
      </c>
      <c r="Q600" s="58" t="n">
        <f aca="false">IF(Assumptions!Q$96=Project_Register!$AL$20,Project_Register!$AO$20,0)</f>
        <v>0</v>
      </c>
      <c r="R600" s="58" t="n">
        <f aca="false">IF(Assumptions!R$96=Project_Register!$AL$20,Project_Register!$AO$20,0)</f>
        <v>0</v>
      </c>
      <c r="S600" s="58" t="n">
        <f aca="false">IF(Assumptions!S$96=Project_Register!$AL$20,Project_Register!$AO$20,0)</f>
        <v>0</v>
      </c>
      <c r="T600" s="58" t="n">
        <f aca="false">IF(Assumptions!T$96=Project_Register!$AL$20,Project_Register!$AO$20,0)</f>
        <v>0</v>
      </c>
      <c r="U600" s="58" t="n">
        <f aca="false">IF(Assumptions!U$96=Project_Register!$AL$20,Project_Register!$AO$20,0)</f>
        <v>0</v>
      </c>
      <c r="V600" s="58" t="n">
        <f aca="false">IF(Assumptions!V$96=Project_Register!$AL$20,Project_Register!$AO$20,0)</f>
        <v>0</v>
      </c>
      <c r="W600" s="58" t="n">
        <f aca="false">IF(Assumptions!W$96=Project_Register!$AL$20,Project_Register!$AO$20,0)</f>
        <v>384000</v>
      </c>
      <c r="X600" s="58" t="n">
        <f aca="false">IF(Assumptions!X$96=Project_Register!$AL$20,Project_Register!$AO$20,0)</f>
        <v>0</v>
      </c>
      <c r="Y600" s="58" t="n">
        <f aca="false">IF(Assumptions!Y$96=Project_Register!$AL$20,Project_Register!$AO$20,0)</f>
        <v>0</v>
      </c>
      <c r="Z600" s="58" t="n">
        <f aca="false">IF(Assumptions!Z$96=Project_Register!$AL$20,Project_Register!$AO$20,0)</f>
        <v>0</v>
      </c>
      <c r="AA600" s="58" t="n">
        <f aca="false">IF(Assumptions!AA$96=Project_Register!$AL$20,Project_Register!$AO$20,0)</f>
        <v>0</v>
      </c>
      <c r="AB600" s="58" t="n">
        <f aca="false">IF(Assumptions!AB$96=Project_Register!$AL$20,Project_Register!$AO$20,0)</f>
        <v>0</v>
      </c>
    </row>
    <row r="602" customFormat="false" ht="15" hidden="false" customHeight="false" outlineLevel="0" collapsed="false">
      <c r="A602" s="21" t="s">
        <v>791</v>
      </c>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row>
    <row r="603" customFormat="false" ht="15" hidden="false" customHeight="false" outlineLevel="0" collapsed="false">
      <c r="A603" s="27" t="s">
        <v>716</v>
      </c>
      <c r="B603" s="56" t="s">
        <v>717</v>
      </c>
      <c r="E603" s="104" t="n">
        <f aca="false">MIN(1,MAX(0,(Assumptions!E$96-Project_Register!$AJ$21+1)/(Project_Register!$AK$21-Project_Register!$AJ$21+1)))</f>
        <v>0</v>
      </c>
      <c r="F603" s="104" t="n">
        <f aca="false">MIN(1,MAX(0,(Assumptions!F$96-Project_Register!$AJ$21+1)/(Project_Register!$AK$21-Project_Register!$AJ$21+1)))</f>
        <v>0</v>
      </c>
      <c r="G603" s="104" t="n">
        <f aca="false">MIN(1,MAX(0,(Assumptions!G$96-Project_Register!$AJ$21+1)/(Project_Register!$AK$21-Project_Register!$AJ$21+1)))</f>
        <v>0</v>
      </c>
      <c r="H603" s="104" t="n">
        <f aca="false">MIN(1,MAX(0,(Assumptions!H$96-Project_Register!$AJ$21+1)/(Project_Register!$AK$21-Project_Register!$AJ$21+1)))</f>
        <v>0</v>
      </c>
      <c r="I603" s="104" t="n">
        <f aca="false">MIN(1,MAX(0,(Assumptions!I$96-Project_Register!$AJ$21+1)/(Project_Register!$AK$21-Project_Register!$AJ$21+1)))</f>
        <v>0</v>
      </c>
      <c r="J603" s="104" t="n">
        <f aca="false">MIN(1,MAX(0,(Assumptions!J$96-Project_Register!$AJ$21+1)/(Project_Register!$AK$21-Project_Register!$AJ$21+1)))</f>
        <v>0</v>
      </c>
      <c r="K603" s="104" t="n">
        <f aca="false">MIN(1,MAX(0,(Assumptions!K$96-Project_Register!$AJ$21+1)/(Project_Register!$AK$21-Project_Register!$AJ$21+1)))</f>
        <v>0</v>
      </c>
      <c r="L603" s="104" t="n">
        <f aca="false">MIN(1,MAX(0,(Assumptions!L$96-Project_Register!$AJ$21+1)/(Project_Register!$AK$21-Project_Register!$AJ$21+1)))</f>
        <v>0</v>
      </c>
      <c r="M603" s="104" t="n">
        <f aca="false">MIN(1,MAX(0,(Assumptions!M$96-Project_Register!$AJ$21+1)/(Project_Register!$AK$21-Project_Register!$AJ$21+1)))</f>
        <v>0</v>
      </c>
      <c r="N603" s="104" t="n">
        <f aca="false">MIN(1,MAX(0,(Assumptions!N$96-Project_Register!$AJ$21+1)/(Project_Register!$AK$21-Project_Register!$AJ$21+1)))</f>
        <v>0</v>
      </c>
      <c r="O603" s="104" t="n">
        <f aca="false">MIN(1,MAX(0,(Assumptions!O$96-Project_Register!$AJ$21+1)/(Project_Register!$AK$21-Project_Register!$AJ$21+1)))</f>
        <v>0</v>
      </c>
      <c r="P603" s="104" t="n">
        <f aca="false">MIN(1,MAX(0,(Assumptions!P$96-Project_Register!$AJ$21+1)/(Project_Register!$AK$21-Project_Register!$AJ$21+1)))</f>
        <v>0</v>
      </c>
      <c r="Q603" s="104" t="n">
        <f aca="false">MIN(1,MAX(0,(Assumptions!Q$96-Project_Register!$AJ$21+1)/(Project_Register!$AK$21-Project_Register!$AJ$21+1)))</f>
        <v>0</v>
      </c>
      <c r="R603" s="104" t="n">
        <f aca="false">MIN(1,MAX(0,(Assumptions!R$96-Project_Register!$AJ$21+1)/(Project_Register!$AK$21-Project_Register!$AJ$21+1)))</f>
        <v>0</v>
      </c>
      <c r="S603" s="104" t="n">
        <f aca="false">MIN(1,MAX(0,(Assumptions!S$96-Project_Register!$AJ$21+1)/(Project_Register!$AK$21-Project_Register!$AJ$21+1)))</f>
        <v>0</v>
      </c>
      <c r="T603" s="104" t="n">
        <f aca="false">MIN(1,MAX(0,(Assumptions!T$96-Project_Register!$AJ$21+1)/(Project_Register!$AK$21-Project_Register!$AJ$21+1)))</f>
        <v>0</v>
      </c>
      <c r="U603" s="104" t="n">
        <f aca="false">MIN(1,MAX(0,(Assumptions!U$96-Project_Register!$AJ$21+1)/(Project_Register!$AK$21-Project_Register!$AJ$21+1)))</f>
        <v>0</v>
      </c>
      <c r="V603" s="104" t="n">
        <f aca="false">MIN(1,MAX(0,(Assumptions!V$96-Project_Register!$AJ$21+1)/(Project_Register!$AK$21-Project_Register!$AJ$21+1)))</f>
        <v>0</v>
      </c>
      <c r="W603" s="104" t="n">
        <f aca="false">MIN(1,MAX(0,(Assumptions!W$96-Project_Register!$AJ$21+1)/(Project_Register!$AK$21-Project_Register!$AJ$21+1)))</f>
        <v>0</v>
      </c>
      <c r="X603" s="104" t="n">
        <f aca="false">MIN(1,MAX(0,(Assumptions!X$96-Project_Register!$AJ$21+1)/(Project_Register!$AK$21-Project_Register!$AJ$21+1)))</f>
        <v>0</v>
      </c>
      <c r="Y603" s="104" t="n">
        <f aca="false">MIN(1,MAX(0,(Assumptions!Y$96-Project_Register!$AJ$21+1)/(Project_Register!$AK$21-Project_Register!$AJ$21+1)))</f>
        <v>0.125</v>
      </c>
      <c r="Z603" s="104" t="n">
        <f aca="false">MIN(1,MAX(0,(Assumptions!Z$96-Project_Register!$AJ$21+1)/(Project_Register!$AK$21-Project_Register!$AJ$21+1)))</f>
        <v>0.25</v>
      </c>
      <c r="AA603" s="104" t="n">
        <f aca="false">MIN(1,MAX(0,(Assumptions!AA$96-Project_Register!$AJ$21+1)/(Project_Register!$AK$21-Project_Register!$AJ$21+1)))</f>
        <v>0.375</v>
      </c>
      <c r="AB603" s="104" t="n">
        <f aca="false">MIN(1,MAX(0,(Assumptions!AB$96-Project_Register!$AJ$21+1)/(Project_Register!$AK$21-Project_Register!$AJ$21+1)))</f>
        <v>0.5</v>
      </c>
    </row>
    <row r="604" customFormat="false" ht="15" hidden="false" customHeight="false" outlineLevel="0" collapsed="false">
      <c r="A604" s="27" t="s">
        <v>718</v>
      </c>
      <c r="B604" s="56" t="s">
        <v>719</v>
      </c>
      <c r="E604" s="105" t="n">
        <f aca="false">3*E603^2-2*E603^3</f>
        <v>0</v>
      </c>
      <c r="F604" s="105" t="n">
        <f aca="false">3*F603^2-2*F603^3</f>
        <v>0</v>
      </c>
      <c r="G604" s="105" t="n">
        <f aca="false">3*G603^2-2*G603^3</f>
        <v>0</v>
      </c>
      <c r="H604" s="105" t="n">
        <f aca="false">3*H603^2-2*H603^3</f>
        <v>0</v>
      </c>
      <c r="I604" s="105" t="n">
        <f aca="false">3*I603^2-2*I603^3</f>
        <v>0</v>
      </c>
      <c r="J604" s="105" t="n">
        <f aca="false">3*J603^2-2*J603^3</f>
        <v>0</v>
      </c>
      <c r="K604" s="105" t="n">
        <f aca="false">3*K603^2-2*K603^3</f>
        <v>0</v>
      </c>
      <c r="L604" s="105" t="n">
        <f aca="false">3*L603^2-2*L603^3</f>
        <v>0</v>
      </c>
      <c r="M604" s="105" t="n">
        <f aca="false">3*M603^2-2*M603^3</f>
        <v>0</v>
      </c>
      <c r="N604" s="105" t="n">
        <f aca="false">3*N603^2-2*N603^3</f>
        <v>0</v>
      </c>
      <c r="O604" s="105" t="n">
        <f aca="false">3*O603^2-2*O603^3</f>
        <v>0</v>
      </c>
      <c r="P604" s="105" t="n">
        <f aca="false">3*P603^2-2*P603^3</f>
        <v>0</v>
      </c>
      <c r="Q604" s="105" t="n">
        <f aca="false">3*Q603^2-2*Q603^3</f>
        <v>0</v>
      </c>
      <c r="R604" s="105" t="n">
        <f aca="false">3*R603^2-2*R603^3</f>
        <v>0</v>
      </c>
      <c r="S604" s="105" t="n">
        <f aca="false">3*S603^2-2*S603^3</f>
        <v>0</v>
      </c>
      <c r="T604" s="105" t="n">
        <f aca="false">3*T603^2-2*T603^3</f>
        <v>0</v>
      </c>
      <c r="U604" s="105" t="n">
        <f aca="false">3*U603^2-2*U603^3</f>
        <v>0</v>
      </c>
      <c r="V604" s="105" t="n">
        <f aca="false">3*V603^2-2*V603^3</f>
        <v>0</v>
      </c>
      <c r="W604" s="105" t="n">
        <f aca="false">3*W603^2-2*W603^3</f>
        <v>0</v>
      </c>
      <c r="X604" s="105" t="n">
        <f aca="false">3*X603^2-2*X603^3</f>
        <v>0</v>
      </c>
      <c r="Y604" s="105" t="n">
        <f aca="false">3*Y603^2-2*Y603^3</f>
        <v>0.04296875</v>
      </c>
      <c r="Z604" s="105" t="n">
        <f aca="false">3*Z603^2-2*Z603^3</f>
        <v>0.15625</v>
      </c>
      <c r="AA604" s="105" t="n">
        <f aca="false">3*AA603^2-2*AA603^3</f>
        <v>0.31640625</v>
      </c>
      <c r="AB604" s="105" t="n">
        <f aca="false">3*AB603^2-2*AB603^3</f>
        <v>0.5</v>
      </c>
    </row>
    <row r="605" customFormat="false" ht="15" hidden="false" customHeight="false" outlineLevel="0" collapsed="false">
      <c r="A605" s="27" t="s">
        <v>720</v>
      </c>
      <c r="B605" s="56"/>
      <c r="E605" s="104" t="n">
        <f aca="false">3*MIN(1,MAX(0,(Assumptions!E$96-Project_Register!$AJ$21)/(Project_Register!$AK$21-Project_Register!$AJ$21+1)))^2-2*MIN(1,MAX(0,(Assumptions!E$96-Project_Register!$AJ$21)/(Project_Register!$AK$21-Project_Register!$AJ$21+1)))^3</f>
        <v>0</v>
      </c>
      <c r="F605" s="104" t="n">
        <f aca="false">3*MIN(1,MAX(0,(Assumptions!F$96-Project_Register!$AJ$21)/(Project_Register!$AK$21-Project_Register!$AJ$21+1)))^2-2*MIN(1,MAX(0,(Assumptions!F$96-Project_Register!$AJ$21)/(Project_Register!$AK$21-Project_Register!$AJ$21+1)))^3</f>
        <v>0</v>
      </c>
      <c r="G605" s="104" t="n">
        <f aca="false">3*MIN(1,MAX(0,(Assumptions!G$96-Project_Register!$AJ$21)/(Project_Register!$AK$21-Project_Register!$AJ$21+1)))^2-2*MIN(1,MAX(0,(Assumptions!G$96-Project_Register!$AJ$21)/(Project_Register!$AK$21-Project_Register!$AJ$21+1)))^3</f>
        <v>0</v>
      </c>
      <c r="H605" s="104" t="n">
        <f aca="false">3*MIN(1,MAX(0,(Assumptions!H$96-Project_Register!$AJ$21)/(Project_Register!$AK$21-Project_Register!$AJ$21+1)))^2-2*MIN(1,MAX(0,(Assumptions!H$96-Project_Register!$AJ$21)/(Project_Register!$AK$21-Project_Register!$AJ$21+1)))^3</f>
        <v>0</v>
      </c>
      <c r="I605" s="104" t="n">
        <f aca="false">3*MIN(1,MAX(0,(Assumptions!I$96-Project_Register!$AJ$21)/(Project_Register!$AK$21-Project_Register!$AJ$21+1)))^2-2*MIN(1,MAX(0,(Assumptions!I$96-Project_Register!$AJ$21)/(Project_Register!$AK$21-Project_Register!$AJ$21+1)))^3</f>
        <v>0</v>
      </c>
      <c r="J605" s="104" t="n">
        <f aca="false">3*MIN(1,MAX(0,(Assumptions!J$96-Project_Register!$AJ$21)/(Project_Register!$AK$21-Project_Register!$AJ$21+1)))^2-2*MIN(1,MAX(0,(Assumptions!J$96-Project_Register!$AJ$21)/(Project_Register!$AK$21-Project_Register!$AJ$21+1)))^3</f>
        <v>0</v>
      </c>
      <c r="K605" s="104" t="n">
        <f aca="false">3*MIN(1,MAX(0,(Assumptions!K$96-Project_Register!$AJ$21)/(Project_Register!$AK$21-Project_Register!$AJ$21+1)))^2-2*MIN(1,MAX(0,(Assumptions!K$96-Project_Register!$AJ$21)/(Project_Register!$AK$21-Project_Register!$AJ$21+1)))^3</f>
        <v>0</v>
      </c>
      <c r="L605" s="104" t="n">
        <f aca="false">3*MIN(1,MAX(0,(Assumptions!L$96-Project_Register!$AJ$21)/(Project_Register!$AK$21-Project_Register!$AJ$21+1)))^2-2*MIN(1,MAX(0,(Assumptions!L$96-Project_Register!$AJ$21)/(Project_Register!$AK$21-Project_Register!$AJ$21+1)))^3</f>
        <v>0</v>
      </c>
      <c r="M605" s="104" t="n">
        <f aca="false">3*MIN(1,MAX(0,(Assumptions!M$96-Project_Register!$AJ$21)/(Project_Register!$AK$21-Project_Register!$AJ$21+1)))^2-2*MIN(1,MAX(0,(Assumptions!M$96-Project_Register!$AJ$21)/(Project_Register!$AK$21-Project_Register!$AJ$21+1)))^3</f>
        <v>0</v>
      </c>
      <c r="N605" s="104" t="n">
        <f aca="false">3*MIN(1,MAX(0,(Assumptions!N$96-Project_Register!$AJ$21)/(Project_Register!$AK$21-Project_Register!$AJ$21+1)))^2-2*MIN(1,MAX(0,(Assumptions!N$96-Project_Register!$AJ$21)/(Project_Register!$AK$21-Project_Register!$AJ$21+1)))^3</f>
        <v>0</v>
      </c>
      <c r="O605" s="104" t="n">
        <f aca="false">3*MIN(1,MAX(0,(Assumptions!O$96-Project_Register!$AJ$21)/(Project_Register!$AK$21-Project_Register!$AJ$21+1)))^2-2*MIN(1,MAX(0,(Assumptions!O$96-Project_Register!$AJ$21)/(Project_Register!$AK$21-Project_Register!$AJ$21+1)))^3</f>
        <v>0</v>
      </c>
      <c r="P605" s="104" t="n">
        <f aca="false">3*MIN(1,MAX(0,(Assumptions!P$96-Project_Register!$AJ$21)/(Project_Register!$AK$21-Project_Register!$AJ$21+1)))^2-2*MIN(1,MAX(0,(Assumptions!P$96-Project_Register!$AJ$21)/(Project_Register!$AK$21-Project_Register!$AJ$21+1)))^3</f>
        <v>0</v>
      </c>
      <c r="Q605" s="104" t="n">
        <f aca="false">3*MIN(1,MAX(0,(Assumptions!Q$96-Project_Register!$AJ$21)/(Project_Register!$AK$21-Project_Register!$AJ$21+1)))^2-2*MIN(1,MAX(0,(Assumptions!Q$96-Project_Register!$AJ$21)/(Project_Register!$AK$21-Project_Register!$AJ$21+1)))^3</f>
        <v>0</v>
      </c>
      <c r="R605" s="104" t="n">
        <f aca="false">3*MIN(1,MAX(0,(Assumptions!R$96-Project_Register!$AJ$21)/(Project_Register!$AK$21-Project_Register!$AJ$21+1)))^2-2*MIN(1,MAX(0,(Assumptions!R$96-Project_Register!$AJ$21)/(Project_Register!$AK$21-Project_Register!$AJ$21+1)))^3</f>
        <v>0</v>
      </c>
      <c r="S605" s="104" t="n">
        <f aca="false">3*MIN(1,MAX(0,(Assumptions!S$96-Project_Register!$AJ$21)/(Project_Register!$AK$21-Project_Register!$AJ$21+1)))^2-2*MIN(1,MAX(0,(Assumptions!S$96-Project_Register!$AJ$21)/(Project_Register!$AK$21-Project_Register!$AJ$21+1)))^3</f>
        <v>0</v>
      </c>
      <c r="T605" s="104" t="n">
        <f aca="false">3*MIN(1,MAX(0,(Assumptions!T$96-Project_Register!$AJ$21)/(Project_Register!$AK$21-Project_Register!$AJ$21+1)))^2-2*MIN(1,MAX(0,(Assumptions!T$96-Project_Register!$AJ$21)/(Project_Register!$AK$21-Project_Register!$AJ$21+1)))^3</f>
        <v>0</v>
      </c>
      <c r="U605" s="104" t="n">
        <f aca="false">3*MIN(1,MAX(0,(Assumptions!U$96-Project_Register!$AJ$21)/(Project_Register!$AK$21-Project_Register!$AJ$21+1)))^2-2*MIN(1,MAX(0,(Assumptions!U$96-Project_Register!$AJ$21)/(Project_Register!$AK$21-Project_Register!$AJ$21+1)))^3</f>
        <v>0</v>
      </c>
      <c r="V605" s="104" t="n">
        <f aca="false">3*MIN(1,MAX(0,(Assumptions!V$96-Project_Register!$AJ$21)/(Project_Register!$AK$21-Project_Register!$AJ$21+1)))^2-2*MIN(1,MAX(0,(Assumptions!V$96-Project_Register!$AJ$21)/(Project_Register!$AK$21-Project_Register!$AJ$21+1)))^3</f>
        <v>0</v>
      </c>
      <c r="W605" s="104" t="n">
        <f aca="false">3*MIN(1,MAX(0,(Assumptions!W$96-Project_Register!$AJ$21)/(Project_Register!$AK$21-Project_Register!$AJ$21+1)))^2-2*MIN(1,MAX(0,(Assumptions!W$96-Project_Register!$AJ$21)/(Project_Register!$AK$21-Project_Register!$AJ$21+1)))^3</f>
        <v>0</v>
      </c>
      <c r="X605" s="104" t="n">
        <f aca="false">3*MIN(1,MAX(0,(Assumptions!X$96-Project_Register!$AJ$21)/(Project_Register!$AK$21-Project_Register!$AJ$21+1)))^2-2*MIN(1,MAX(0,(Assumptions!X$96-Project_Register!$AJ$21)/(Project_Register!$AK$21-Project_Register!$AJ$21+1)))^3</f>
        <v>0</v>
      </c>
      <c r="Y605" s="104" t="n">
        <f aca="false">3*MIN(1,MAX(0,(Assumptions!Y$96-Project_Register!$AJ$21)/(Project_Register!$AK$21-Project_Register!$AJ$21+1)))^2-2*MIN(1,MAX(0,(Assumptions!Y$96-Project_Register!$AJ$21)/(Project_Register!$AK$21-Project_Register!$AJ$21+1)))^3</f>
        <v>0</v>
      </c>
      <c r="Z605" s="104" t="n">
        <f aca="false">3*MIN(1,MAX(0,(Assumptions!Z$96-Project_Register!$AJ$21)/(Project_Register!$AK$21-Project_Register!$AJ$21+1)))^2-2*MIN(1,MAX(0,(Assumptions!Z$96-Project_Register!$AJ$21)/(Project_Register!$AK$21-Project_Register!$AJ$21+1)))^3</f>
        <v>0.04296875</v>
      </c>
      <c r="AA605" s="104" t="n">
        <f aca="false">3*MIN(1,MAX(0,(Assumptions!AA$96-Project_Register!$AJ$21)/(Project_Register!$AK$21-Project_Register!$AJ$21+1)))^2-2*MIN(1,MAX(0,(Assumptions!AA$96-Project_Register!$AJ$21)/(Project_Register!$AK$21-Project_Register!$AJ$21+1)))^3</f>
        <v>0.15625</v>
      </c>
      <c r="AB605" s="104" t="n">
        <f aca="false">3*MIN(1,MAX(0,(Assumptions!AB$96-Project_Register!$AJ$21)/(Project_Register!$AK$21-Project_Register!$AJ$21+1)))^2-2*MIN(1,MAX(0,(Assumptions!AB$96-Project_Register!$AJ$21)/(Project_Register!$AK$21-Project_Register!$AJ$21+1)))^3</f>
        <v>0.31640625</v>
      </c>
    </row>
    <row r="606" customFormat="false" ht="15" hidden="false" customHeight="false" outlineLevel="0" collapsed="false">
      <c r="A606" s="27" t="s">
        <v>721</v>
      </c>
      <c r="B606" s="56" t="s">
        <v>722</v>
      </c>
      <c r="C606" s="57" t="n">
        <f aca="false">SUM(E606:P606)</f>
        <v>0</v>
      </c>
      <c r="D606" s="57" t="n">
        <f aca="false">SUM(Q606:AB606)</f>
        <v>22440</v>
      </c>
      <c r="E606" s="58" t="n">
        <f aca="false">IF(E$5="A",0,IF((Project_Register!$AT$21-Project_Register!$AQ$21)&lt;=0,0,IF(1-Project_Register!$AV$21&lt;=0.000001,IF(Assumptions!E$96=Assumptions!$C$10+1,(Project_Register!$AT$21-Project_Register!$AQ$21),0),(Project_Register!$AT$21-Project_Register!$AQ$21)*(E604-E605)/(1-Project_Register!$AV$21)))*Project_Register!$X$21)</f>
        <v>0</v>
      </c>
      <c r="F606" s="58" t="n">
        <f aca="false">IF(F$5="A",0,IF((Project_Register!$AT$21-Project_Register!$AQ$21)&lt;=0,0,IF(1-Project_Register!$AV$21&lt;=0.000001,IF(Assumptions!F$96=Assumptions!$C$10+1,(Project_Register!$AT$21-Project_Register!$AQ$21),0),(Project_Register!$AT$21-Project_Register!$AQ$21)*(F604-F605)/(1-Project_Register!$AV$21)))*Project_Register!$X$21)</f>
        <v>0</v>
      </c>
      <c r="G606" s="58" t="n">
        <f aca="false">IF(G$5="A",0,IF((Project_Register!$AT$21-Project_Register!$AQ$21)&lt;=0,0,IF(1-Project_Register!$AV$21&lt;=0.000001,IF(Assumptions!G$96=Assumptions!$C$10+1,(Project_Register!$AT$21-Project_Register!$AQ$21),0),(Project_Register!$AT$21-Project_Register!$AQ$21)*(G604-G605)/(1-Project_Register!$AV$21)))*Project_Register!$X$21)</f>
        <v>0</v>
      </c>
      <c r="H606" s="58" t="n">
        <f aca="false">IF(H$5="A",0,IF((Project_Register!$AT$21-Project_Register!$AQ$21)&lt;=0,0,IF(1-Project_Register!$AV$21&lt;=0.000001,IF(Assumptions!H$96=Assumptions!$C$10+1,(Project_Register!$AT$21-Project_Register!$AQ$21),0),(Project_Register!$AT$21-Project_Register!$AQ$21)*(H604-H605)/(1-Project_Register!$AV$21)))*Project_Register!$X$21)</f>
        <v>0</v>
      </c>
      <c r="I606" s="58" t="n">
        <f aca="false">IF(I$5="A",0,IF((Project_Register!$AT$21-Project_Register!$AQ$21)&lt;=0,0,IF(1-Project_Register!$AV$21&lt;=0.000001,IF(Assumptions!I$96=Assumptions!$C$10+1,(Project_Register!$AT$21-Project_Register!$AQ$21),0),(Project_Register!$AT$21-Project_Register!$AQ$21)*(I604-I605)/(1-Project_Register!$AV$21)))*Project_Register!$X$21)</f>
        <v>0</v>
      </c>
      <c r="J606" s="58" t="n">
        <f aca="false">IF(J$5="A",0,IF((Project_Register!$AT$21-Project_Register!$AQ$21)&lt;=0,0,IF(1-Project_Register!$AV$21&lt;=0.000001,IF(Assumptions!J$96=Assumptions!$C$10+1,(Project_Register!$AT$21-Project_Register!$AQ$21),0),(Project_Register!$AT$21-Project_Register!$AQ$21)*(J604-J605)/(1-Project_Register!$AV$21)))*Project_Register!$X$21)</f>
        <v>0</v>
      </c>
      <c r="K606" s="58" t="n">
        <f aca="false">IF(K$5="A",0,IF((Project_Register!$AT$21-Project_Register!$AQ$21)&lt;=0,0,IF(1-Project_Register!$AV$21&lt;=0.000001,IF(Assumptions!K$96=Assumptions!$C$10+1,(Project_Register!$AT$21-Project_Register!$AQ$21),0),(Project_Register!$AT$21-Project_Register!$AQ$21)*(K604-K605)/(1-Project_Register!$AV$21)))*Project_Register!$X$21)</f>
        <v>0</v>
      </c>
      <c r="L606" s="58" t="n">
        <f aca="false">IF(L$5="A",0,IF((Project_Register!$AT$21-Project_Register!$AQ$21)&lt;=0,0,IF(1-Project_Register!$AV$21&lt;=0.000001,IF(Assumptions!L$96=Assumptions!$C$10+1,(Project_Register!$AT$21-Project_Register!$AQ$21),0),(Project_Register!$AT$21-Project_Register!$AQ$21)*(L604-L605)/(1-Project_Register!$AV$21)))*Project_Register!$X$21)</f>
        <v>0</v>
      </c>
      <c r="M606" s="58" t="n">
        <f aca="false">IF(M$5="A",0,IF((Project_Register!$AT$21-Project_Register!$AQ$21)&lt;=0,0,IF(1-Project_Register!$AV$21&lt;=0.000001,IF(Assumptions!M$96=Assumptions!$C$10+1,(Project_Register!$AT$21-Project_Register!$AQ$21),0),(Project_Register!$AT$21-Project_Register!$AQ$21)*(M604-M605)/(1-Project_Register!$AV$21)))*Project_Register!$X$21)</f>
        <v>0</v>
      </c>
      <c r="N606" s="58" t="n">
        <f aca="false">IF(N$5="A",0,IF((Project_Register!$AT$21-Project_Register!$AQ$21)&lt;=0,0,IF(1-Project_Register!$AV$21&lt;=0.000001,IF(Assumptions!N$96=Assumptions!$C$10+1,(Project_Register!$AT$21-Project_Register!$AQ$21),0),(Project_Register!$AT$21-Project_Register!$AQ$21)*(N604-N605)/(1-Project_Register!$AV$21)))*Project_Register!$X$21)</f>
        <v>0</v>
      </c>
      <c r="O606" s="58" t="n">
        <f aca="false">IF(O$5="A",0,IF((Project_Register!$AT$21-Project_Register!$AQ$21)&lt;=0,0,IF(1-Project_Register!$AV$21&lt;=0.000001,IF(Assumptions!O$96=Assumptions!$C$10+1,(Project_Register!$AT$21-Project_Register!$AQ$21),0),(Project_Register!$AT$21-Project_Register!$AQ$21)*(O604-O605)/(1-Project_Register!$AV$21)))*Project_Register!$X$21)</f>
        <v>0</v>
      </c>
      <c r="P606" s="58" t="n">
        <f aca="false">IF(P$5="A",0,IF((Project_Register!$AT$21-Project_Register!$AQ$21)&lt;=0,0,IF(1-Project_Register!$AV$21&lt;=0.000001,IF(Assumptions!P$96=Assumptions!$C$10+1,(Project_Register!$AT$21-Project_Register!$AQ$21),0),(Project_Register!$AT$21-Project_Register!$AQ$21)*(P604-P605)/(1-Project_Register!$AV$21)))*Project_Register!$X$21)</f>
        <v>0</v>
      </c>
      <c r="Q606" s="58" t="n">
        <f aca="false">IF(Q$5="A",0,IF((Project_Register!$AT$21-Project_Register!$AQ$21)&lt;=0,0,IF(1-Project_Register!$AV$21&lt;=0.000001,IF(Assumptions!Q$96=Assumptions!$C$10+1,(Project_Register!$AT$21-Project_Register!$AQ$21),0),(Project_Register!$AT$21-Project_Register!$AQ$21)*(Q604-Q605)/(1-Project_Register!$AV$21)))*Project_Register!$X$21)</f>
        <v>0</v>
      </c>
      <c r="R606" s="58" t="n">
        <f aca="false">IF(R$5="A",0,IF((Project_Register!$AT$21-Project_Register!$AQ$21)&lt;=0,0,IF(1-Project_Register!$AV$21&lt;=0.000001,IF(Assumptions!R$96=Assumptions!$C$10+1,(Project_Register!$AT$21-Project_Register!$AQ$21),0),(Project_Register!$AT$21-Project_Register!$AQ$21)*(R604-R605)/(1-Project_Register!$AV$21)))*Project_Register!$X$21)</f>
        <v>0</v>
      </c>
      <c r="S606" s="58" t="n">
        <f aca="false">IF(S$5="A",0,IF((Project_Register!$AT$21-Project_Register!$AQ$21)&lt;=0,0,IF(1-Project_Register!$AV$21&lt;=0.000001,IF(Assumptions!S$96=Assumptions!$C$10+1,(Project_Register!$AT$21-Project_Register!$AQ$21),0),(Project_Register!$AT$21-Project_Register!$AQ$21)*(S604-S605)/(1-Project_Register!$AV$21)))*Project_Register!$X$21)</f>
        <v>0</v>
      </c>
      <c r="T606" s="58" t="n">
        <f aca="false">IF(T$5="A",0,IF((Project_Register!$AT$21-Project_Register!$AQ$21)&lt;=0,0,IF(1-Project_Register!$AV$21&lt;=0.000001,IF(Assumptions!T$96=Assumptions!$C$10+1,(Project_Register!$AT$21-Project_Register!$AQ$21),0),(Project_Register!$AT$21-Project_Register!$AQ$21)*(T604-T605)/(1-Project_Register!$AV$21)))*Project_Register!$X$21)</f>
        <v>0</v>
      </c>
      <c r="U606" s="58" t="n">
        <f aca="false">IF(U$5="A",0,IF((Project_Register!$AT$21-Project_Register!$AQ$21)&lt;=0,0,IF(1-Project_Register!$AV$21&lt;=0.000001,IF(Assumptions!U$96=Assumptions!$C$10+1,(Project_Register!$AT$21-Project_Register!$AQ$21),0),(Project_Register!$AT$21-Project_Register!$AQ$21)*(U604-U605)/(1-Project_Register!$AV$21)))*Project_Register!$X$21)</f>
        <v>0</v>
      </c>
      <c r="V606" s="58" t="n">
        <f aca="false">IF(V$5="A",0,IF((Project_Register!$AT$21-Project_Register!$AQ$21)&lt;=0,0,IF(1-Project_Register!$AV$21&lt;=0.000001,IF(Assumptions!V$96=Assumptions!$C$10+1,(Project_Register!$AT$21-Project_Register!$AQ$21),0),(Project_Register!$AT$21-Project_Register!$AQ$21)*(V604-V605)/(1-Project_Register!$AV$21)))*Project_Register!$X$21)</f>
        <v>0</v>
      </c>
      <c r="W606" s="58" t="n">
        <f aca="false">IF(W$5="A",0,IF((Project_Register!$AT$21-Project_Register!$AQ$21)&lt;=0,0,IF(1-Project_Register!$AV$21&lt;=0.000001,IF(Assumptions!W$96=Assumptions!$C$10+1,(Project_Register!$AT$21-Project_Register!$AQ$21),0),(Project_Register!$AT$21-Project_Register!$AQ$21)*(W604-W605)/(1-Project_Register!$AV$21)))*Project_Register!$X$21)</f>
        <v>0</v>
      </c>
      <c r="X606" s="58" t="n">
        <f aca="false">IF(X$5="A",0,IF((Project_Register!$AT$21-Project_Register!$AQ$21)&lt;=0,0,IF(1-Project_Register!$AV$21&lt;=0.000001,IF(Assumptions!X$96=Assumptions!$C$10+1,(Project_Register!$AT$21-Project_Register!$AQ$21),0),(Project_Register!$AT$21-Project_Register!$AQ$21)*(X604-X605)/(1-Project_Register!$AV$21)))*Project_Register!$X$21)</f>
        <v>0</v>
      </c>
      <c r="Y606" s="58" t="n">
        <f aca="false">IF(Y$5="A",0,IF((Project_Register!$AT$21-Project_Register!$AQ$21)&lt;=0,0,IF(1-Project_Register!$AV$21&lt;=0.000001,IF(Assumptions!Y$96=Assumptions!$C$10+1,(Project_Register!$AT$21-Project_Register!$AQ$21),0),(Project_Register!$AT$21-Project_Register!$AQ$21)*(Y604-Y605)/(1-Project_Register!$AV$21)))*Project_Register!$X$21)</f>
        <v>1928.4375</v>
      </c>
      <c r="Z606" s="58" t="n">
        <f aca="false">IF(Z$5="A",0,IF((Project_Register!$AT$21-Project_Register!$AQ$21)&lt;=0,0,IF(1-Project_Register!$AV$21&lt;=0.000001,IF(Assumptions!Z$96=Assumptions!$C$10+1,(Project_Register!$AT$21-Project_Register!$AQ$21),0),(Project_Register!$AT$21-Project_Register!$AQ$21)*(Z604-Z605)/(1-Project_Register!$AV$21)))*Project_Register!$X$21)</f>
        <v>5084.0625</v>
      </c>
      <c r="AA606" s="58" t="n">
        <f aca="false">IF(AA$5="A",0,IF((Project_Register!$AT$21-Project_Register!$AQ$21)&lt;=0,0,IF(1-Project_Register!$AV$21&lt;=0.000001,IF(Assumptions!AA$96=Assumptions!$C$10+1,(Project_Register!$AT$21-Project_Register!$AQ$21),0),(Project_Register!$AT$21-Project_Register!$AQ$21)*(AA604-AA605)/(1-Project_Register!$AV$21)))*Project_Register!$X$21)</f>
        <v>7187.8125</v>
      </c>
      <c r="AB606" s="58" t="n">
        <f aca="false">IF(AB$5="A",0,IF((Project_Register!$AT$21-Project_Register!$AQ$21)&lt;=0,0,IF(1-Project_Register!$AV$21&lt;=0.000001,IF(Assumptions!AB$96=Assumptions!$C$10+1,(Project_Register!$AT$21-Project_Register!$AQ$21),0),(Project_Register!$AT$21-Project_Register!$AQ$21)*(AB604-AB605)/(1-Project_Register!$AV$21)))*Project_Register!$X$21)</f>
        <v>8239.6875</v>
      </c>
    </row>
    <row r="607" customFormat="false" ht="15" hidden="false" customHeight="false" outlineLevel="0" collapsed="false">
      <c r="A607" s="27" t="s">
        <v>723</v>
      </c>
      <c r="B607" s="56" t="s">
        <v>722</v>
      </c>
      <c r="C607" s="57" t="n">
        <f aca="false">SUM(E607:P607)</f>
        <v>0</v>
      </c>
      <c r="D607" s="57" t="n">
        <f aca="false">SUM(Q607:AB607)</f>
        <v>70125</v>
      </c>
      <c r="E607" s="58" t="n">
        <f aca="false">IF(E$5="A",0,IF((Project_Register!$AT$21-Project_Register!$AQ$21)&lt;=0,0,IF(1-Project_Register!$AV$21&lt;=0.000001,IF(Assumptions!E$96=Assumptions!$C$10+1,(Project_Register!$AT$21-Project_Register!$AQ$21),0),(Project_Register!$AT$21-Project_Register!$AQ$21)*(E604-E605)/(1-Project_Register!$AV$21)))*Project_Register!$Y$21)</f>
        <v>0</v>
      </c>
      <c r="F607" s="58" t="n">
        <f aca="false">IF(F$5="A",0,IF((Project_Register!$AT$21-Project_Register!$AQ$21)&lt;=0,0,IF(1-Project_Register!$AV$21&lt;=0.000001,IF(Assumptions!F$96=Assumptions!$C$10+1,(Project_Register!$AT$21-Project_Register!$AQ$21),0),(Project_Register!$AT$21-Project_Register!$AQ$21)*(F604-F605)/(1-Project_Register!$AV$21)))*Project_Register!$Y$21)</f>
        <v>0</v>
      </c>
      <c r="G607" s="58" t="n">
        <f aca="false">IF(G$5="A",0,IF((Project_Register!$AT$21-Project_Register!$AQ$21)&lt;=0,0,IF(1-Project_Register!$AV$21&lt;=0.000001,IF(Assumptions!G$96=Assumptions!$C$10+1,(Project_Register!$AT$21-Project_Register!$AQ$21),0),(Project_Register!$AT$21-Project_Register!$AQ$21)*(G604-G605)/(1-Project_Register!$AV$21)))*Project_Register!$Y$21)</f>
        <v>0</v>
      </c>
      <c r="H607" s="58" t="n">
        <f aca="false">IF(H$5="A",0,IF((Project_Register!$AT$21-Project_Register!$AQ$21)&lt;=0,0,IF(1-Project_Register!$AV$21&lt;=0.000001,IF(Assumptions!H$96=Assumptions!$C$10+1,(Project_Register!$AT$21-Project_Register!$AQ$21),0),(Project_Register!$AT$21-Project_Register!$AQ$21)*(H604-H605)/(1-Project_Register!$AV$21)))*Project_Register!$Y$21)</f>
        <v>0</v>
      </c>
      <c r="I607" s="58" t="n">
        <f aca="false">IF(I$5="A",0,IF((Project_Register!$AT$21-Project_Register!$AQ$21)&lt;=0,0,IF(1-Project_Register!$AV$21&lt;=0.000001,IF(Assumptions!I$96=Assumptions!$C$10+1,(Project_Register!$AT$21-Project_Register!$AQ$21),0),(Project_Register!$AT$21-Project_Register!$AQ$21)*(I604-I605)/(1-Project_Register!$AV$21)))*Project_Register!$Y$21)</f>
        <v>0</v>
      </c>
      <c r="J607" s="58" t="n">
        <f aca="false">IF(J$5="A",0,IF((Project_Register!$AT$21-Project_Register!$AQ$21)&lt;=0,0,IF(1-Project_Register!$AV$21&lt;=0.000001,IF(Assumptions!J$96=Assumptions!$C$10+1,(Project_Register!$AT$21-Project_Register!$AQ$21),0),(Project_Register!$AT$21-Project_Register!$AQ$21)*(J604-J605)/(1-Project_Register!$AV$21)))*Project_Register!$Y$21)</f>
        <v>0</v>
      </c>
      <c r="K607" s="58" t="n">
        <f aca="false">IF(K$5="A",0,IF((Project_Register!$AT$21-Project_Register!$AQ$21)&lt;=0,0,IF(1-Project_Register!$AV$21&lt;=0.000001,IF(Assumptions!K$96=Assumptions!$C$10+1,(Project_Register!$AT$21-Project_Register!$AQ$21),0),(Project_Register!$AT$21-Project_Register!$AQ$21)*(K604-K605)/(1-Project_Register!$AV$21)))*Project_Register!$Y$21)</f>
        <v>0</v>
      </c>
      <c r="L607" s="58" t="n">
        <f aca="false">IF(L$5="A",0,IF((Project_Register!$AT$21-Project_Register!$AQ$21)&lt;=0,0,IF(1-Project_Register!$AV$21&lt;=0.000001,IF(Assumptions!L$96=Assumptions!$C$10+1,(Project_Register!$AT$21-Project_Register!$AQ$21),0),(Project_Register!$AT$21-Project_Register!$AQ$21)*(L604-L605)/(1-Project_Register!$AV$21)))*Project_Register!$Y$21)</f>
        <v>0</v>
      </c>
      <c r="M607" s="58" t="n">
        <f aca="false">IF(M$5="A",0,IF((Project_Register!$AT$21-Project_Register!$AQ$21)&lt;=0,0,IF(1-Project_Register!$AV$21&lt;=0.000001,IF(Assumptions!M$96=Assumptions!$C$10+1,(Project_Register!$AT$21-Project_Register!$AQ$21),0),(Project_Register!$AT$21-Project_Register!$AQ$21)*(M604-M605)/(1-Project_Register!$AV$21)))*Project_Register!$Y$21)</f>
        <v>0</v>
      </c>
      <c r="N607" s="58" t="n">
        <f aca="false">IF(N$5="A",0,IF((Project_Register!$AT$21-Project_Register!$AQ$21)&lt;=0,0,IF(1-Project_Register!$AV$21&lt;=0.000001,IF(Assumptions!N$96=Assumptions!$C$10+1,(Project_Register!$AT$21-Project_Register!$AQ$21),0),(Project_Register!$AT$21-Project_Register!$AQ$21)*(N604-N605)/(1-Project_Register!$AV$21)))*Project_Register!$Y$21)</f>
        <v>0</v>
      </c>
      <c r="O607" s="58" t="n">
        <f aca="false">IF(O$5="A",0,IF((Project_Register!$AT$21-Project_Register!$AQ$21)&lt;=0,0,IF(1-Project_Register!$AV$21&lt;=0.000001,IF(Assumptions!O$96=Assumptions!$C$10+1,(Project_Register!$AT$21-Project_Register!$AQ$21),0),(Project_Register!$AT$21-Project_Register!$AQ$21)*(O604-O605)/(1-Project_Register!$AV$21)))*Project_Register!$Y$21)</f>
        <v>0</v>
      </c>
      <c r="P607" s="58" t="n">
        <f aca="false">IF(P$5="A",0,IF((Project_Register!$AT$21-Project_Register!$AQ$21)&lt;=0,0,IF(1-Project_Register!$AV$21&lt;=0.000001,IF(Assumptions!P$96=Assumptions!$C$10+1,(Project_Register!$AT$21-Project_Register!$AQ$21),0),(Project_Register!$AT$21-Project_Register!$AQ$21)*(P604-P605)/(1-Project_Register!$AV$21)))*Project_Register!$Y$21)</f>
        <v>0</v>
      </c>
      <c r="Q607" s="58" t="n">
        <f aca="false">IF(Q$5="A",0,IF((Project_Register!$AT$21-Project_Register!$AQ$21)&lt;=0,0,IF(1-Project_Register!$AV$21&lt;=0.000001,IF(Assumptions!Q$96=Assumptions!$C$10+1,(Project_Register!$AT$21-Project_Register!$AQ$21),0),(Project_Register!$AT$21-Project_Register!$AQ$21)*(Q604-Q605)/(1-Project_Register!$AV$21)))*Project_Register!$Y$21)</f>
        <v>0</v>
      </c>
      <c r="R607" s="58" t="n">
        <f aca="false">IF(R$5="A",0,IF((Project_Register!$AT$21-Project_Register!$AQ$21)&lt;=0,0,IF(1-Project_Register!$AV$21&lt;=0.000001,IF(Assumptions!R$96=Assumptions!$C$10+1,(Project_Register!$AT$21-Project_Register!$AQ$21),0),(Project_Register!$AT$21-Project_Register!$AQ$21)*(R604-R605)/(1-Project_Register!$AV$21)))*Project_Register!$Y$21)</f>
        <v>0</v>
      </c>
      <c r="S607" s="58" t="n">
        <f aca="false">IF(S$5="A",0,IF((Project_Register!$AT$21-Project_Register!$AQ$21)&lt;=0,0,IF(1-Project_Register!$AV$21&lt;=0.000001,IF(Assumptions!S$96=Assumptions!$C$10+1,(Project_Register!$AT$21-Project_Register!$AQ$21),0),(Project_Register!$AT$21-Project_Register!$AQ$21)*(S604-S605)/(1-Project_Register!$AV$21)))*Project_Register!$Y$21)</f>
        <v>0</v>
      </c>
      <c r="T607" s="58" t="n">
        <f aca="false">IF(T$5="A",0,IF((Project_Register!$AT$21-Project_Register!$AQ$21)&lt;=0,0,IF(1-Project_Register!$AV$21&lt;=0.000001,IF(Assumptions!T$96=Assumptions!$C$10+1,(Project_Register!$AT$21-Project_Register!$AQ$21),0),(Project_Register!$AT$21-Project_Register!$AQ$21)*(T604-T605)/(1-Project_Register!$AV$21)))*Project_Register!$Y$21)</f>
        <v>0</v>
      </c>
      <c r="U607" s="58" t="n">
        <f aca="false">IF(U$5="A",0,IF((Project_Register!$AT$21-Project_Register!$AQ$21)&lt;=0,0,IF(1-Project_Register!$AV$21&lt;=0.000001,IF(Assumptions!U$96=Assumptions!$C$10+1,(Project_Register!$AT$21-Project_Register!$AQ$21),0),(Project_Register!$AT$21-Project_Register!$AQ$21)*(U604-U605)/(1-Project_Register!$AV$21)))*Project_Register!$Y$21)</f>
        <v>0</v>
      </c>
      <c r="V607" s="58" t="n">
        <f aca="false">IF(V$5="A",0,IF((Project_Register!$AT$21-Project_Register!$AQ$21)&lt;=0,0,IF(1-Project_Register!$AV$21&lt;=0.000001,IF(Assumptions!V$96=Assumptions!$C$10+1,(Project_Register!$AT$21-Project_Register!$AQ$21),0),(Project_Register!$AT$21-Project_Register!$AQ$21)*(V604-V605)/(1-Project_Register!$AV$21)))*Project_Register!$Y$21)</f>
        <v>0</v>
      </c>
      <c r="W607" s="58" t="n">
        <f aca="false">IF(W$5="A",0,IF((Project_Register!$AT$21-Project_Register!$AQ$21)&lt;=0,0,IF(1-Project_Register!$AV$21&lt;=0.000001,IF(Assumptions!W$96=Assumptions!$C$10+1,(Project_Register!$AT$21-Project_Register!$AQ$21),0),(Project_Register!$AT$21-Project_Register!$AQ$21)*(W604-W605)/(1-Project_Register!$AV$21)))*Project_Register!$Y$21)</f>
        <v>0</v>
      </c>
      <c r="X607" s="58" t="n">
        <f aca="false">IF(X$5="A",0,IF((Project_Register!$AT$21-Project_Register!$AQ$21)&lt;=0,0,IF(1-Project_Register!$AV$21&lt;=0.000001,IF(Assumptions!X$96=Assumptions!$C$10+1,(Project_Register!$AT$21-Project_Register!$AQ$21),0),(Project_Register!$AT$21-Project_Register!$AQ$21)*(X604-X605)/(1-Project_Register!$AV$21)))*Project_Register!$Y$21)</f>
        <v>0</v>
      </c>
      <c r="Y607" s="58" t="n">
        <f aca="false">IF(Y$5="A",0,IF((Project_Register!$AT$21-Project_Register!$AQ$21)&lt;=0,0,IF(1-Project_Register!$AV$21&lt;=0.000001,IF(Assumptions!Y$96=Assumptions!$C$10+1,(Project_Register!$AT$21-Project_Register!$AQ$21),0),(Project_Register!$AT$21-Project_Register!$AQ$21)*(Y604-Y605)/(1-Project_Register!$AV$21)))*Project_Register!$Y$21)</f>
        <v>6026.3671875</v>
      </c>
      <c r="Z607" s="58" t="n">
        <f aca="false">IF(Z$5="A",0,IF((Project_Register!$AT$21-Project_Register!$AQ$21)&lt;=0,0,IF(1-Project_Register!$AV$21&lt;=0.000001,IF(Assumptions!Z$96=Assumptions!$C$10+1,(Project_Register!$AT$21-Project_Register!$AQ$21),0),(Project_Register!$AT$21-Project_Register!$AQ$21)*(Z604-Z605)/(1-Project_Register!$AV$21)))*Project_Register!$Y$21)</f>
        <v>15887.6953125</v>
      </c>
      <c r="AA607" s="58" t="n">
        <f aca="false">IF(AA$5="A",0,IF((Project_Register!$AT$21-Project_Register!$AQ$21)&lt;=0,0,IF(1-Project_Register!$AV$21&lt;=0.000001,IF(Assumptions!AA$96=Assumptions!$C$10+1,(Project_Register!$AT$21-Project_Register!$AQ$21),0),(Project_Register!$AT$21-Project_Register!$AQ$21)*(AA604-AA605)/(1-Project_Register!$AV$21)))*Project_Register!$Y$21)</f>
        <v>22461.9140625</v>
      </c>
      <c r="AB607" s="58" t="n">
        <f aca="false">IF(AB$5="A",0,IF((Project_Register!$AT$21-Project_Register!$AQ$21)&lt;=0,0,IF(1-Project_Register!$AV$21&lt;=0.000001,IF(Assumptions!AB$96=Assumptions!$C$10+1,(Project_Register!$AT$21-Project_Register!$AQ$21),0),(Project_Register!$AT$21-Project_Register!$AQ$21)*(AB604-AB605)/(1-Project_Register!$AV$21)))*Project_Register!$Y$21)</f>
        <v>25749.0234375</v>
      </c>
    </row>
    <row r="608" customFormat="false" ht="15" hidden="false" customHeight="false" outlineLevel="0" collapsed="false">
      <c r="A608" s="27" t="s">
        <v>724</v>
      </c>
      <c r="B608" s="56" t="s">
        <v>722</v>
      </c>
      <c r="C608" s="57" t="n">
        <f aca="false">SUM(E608:P608)</f>
        <v>0</v>
      </c>
      <c r="D608" s="57" t="n">
        <f aca="false">SUM(Q608:AB608)</f>
        <v>33660</v>
      </c>
      <c r="E608" s="58" t="n">
        <f aca="false">IF(E$5="A",0,IF((Project_Register!$AT$21-Project_Register!$AQ$21)&lt;=0,0,IF(1-Project_Register!$AV$21&lt;=0.000001,IF(Assumptions!E$96=Assumptions!$C$10+1,(Project_Register!$AT$21-Project_Register!$AQ$21),0),(Project_Register!$AT$21-Project_Register!$AQ$21)*(E604-E605)/(1-Project_Register!$AV$21)))*Project_Register!$Z$21)</f>
        <v>0</v>
      </c>
      <c r="F608" s="58" t="n">
        <f aca="false">IF(F$5="A",0,IF((Project_Register!$AT$21-Project_Register!$AQ$21)&lt;=0,0,IF(1-Project_Register!$AV$21&lt;=0.000001,IF(Assumptions!F$96=Assumptions!$C$10+1,(Project_Register!$AT$21-Project_Register!$AQ$21),0),(Project_Register!$AT$21-Project_Register!$AQ$21)*(F604-F605)/(1-Project_Register!$AV$21)))*Project_Register!$Z$21)</f>
        <v>0</v>
      </c>
      <c r="G608" s="58" t="n">
        <f aca="false">IF(G$5="A",0,IF((Project_Register!$AT$21-Project_Register!$AQ$21)&lt;=0,0,IF(1-Project_Register!$AV$21&lt;=0.000001,IF(Assumptions!G$96=Assumptions!$C$10+1,(Project_Register!$AT$21-Project_Register!$AQ$21),0),(Project_Register!$AT$21-Project_Register!$AQ$21)*(G604-G605)/(1-Project_Register!$AV$21)))*Project_Register!$Z$21)</f>
        <v>0</v>
      </c>
      <c r="H608" s="58" t="n">
        <f aca="false">IF(H$5="A",0,IF((Project_Register!$AT$21-Project_Register!$AQ$21)&lt;=0,0,IF(1-Project_Register!$AV$21&lt;=0.000001,IF(Assumptions!H$96=Assumptions!$C$10+1,(Project_Register!$AT$21-Project_Register!$AQ$21),0),(Project_Register!$AT$21-Project_Register!$AQ$21)*(H604-H605)/(1-Project_Register!$AV$21)))*Project_Register!$Z$21)</f>
        <v>0</v>
      </c>
      <c r="I608" s="58" t="n">
        <f aca="false">IF(I$5="A",0,IF((Project_Register!$AT$21-Project_Register!$AQ$21)&lt;=0,0,IF(1-Project_Register!$AV$21&lt;=0.000001,IF(Assumptions!I$96=Assumptions!$C$10+1,(Project_Register!$AT$21-Project_Register!$AQ$21),0),(Project_Register!$AT$21-Project_Register!$AQ$21)*(I604-I605)/(1-Project_Register!$AV$21)))*Project_Register!$Z$21)</f>
        <v>0</v>
      </c>
      <c r="J608" s="58" t="n">
        <f aca="false">IF(J$5="A",0,IF((Project_Register!$AT$21-Project_Register!$AQ$21)&lt;=0,0,IF(1-Project_Register!$AV$21&lt;=0.000001,IF(Assumptions!J$96=Assumptions!$C$10+1,(Project_Register!$AT$21-Project_Register!$AQ$21),0),(Project_Register!$AT$21-Project_Register!$AQ$21)*(J604-J605)/(1-Project_Register!$AV$21)))*Project_Register!$Z$21)</f>
        <v>0</v>
      </c>
      <c r="K608" s="58" t="n">
        <f aca="false">IF(K$5="A",0,IF((Project_Register!$AT$21-Project_Register!$AQ$21)&lt;=0,0,IF(1-Project_Register!$AV$21&lt;=0.000001,IF(Assumptions!K$96=Assumptions!$C$10+1,(Project_Register!$AT$21-Project_Register!$AQ$21),0),(Project_Register!$AT$21-Project_Register!$AQ$21)*(K604-K605)/(1-Project_Register!$AV$21)))*Project_Register!$Z$21)</f>
        <v>0</v>
      </c>
      <c r="L608" s="58" t="n">
        <f aca="false">IF(L$5="A",0,IF((Project_Register!$AT$21-Project_Register!$AQ$21)&lt;=0,0,IF(1-Project_Register!$AV$21&lt;=0.000001,IF(Assumptions!L$96=Assumptions!$C$10+1,(Project_Register!$AT$21-Project_Register!$AQ$21),0),(Project_Register!$AT$21-Project_Register!$AQ$21)*(L604-L605)/(1-Project_Register!$AV$21)))*Project_Register!$Z$21)</f>
        <v>0</v>
      </c>
      <c r="M608" s="58" t="n">
        <f aca="false">IF(M$5="A",0,IF((Project_Register!$AT$21-Project_Register!$AQ$21)&lt;=0,0,IF(1-Project_Register!$AV$21&lt;=0.000001,IF(Assumptions!M$96=Assumptions!$C$10+1,(Project_Register!$AT$21-Project_Register!$AQ$21),0),(Project_Register!$AT$21-Project_Register!$AQ$21)*(M604-M605)/(1-Project_Register!$AV$21)))*Project_Register!$Z$21)</f>
        <v>0</v>
      </c>
      <c r="N608" s="58" t="n">
        <f aca="false">IF(N$5="A",0,IF((Project_Register!$AT$21-Project_Register!$AQ$21)&lt;=0,0,IF(1-Project_Register!$AV$21&lt;=0.000001,IF(Assumptions!N$96=Assumptions!$C$10+1,(Project_Register!$AT$21-Project_Register!$AQ$21),0),(Project_Register!$AT$21-Project_Register!$AQ$21)*(N604-N605)/(1-Project_Register!$AV$21)))*Project_Register!$Z$21)</f>
        <v>0</v>
      </c>
      <c r="O608" s="58" t="n">
        <f aca="false">IF(O$5="A",0,IF((Project_Register!$AT$21-Project_Register!$AQ$21)&lt;=0,0,IF(1-Project_Register!$AV$21&lt;=0.000001,IF(Assumptions!O$96=Assumptions!$C$10+1,(Project_Register!$AT$21-Project_Register!$AQ$21),0),(Project_Register!$AT$21-Project_Register!$AQ$21)*(O604-O605)/(1-Project_Register!$AV$21)))*Project_Register!$Z$21)</f>
        <v>0</v>
      </c>
      <c r="P608" s="58" t="n">
        <f aca="false">IF(P$5="A",0,IF((Project_Register!$AT$21-Project_Register!$AQ$21)&lt;=0,0,IF(1-Project_Register!$AV$21&lt;=0.000001,IF(Assumptions!P$96=Assumptions!$C$10+1,(Project_Register!$AT$21-Project_Register!$AQ$21),0),(Project_Register!$AT$21-Project_Register!$AQ$21)*(P604-P605)/(1-Project_Register!$AV$21)))*Project_Register!$Z$21)</f>
        <v>0</v>
      </c>
      <c r="Q608" s="58" t="n">
        <f aca="false">IF(Q$5="A",0,IF((Project_Register!$AT$21-Project_Register!$AQ$21)&lt;=0,0,IF(1-Project_Register!$AV$21&lt;=0.000001,IF(Assumptions!Q$96=Assumptions!$C$10+1,(Project_Register!$AT$21-Project_Register!$AQ$21),0),(Project_Register!$AT$21-Project_Register!$AQ$21)*(Q604-Q605)/(1-Project_Register!$AV$21)))*Project_Register!$Z$21)</f>
        <v>0</v>
      </c>
      <c r="R608" s="58" t="n">
        <f aca="false">IF(R$5="A",0,IF((Project_Register!$AT$21-Project_Register!$AQ$21)&lt;=0,0,IF(1-Project_Register!$AV$21&lt;=0.000001,IF(Assumptions!R$96=Assumptions!$C$10+1,(Project_Register!$AT$21-Project_Register!$AQ$21),0),(Project_Register!$AT$21-Project_Register!$AQ$21)*(R604-R605)/(1-Project_Register!$AV$21)))*Project_Register!$Z$21)</f>
        <v>0</v>
      </c>
      <c r="S608" s="58" t="n">
        <f aca="false">IF(S$5="A",0,IF((Project_Register!$AT$21-Project_Register!$AQ$21)&lt;=0,0,IF(1-Project_Register!$AV$21&lt;=0.000001,IF(Assumptions!S$96=Assumptions!$C$10+1,(Project_Register!$AT$21-Project_Register!$AQ$21),0),(Project_Register!$AT$21-Project_Register!$AQ$21)*(S604-S605)/(1-Project_Register!$AV$21)))*Project_Register!$Z$21)</f>
        <v>0</v>
      </c>
      <c r="T608" s="58" t="n">
        <f aca="false">IF(T$5="A",0,IF((Project_Register!$AT$21-Project_Register!$AQ$21)&lt;=0,0,IF(1-Project_Register!$AV$21&lt;=0.000001,IF(Assumptions!T$96=Assumptions!$C$10+1,(Project_Register!$AT$21-Project_Register!$AQ$21),0),(Project_Register!$AT$21-Project_Register!$AQ$21)*(T604-T605)/(1-Project_Register!$AV$21)))*Project_Register!$Z$21)</f>
        <v>0</v>
      </c>
      <c r="U608" s="58" t="n">
        <f aca="false">IF(U$5="A",0,IF((Project_Register!$AT$21-Project_Register!$AQ$21)&lt;=0,0,IF(1-Project_Register!$AV$21&lt;=0.000001,IF(Assumptions!U$96=Assumptions!$C$10+1,(Project_Register!$AT$21-Project_Register!$AQ$21),0),(Project_Register!$AT$21-Project_Register!$AQ$21)*(U604-U605)/(1-Project_Register!$AV$21)))*Project_Register!$Z$21)</f>
        <v>0</v>
      </c>
      <c r="V608" s="58" t="n">
        <f aca="false">IF(V$5="A",0,IF((Project_Register!$AT$21-Project_Register!$AQ$21)&lt;=0,0,IF(1-Project_Register!$AV$21&lt;=0.000001,IF(Assumptions!V$96=Assumptions!$C$10+1,(Project_Register!$AT$21-Project_Register!$AQ$21),0),(Project_Register!$AT$21-Project_Register!$AQ$21)*(V604-V605)/(1-Project_Register!$AV$21)))*Project_Register!$Z$21)</f>
        <v>0</v>
      </c>
      <c r="W608" s="58" t="n">
        <f aca="false">IF(W$5="A",0,IF((Project_Register!$AT$21-Project_Register!$AQ$21)&lt;=0,0,IF(1-Project_Register!$AV$21&lt;=0.000001,IF(Assumptions!W$96=Assumptions!$C$10+1,(Project_Register!$AT$21-Project_Register!$AQ$21),0),(Project_Register!$AT$21-Project_Register!$AQ$21)*(W604-W605)/(1-Project_Register!$AV$21)))*Project_Register!$Z$21)</f>
        <v>0</v>
      </c>
      <c r="X608" s="58" t="n">
        <f aca="false">IF(X$5="A",0,IF((Project_Register!$AT$21-Project_Register!$AQ$21)&lt;=0,0,IF(1-Project_Register!$AV$21&lt;=0.000001,IF(Assumptions!X$96=Assumptions!$C$10+1,(Project_Register!$AT$21-Project_Register!$AQ$21),0),(Project_Register!$AT$21-Project_Register!$AQ$21)*(X604-X605)/(1-Project_Register!$AV$21)))*Project_Register!$Z$21)</f>
        <v>0</v>
      </c>
      <c r="Y608" s="58" t="n">
        <f aca="false">IF(Y$5="A",0,IF((Project_Register!$AT$21-Project_Register!$AQ$21)&lt;=0,0,IF(1-Project_Register!$AV$21&lt;=0.000001,IF(Assumptions!Y$96=Assumptions!$C$10+1,(Project_Register!$AT$21-Project_Register!$AQ$21),0),(Project_Register!$AT$21-Project_Register!$AQ$21)*(Y604-Y605)/(1-Project_Register!$AV$21)))*Project_Register!$Z$21)</f>
        <v>2892.65625</v>
      </c>
      <c r="Z608" s="58" t="n">
        <f aca="false">IF(Z$5="A",0,IF((Project_Register!$AT$21-Project_Register!$AQ$21)&lt;=0,0,IF(1-Project_Register!$AV$21&lt;=0.000001,IF(Assumptions!Z$96=Assumptions!$C$10+1,(Project_Register!$AT$21-Project_Register!$AQ$21),0),(Project_Register!$AT$21-Project_Register!$AQ$21)*(Z604-Z605)/(1-Project_Register!$AV$21)))*Project_Register!$Z$21)</f>
        <v>7626.09375</v>
      </c>
      <c r="AA608" s="58" t="n">
        <f aca="false">IF(AA$5="A",0,IF((Project_Register!$AT$21-Project_Register!$AQ$21)&lt;=0,0,IF(1-Project_Register!$AV$21&lt;=0.000001,IF(Assumptions!AA$96=Assumptions!$C$10+1,(Project_Register!$AT$21-Project_Register!$AQ$21),0),(Project_Register!$AT$21-Project_Register!$AQ$21)*(AA604-AA605)/(1-Project_Register!$AV$21)))*Project_Register!$Z$21)</f>
        <v>10781.71875</v>
      </c>
      <c r="AB608" s="58" t="n">
        <f aca="false">IF(AB$5="A",0,IF((Project_Register!$AT$21-Project_Register!$AQ$21)&lt;=0,0,IF(1-Project_Register!$AV$21&lt;=0.000001,IF(Assumptions!AB$96=Assumptions!$C$10+1,(Project_Register!$AT$21-Project_Register!$AQ$21),0),(Project_Register!$AT$21-Project_Register!$AQ$21)*(AB604-AB605)/(1-Project_Register!$AV$21)))*Project_Register!$Z$21)</f>
        <v>12359.53125</v>
      </c>
    </row>
    <row r="609" customFormat="false" ht="15" hidden="false" customHeight="false" outlineLevel="0" collapsed="false">
      <c r="A609" s="27" t="s">
        <v>725</v>
      </c>
      <c r="B609" s="56" t="s">
        <v>722</v>
      </c>
      <c r="C609" s="57" t="n">
        <f aca="false">SUM(E609:P609)</f>
        <v>0</v>
      </c>
      <c r="D609" s="57" t="n">
        <f aca="false">SUM(Q609:AB609)</f>
        <v>4207.5</v>
      </c>
      <c r="E609" s="58" t="n">
        <f aca="false">IF(E$5="A",0,IF((Project_Register!$AT$21-Project_Register!$AQ$21)&lt;=0,0,IF(1-Project_Register!$AV$21&lt;=0.000001,IF(Assumptions!E$96=Assumptions!$C$10+1,(Project_Register!$AT$21-Project_Register!$AQ$21),0),(Project_Register!$AT$21-Project_Register!$AQ$21)*(E604-E605)/(1-Project_Register!$AV$21)))*Project_Register!$AA$21)</f>
        <v>0</v>
      </c>
      <c r="F609" s="58" t="n">
        <f aca="false">IF(F$5="A",0,IF((Project_Register!$AT$21-Project_Register!$AQ$21)&lt;=0,0,IF(1-Project_Register!$AV$21&lt;=0.000001,IF(Assumptions!F$96=Assumptions!$C$10+1,(Project_Register!$AT$21-Project_Register!$AQ$21),0),(Project_Register!$AT$21-Project_Register!$AQ$21)*(F604-F605)/(1-Project_Register!$AV$21)))*Project_Register!$AA$21)</f>
        <v>0</v>
      </c>
      <c r="G609" s="58" t="n">
        <f aca="false">IF(G$5="A",0,IF((Project_Register!$AT$21-Project_Register!$AQ$21)&lt;=0,0,IF(1-Project_Register!$AV$21&lt;=0.000001,IF(Assumptions!G$96=Assumptions!$C$10+1,(Project_Register!$AT$21-Project_Register!$AQ$21),0),(Project_Register!$AT$21-Project_Register!$AQ$21)*(G604-G605)/(1-Project_Register!$AV$21)))*Project_Register!$AA$21)</f>
        <v>0</v>
      </c>
      <c r="H609" s="58" t="n">
        <f aca="false">IF(H$5="A",0,IF((Project_Register!$AT$21-Project_Register!$AQ$21)&lt;=0,0,IF(1-Project_Register!$AV$21&lt;=0.000001,IF(Assumptions!H$96=Assumptions!$C$10+1,(Project_Register!$AT$21-Project_Register!$AQ$21),0),(Project_Register!$AT$21-Project_Register!$AQ$21)*(H604-H605)/(1-Project_Register!$AV$21)))*Project_Register!$AA$21)</f>
        <v>0</v>
      </c>
      <c r="I609" s="58" t="n">
        <f aca="false">IF(I$5="A",0,IF((Project_Register!$AT$21-Project_Register!$AQ$21)&lt;=0,0,IF(1-Project_Register!$AV$21&lt;=0.000001,IF(Assumptions!I$96=Assumptions!$C$10+1,(Project_Register!$AT$21-Project_Register!$AQ$21),0),(Project_Register!$AT$21-Project_Register!$AQ$21)*(I604-I605)/(1-Project_Register!$AV$21)))*Project_Register!$AA$21)</f>
        <v>0</v>
      </c>
      <c r="J609" s="58" t="n">
        <f aca="false">IF(J$5="A",0,IF((Project_Register!$AT$21-Project_Register!$AQ$21)&lt;=0,0,IF(1-Project_Register!$AV$21&lt;=0.000001,IF(Assumptions!J$96=Assumptions!$C$10+1,(Project_Register!$AT$21-Project_Register!$AQ$21),0),(Project_Register!$AT$21-Project_Register!$AQ$21)*(J604-J605)/(1-Project_Register!$AV$21)))*Project_Register!$AA$21)</f>
        <v>0</v>
      </c>
      <c r="K609" s="58" t="n">
        <f aca="false">IF(K$5="A",0,IF((Project_Register!$AT$21-Project_Register!$AQ$21)&lt;=0,0,IF(1-Project_Register!$AV$21&lt;=0.000001,IF(Assumptions!K$96=Assumptions!$C$10+1,(Project_Register!$AT$21-Project_Register!$AQ$21),0),(Project_Register!$AT$21-Project_Register!$AQ$21)*(K604-K605)/(1-Project_Register!$AV$21)))*Project_Register!$AA$21)</f>
        <v>0</v>
      </c>
      <c r="L609" s="58" t="n">
        <f aca="false">IF(L$5="A",0,IF((Project_Register!$AT$21-Project_Register!$AQ$21)&lt;=0,0,IF(1-Project_Register!$AV$21&lt;=0.000001,IF(Assumptions!L$96=Assumptions!$C$10+1,(Project_Register!$AT$21-Project_Register!$AQ$21),0),(Project_Register!$AT$21-Project_Register!$AQ$21)*(L604-L605)/(1-Project_Register!$AV$21)))*Project_Register!$AA$21)</f>
        <v>0</v>
      </c>
      <c r="M609" s="58" t="n">
        <f aca="false">IF(M$5="A",0,IF((Project_Register!$AT$21-Project_Register!$AQ$21)&lt;=0,0,IF(1-Project_Register!$AV$21&lt;=0.000001,IF(Assumptions!M$96=Assumptions!$C$10+1,(Project_Register!$AT$21-Project_Register!$AQ$21),0),(Project_Register!$AT$21-Project_Register!$AQ$21)*(M604-M605)/(1-Project_Register!$AV$21)))*Project_Register!$AA$21)</f>
        <v>0</v>
      </c>
      <c r="N609" s="58" t="n">
        <f aca="false">IF(N$5="A",0,IF((Project_Register!$AT$21-Project_Register!$AQ$21)&lt;=0,0,IF(1-Project_Register!$AV$21&lt;=0.000001,IF(Assumptions!N$96=Assumptions!$C$10+1,(Project_Register!$AT$21-Project_Register!$AQ$21),0),(Project_Register!$AT$21-Project_Register!$AQ$21)*(N604-N605)/(1-Project_Register!$AV$21)))*Project_Register!$AA$21)</f>
        <v>0</v>
      </c>
      <c r="O609" s="58" t="n">
        <f aca="false">IF(O$5="A",0,IF((Project_Register!$AT$21-Project_Register!$AQ$21)&lt;=0,0,IF(1-Project_Register!$AV$21&lt;=0.000001,IF(Assumptions!O$96=Assumptions!$C$10+1,(Project_Register!$AT$21-Project_Register!$AQ$21),0),(Project_Register!$AT$21-Project_Register!$AQ$21)*(O604-O605)/(1-Project_Register!$AV$21)))*Project_Register!$AA$21)</f>
        <v>0</v>
      </c>
      <c r="P609" s="58" t="n">
        <f aca="false">IF(P$5="A",0,IF((Project_Register!$AT$21-Project_Register!$AQ$21)&lt;=0,0,IF(1-Project_Register!$AV$21&lt;=0.000001,IF(Assumptions!P$96=Assumptions!$C$10+1,(Project_Register!$AT$21-Project_Register!$AQ$21),0),(Project_Register!$AT$21-Project_Register!$AQ$21)*(P604-P605)/(1-Project_Register!$AV$21)))*Project_Register!$AA$21)</f>
        <v>0</v>
      </c>
      <c r="Q609" s="58" t="n">
        <f aca="false">IF(Q$5="A",0,IF((Project_Register!$AT$21-Project_Register!$AQ$21)&lt;=0,0,IF(1-Project_Register!$AV$21&lt;=0.000001,IF(Assumptions!Q$96=Assumptions!$C$10+1,(Project_Register!$AT$21-Project_Register!$AQ$21),0),(Project_Register!$AT$21-Project_Register!$AQ$21)*(Q604-Q605)/(1-Project_Register!$AV$21)))*Project_Register!$AA$21)</f>
        <v>0</v>
      </c>
      <c r="R609" s="58" t="n">
        <f aca="false">IF(R$5="A",0,IF((Project_Register!$AT$21-Project_Register!$AQ$21)&lt;=0,0,IF(1-Project_Register!$AV$21&lt;=0.000001,IF(Assumptions!R$96=Assumptions!$C$10+1,(Project_Register!$AT$21-Project_Register!$AQ$21),0),(Project_Register!$AT$21-Project_Register!$AQ$21)*(R604-R605)/(1-Project_Register!$AV$21)))*Project_Register!$AA$21)</f>
        <v>0</v>
      </c>
      <c r="S609" s="58" t="n">
        <f aca="false">IF(S$5="A",0,IF((Project_Register!$AT$21-Project_Register!$AQ$21)&lt;=0,0,IF(1-Project_Register!$AV$21&lt;=0.000001,IF(Assumptions!S$96=Assumptions!$C$10+1,(Project_Register!$AT$21-Project_Register!$AQ$21),0),(Project_Register!$AT$21-Project_Register!$AQ$21)*(S604-S605)/(1-Project_Register!$AV$21)))*Project_Register!$AA$21)</f>
        <v>0</v>
      </c>
      <c r="T609" s="58" t="n">
        <f aca="false">IF(T$5="A",0,IF((Project_Register!$AT$21-Project_Register!$AQ$21)&lt;=0,0,IF(1-Project_Register!$AV$21&lt;=0.000001,IF(Assumptions!T$96=Assumptions!$C$10+1,(Project_Register!$AT$21-Project_Register!$AQ$21),0),(Project_Register!$AT$21-Project_Register!$AQ$21)*(T604-T605)/(1-Project_Register!$AV$21)))*Project_Register!$AA$21)</f>
        <v>0</v>
      </c>
      <c r="U609" s="58" t="n">
        <f aca="false">IF(U$5="A",0,IF((Project_Register!$AT$21-Project_Register!$AQ$21)&lt;=0,0,IF(1-Project_Register!$AV$21&lt;=0.000001,IF(Assumptions!U$96=Assumptions!$C$10+1,(Project_Register!$AT$21-Project_Register!$AQ$21),0),(Project_Register!$AT$21-Project_Register!$AQ$21)*(U604-U605)/(1-Project_Register!$AV$21)))*Project_Register!$AA$21)</f>
        <v>0</v>
      </c>
      <c r="V609" s="58" t="n">
        <f aca="false">IF(V$5="A",0,IF((Project_Register!$AT$21-Project_Register!$AQ$21)&lt;=0,0,IF(1-Project_Register!$AV$21&lt;=0.000001,IF(Assumptions!V$96=Assumptions!$C$10+1,(Project_Register!$AT$21-Project_Register!$AQ$21),0),(Project_Register!$AT$21-Project_Register!$AQ$21)*(V604-V605)/(1-Project_Register!$AV$21)))*Project_Register!$AA$21)</f>
        <v>0</v>
      </c>
      <c r="W609" s="58" t="n">
        <f aca="false">IF(W$5="A",0,IF((Project_Register!$AT$21-Project_Register!$AQ$21)&lt;=0,0,IF(1-Project_Register!$AV$21&lt;=0.000001,IF(Assumptions!W$96=Assumptions!$C$10+1,(Project_Register!$AT$21-Project_Register!$AQ$21),0),(Project_Register!$AT$21-Project_Register!$AQ$21)*(W604-W605)/(1-Project_Register!$AV$21)))*Project_Register!$AA$21)</f>
        <v>0</v>
      </c>
      <c r="X609" s="58" t="n">
        <f aca="false">IF(X$5="A",0,IF((Project_Register!$AT$21-Project_Register!$AQ$21)&lt;=0,0,IF(1-Project_Register!$AV$21&lt;=0.000001,IF(Assumptions!X$96=Assumptions!$C$10+1,(Project_Register!$AT$21-Project_Register!$AQ$21),0),(Project_Register!$AT$21-Project_Register!$AQ$21)*(X604-X605)/(1-Project_Register!$AV$21)))*Project_Register!$AA$21)</f>
        <v>0</v>
      </c>
      <c r="Y609" s="58" t="n">
        <f aca="false">IF(Y$5="A",0,IF((Project_Register!$AT$21-Project_Register!$AQ$21)&lt;=0,0,IF(1-Project_Register!$AV$21&lt;=0.000001,IF(Assumptions!Y$96=Assumptions!$C$10+1,(Project_Register!$AT$21-Project_Register!$AQ$21),0),(Project_Register!$AT$21-Project_Register!$AQ$21)*(Y604-Y605)/(1-Project_Register!$AV$21)))*Project_Register!$AA$21)</f>
        <v>361.58203125</v>
      </c>
      <c r="Z609" s="58" t="n">
        <f aca="false">IF(Z$5="A",0,IF((Project_Register!$AT$21-Project_Register!$AQ$21)&lt;=0,0,IF(1-Project_Register!$AV$21&lt;=0.000001,IF(Assumptions!Z$96=Assumptions!$C$10+1,(Project_Register!$AT$21-Project_Register!$AQ$21),0),(Project_Register!$AT$21-Project_Register!$AQ$21)*(Z604-Z605)/(1-Project_Register!$AV$21)))*Project_Register!$AA$21)</f>
        <v>953.26171875</v>
      </c>
      <c r="AA609" s="58" t="n">
        <f aca="false">IF(AA$5="A",0,IF((Project_Register!$AT$21-Project_Register!$AQ$21)&lt;=0,0,IF(1-Project_Register!$AV$21&lt;=0.000001,IF(Assumptions!AA$96=Assumptions!$C$10+1,(Project_Register!$AT$21-Project_Register!$AQ$21),0),(Project_Register!$AT$21-Project_Register!$AQ$21)*(AA604-AA605)/(1-Project_Register!$AV$21)))*Project_Register!$AA$21)</f>
        <v>1347.71484375</v>
      </c>
      <c r="AB609" s="58" t="n">
        <f aca="false">IF(AB$5="A",0,IF((Project_Register!$AT$21-Project_Register!$AQ$21)&lt;=0,0,IF(1-Project_Register!$AV$21&lt;=0.000001,IF(Assumptions!AB$96=Assumptions!$C$10+1,(Project_Register!$AT$21-Project_Register!$AQ$21),0),(Project_Register!$AT$21-Project_Register!$AQ$21)*(AB604-AB605)/(1-Project_Register!$AV$21)))*Project_Register!$AA$21)</f>
        <v>1544.94140625</v>
      </c>
    </row>
    <row r="610" customFormat="false" ht="15" hidden="false" customHeight="false" outlineLevel="0" collapsed="false">
      <c r="A610" s="27" t="s">
        <v>726</v>
      </c>
      <c r="B610" s="56" t="s">
        <v>722</v>
      </c>
      <c r="C610" s="57" t="n">
        <f aca="false">SUM(E610:P610)</f>
        <v>0</v>
      </c>
      <c r="D610" s="57" t="n">
        <f aca="false">SUM(Q610:AB610)</f>
        <v>9817.5</v>
      </c>
      <c r="E610" s="58" t="n">
        <f aca="false">IF(E$5="A",0,IF((Project_Register!$AT$21-Project_Register!$AQ$21)&lt;=0,0,IF(1-Project_Register!$AV$21&lt;=0.000001,IF(Assumptions!E$96=Assumptions!$C$10+1,(Project_Register!$AT$21-Project_Register!$AQ$21),0),(Project_Register!$AT$21-Project_Register!$AQ$21)*(E604-E605)/(1-Project_Register!$AV$21)))*Project_Register!$AB$21)</f>
        <v>0</v>
      </c>
      <c r="F610" s="58" t="n">
        <f aca="false">IF(F$5="A",0,IF((Project_Register!$AT$21-Project_Register!$AQ$21)&lt;=0,0,IF(1-Project_Register!$AV$21&lt;=0.000001,IF(Assumptions!F$96=Assumptions!$C$10+1,(Project_Register!$AT$21-Project_Register!$AQ$21),0),(Project_Register!$AT$21-Project_Register!$AQ$21)*(F604-F605)/(1-Project_Register!$AV$21)))*Project_Register!$AB$21)</f>
        <v>0</v>
      </c>
      <c r="G610" s="58" t="n">
        <f aca="false">IF(G$5="A",0,IF((Project_Register!$AT$21-Project_Register!$AQ$21)&lt;=0,0,IF(1-Project_Register!$AV$21&lt;=0.000001,IF(Assumptions!G$96=Assumptions!$C$10+1,(Project_Register!$AT$21-Project_Register!$AQ$21),0),(Project_Register!$AT$21-Project_Register!$AQ$21)*(G604-G605)/(1-Project_Register!$AV$21)))*Project_Register!$AB$21)</f>
        <v>0</v>
      </c>
      <c r="H610" s="58" t="n">
        <f aca="false">IF(H$5="A",0,IF((Project_Register!$AT$21-Project_Register!$AQ$21)&lt;=0,0,IF(1-Project_Register!$AV$21&lt;=0.000001,IF(Assumptions!H$96=Assumptions!$C$10+1,(Project_Register!$AT$21-Project_Register!$AQ$21),0),(Project_Register!$AT$21-Project_Register!$AQ$21)*(H604-H605)/(1-Project_Register!$AV$21)))*Project_Register!$AB$21)</f>
        <v>0</v>
      </c>
      <c r="I610" s="58" t="n">
        <f aca="false">IF(I$5="A",0,IF((Project_Register!$AT$21-Project_Register!$AQ$21)&lt;=0,0,IF(1-Project_Register!$AV$21&lt;=0.000001,IF(Assumptions!I$96=Assumptions!$C$10+1,(Project_Register!$AT$21-Project_Register!$AQ$21),0),(Project_Register!$AT$21-Project_Register!$AQ$21)*(I604-I605)/(1-Project_Register!$AV$21)))*Project_Register!$AB$21)</f>
        <v>0</v>
      </c>
      <c r="J610" s="58" t="n">
        <f aca="false">IF(J$5="A",0,IF((Project_Register!$AT$21-Project_Register!$AQ$21)&lt;=0,0,IF(1-Project_Register!$AV$21&lt;=0.000001,IF(Assumptions!J$96=Assumptions!$C$10+1,(Project_Register!$AT$21-Project_Register!$AQ$21),0),(Project_Register!$AT$21-Project_Register!$AQ$21)*(J604-J605)/(1-Project_Register!$AV$21)))*Project_Register!$AB$21)</f>
        <v>0</v>
      </c>
      <c r="K610" s="58" t="n">
        <f aca="false">IF(K$5="A",0,IF((Project_Register!$AT$21-Project_Register!$AQ$21)&lt;=0,0,IF(1-Project_Register!$AV$21&lt;=0.000001,IF(Assumptions!K$96=Assumptions!$C$10+1,(Project_Register!$AT$21-Project_Register!$AQ$21),0),(Project_Register!$AT$21-Project_Register!$AQ$21)*(K604-K605)/(1-Project_Register!$AV$21)))*Project_Register!$AB$21)</f>
        <v>0</v>
      </c>
      <c r="L610" s="58" t="n">
        <f aca="false">IF(L$5="A",0,IF((Project_Register!$AT$21-Project_Register!$AQ$21)&lt;=0,0,IF(1-Project_Register!$AV$21&lt;=0.000001,IF(Assumptions!L$96=Assumptions!$C$10+1,(Project_Register!$AT$21-Project_Register!$AQ$21),0),(Project_Register!$AT$21-Project_Register!$AQ$21)*(L604-L605)/(1-Project_Register!$AV$21)))*Project_Register!$AB$21)</f>
        <v>0</v>
      </c>
      <c r="M610" s="58" t="n">
        <f aca="false">IF(M$5="A",0,IF((Project_Register!$AT$21-Project_Register!$AQ$21)&lt;=0,0,IF(1-Project_Register!$AV$21&lt;=0.000001,IF(Assumptions!M$96=Assumptions!$C$10+1,(Project_Register!$AT$21-Project_Register!$AQ$21),0),(Project_Register!$AT$21-Project_Register!$AQ$21)*(M604-M605)/(1-Project_Register!$AV$21)))*Project_Register!$AB$21)</f>
        <v>0</v>
      </c>
      <c r="N610" s="58" t="n">
        <f aca="false">IF(N$5="A",0,IF((Project_Register!$AT$21-Project_Register!$AQ$21)&lt;=0,0,IF(1-Project_Register!$AV$21&lt;=0.000001,IF(Assumptions!N$96=Assumptions!$C$10+1,(Project_Register!$AT$21-Project_Register!$AQ$21),0),(Project_Register!$AT$21-Project_Register!$AQ$21)*(N604-N605)/(1-Project_Register!$AV$21)))*Project_Register!$AB$21)</f>
        <v>0</v>
      </c>
      <c r="O610" s="58" t="n">
        <f aca="false">IF(O$5="A",0,IF((Project_Register!$AT$21-Project_Register!$AQ$21)&lt;=0,0,IF(1-Project_Register!$AV$21&lt;=0.000001,IF(Assumptions!O$96=Assumptions!$C$10+1,(Project_Register!$AT$21-Project_Register!$AQ$21),0),(Project_Register!$AT$21-Project_Register!$AQ$21)*(O604-O605)/(1-Project_Register!$AV$21)))*Project_Register!$AB$21)</f>
        <v>0</v>
      </c>
      <c r="P610" s="58" t="n">
        <f aca="false">IF(P$5="A",0,IF((Project_Register!$AT$21-Project_Register!$AQ$21)&lt;=0,0,IF(1-Project_Register!$AV$21&lt;=0.000001,IF(Assumptions!P$96=Assumptions!$C$10+1,(Project_Register!$AT$21-Project_Register!$AQ$21),0),(Project_Register!$AT$21-Project_Register!$AQ$21)*(P604-P605)/(1-Project_Register!$AV$21)))*Project_Register!$AB$21)</f>
        <v>0</v>
      </c>
      <c r="Q610" s="58" t="n">
        <f aca="false">IF(Q$5="A",0,IF((Project_Register!$AT$21-Project_Register!$AQ$21)&lt;=0,0,IF(1-Project_Register!$AV$21&lt;=0.000001,IF(Assumptions!Q$96=Assumptions!$C$10+1,(Project_Register!$AT$21-Project_Register!$AQ$21),0),(Project_Register!$AT$21-Project_Register!$AQ$21)*(Q604-Q605)/(1-Project_Register!$AV$21)))*Project_Register!$AB$21)</f>
        <v>0</v>
      </c>
      <c r="R610" s="58" t="n">
        <f aca="false">IF(R$5="A",0,IF((Project_Register!$AT$21-Project_Register!$AQ$21)&lt;=0,0,IF(1-Project_Register!$AV$21&lt;=0.000001,IF(Assumptions!R$96=Assumptions!$C$10+1,(Project_Register!$AT$21-Project_Register!$AQ$21),0),(Project_Register!$AT$21-Project_Register!$AQ$21)*(R604-R605)/(1-Project_Register!$AV$21)))*Project_Register!$AB$21)</f>
        <v>0</v>
      </c>
      <c r="S610" s="58" t="n">
        <f aca="false">IF(S$5="A",0,IF((Project_Register!$AT$21-Project_Register!$AQ$21)&lt;=0,0,IF(1-Project_Register!$AV$21&lt;=0.000001,IF(Assumptions!S$96=Assumptions!$C$10+1,(Project_Register!$AT$21-Project_Register!$AQ$21),0),(Project_Register!$AT$21-Project_Register!$AQ$21)*(S604-S605)/(1-Project_Register!$AV$21)))*Project_Register!$AB$21)</f>
        <v>0</v>
      </c>
      <c r="T610" s="58" t="n">
        <f aca="false">IF(T$5="A",0,IF((Project_Register!$AT$21-Project_Register!$AQ$21)&lt;=0,0,IF(1-Project_Register!$AV$21&lt;=0.000001,IF(Assumptions!T$96=Assumptions!$C$10+1,(Project_Register!$AT$21-Project_Register!$AQ$21),0),(Project_Register!$AT$21-Project_Register!$AQ$21)*(T604-T605)/(1-Project_Register!$AV$21)))*Project_Register!$AB$21)</f>
        <v>0</v>
      </c>
      <c r="U610" s="58" t="n">
        <f aca="false">IF(U$5="A",0,IF((Project_Register!$AT$21-Project_Register!$AQ$21)&lt;=0,0,IF(1-Project_Register!$AV$21&lt;=0.000001,IF(Assumptions!U$96=Assumptions!$C$10+1,(Project_Register!$AT$21-Project_Register!$AQ$21),0),(Project_Register!$AT$21-Project_Register!$AQ$21)*(U604-U605)/(1-Project_Register!$AV$21)))*Project_Register!$AB$21)</f>
        <v>0</v>
      </c>
      <c r="V610" s="58" t="n">
        <f aca="false">IF(V$5="A",0,IF((Project_Register!$AT$21-Project_Register!$AQ$21)&lt;=0,0,IF(1-Project_Register!$AV$21&lt;=0.000001,IF(Assumptions!V$96=Assumptions!$C$10+1,(Project_Register!$AT$21-Project_Register!$AQ$21),0),(Project_Register!$AT$21-Project_Register!$AQ$21)*(V604-V605)/(1-Project_Register!$AV$21)))*Project_Register!$AB$21)</f>
        <v>0</v>
      </c>
      <c r="W610" s="58" t="n">
        <f aca="false">IF(W$5="A",0,IF((Project_Register!$AT$21-Project_Register!$AQ$21)&lt;=0,0,IF(1-Project_Register!$AV$21&lt;=0.000001,IF(Assumptions!W$96=Assumptions!$C$10+1,(Project_Register!$AT$21-Project_Register!$AQ$21),0),(Project_Register!$AT$21-Project_Register!$AQ$21)*(W604-W605)/(1-Project_Register!$AV$21)))*Project_Register!$AB$21)</f>
        <v>0</v>
      </c>
      <c r="X610" s="58" t="n">
        <f aca="false">IF(X$5="A",0,IF((Project_Register!$AT$21-Project_Register!$AQ$21)&lt;=0,0,IF(1-Project_Register!$AV$21&lt;=0.000001,IF(Assumptions!X$96=Assumptions!$C$10+1,(Project_Register!$AT$21-Project_Register!$AQ$21),0),(Project_Register!$AT$21-Project_Register!$AQ$21)*(X604-X605)/(1-Project_Register!$AV$21)))*Project_Register!$AB$21)</f>
        <v>0</v>
      </c>
      <c r="Y610" s="58" t="n">
        <f aca="false">IF(Y$5="A",0,IF((Project_Register!$AT$21-Project_Register!$AQ$21)&lt;=0,0,IF(1-Project_Register!$AV$21&lt;=0.000001,IF(Assumptions!Y$96=Assumptions!$C$10+1,(Project_Register!$AT$21-Project_Register!$AQ$21),0),(Project_Register!$AT$21-Project_Register!$AQ$21)*(Y604-Y605)/(1-Project_Register!$AV$21)))*Project_Register!$AB$21)</f>
        <v>843.69140625</v>
      </c>
      <c r="Z610" s="58" t="n">
        <f aca="false">IF(Z$5="A",0,IF((Project_Register!$AT$21-Project_Register!$AQ$21)&lt;=0,0,IF(1-Project_Register!$AV$21&lt;=0.000001,IF(Assumptions!Z$96=Assumptions!$C$10+1,(Project_Register!$AT$21-Project_Register!$AQ$21),0),(Project_Register!$AT$21-Project_Register!$AQ$21)*(Z604-Z605)/(1-Project_Register!$AV$21)))*Project_Register!$AB$21)</f>
        <v>2224.27734375</v>
      </c>
      <c r="AA610" s="58" t="n">
        <f aca="false">IF(AA$5="A",0,IF((Project_Register!$AT$21-Project_Register!$AQ$21)&lt;=0,0,IF(1-Project_Register!$AV$21&lt;=0.000001,IF(Assumptions!AA$96=Assumptions!$C$10+1,(Project_Register!$AT$21-Project_Register!$AQ$21),0),(Project_Register!$AT$21-Project_Register!$AQ$21)*(AA604-AA605)/(1-Project_Register!$AV$21)))*Project_Register!$AB$21)</f>
        <v>3144.66796875</v>
      </c>
      <c r="AB610" s="58" t="n">
        <f aca="false">IF(AB$5="A",0,IF((Project_Register!$AT$21-Project_Register!$AQ$21)&lt;=0,0,IF(1-Project_Register!$AV$21&lt;=0.000001,IF(Assumptions!AB$96=Assumptions!$C$10+1,(Project_Register!$AT$21-Project_Register!$AQ$21),0),(Project_Register!$AT$21-Project_Register!$AQ$21)*(AB604-AB605)/(1-Project_Register!$AV$21)))*Project_Register!$AB$21)</f>
        <v>3604.86328125</v>
      </c>
    </row>
    <row r="611" customFormat="false" ht="15" hidden="false" customHeight="false" outlineLevel="0" collapsed="false">
      <c r="A611" s="67" t="s">
        <v>727</v>
      </c>
      <c r="B611" s="68" t="s">
        <v>728</v>
      </c>
      <c r="C611" s="69" t="n">
        <f aca="false">SUM(E611:P611)</f>
        <v>0</v>
      </c>
      <c r="D611" s="69" t="n">
        <f aca="false">SUM(Q611:AB611)</f>
        <v>140250</v>
      </c>
      <c r="E611" s="69" t="n">
        <f aca="false">SUM(E606:E610)</f>
        <v>0</v>
      </c>
      <c r="F611" s="69" t="n">
        <f aca="false">SUM(F606:F610)</f>
        <v>0</v>
      </c>
      <c r="G611" s="69" t="n">
        <f aca="false">SUM(G606:G610)</f>
        <v>0</v>
      </c>
      <c r="H611" s="69" t="n">
        <f aca="false">SUM(H606:H610)</f>
        <v>0</v>
      </c>
      <c r="I611" s="69" t="n">
        <f aca="false">SUM(I606:I610)</f>
        <v>0</v>
      </c>
      <c r="J611" s="69" t="n">
        <f aca="false">SUM(J606:J610)</f>
        <v>0</v>
      </c>
      <c r="K611" s="69" t="n">
        <f aca="false">SUM(K606:K610)</f>
        <v>0</v>
      </c>
      <c r="L611" s="69" t="n">
        <f aca="false">SUM(L606:L610)</f>
        <v>0</v>
      </c>
      <c r="M611" s="69" t="n">
        <f aca="false">SUM(M606:M610)</f>
        <v>0</v>
      </c>
      <c r="N611" s="69" t="n">
        <f aca="false">SUM(N606:N610)</f>
        <v>0</v>
      </c>
      <c r="O611" s="69" t="n">
        <f aca="false">SUM(O606:O610)</f>
        <v>0</v>
      </c>
      <c r="P611" s="69" t="n">
        <f aca="false">SUM(P606:P610)</f>
        <v>0</v>
      </c>
      <c r="Q611" s="69" t="n">
        <f aca="false">SUM(Q606:Q610)</f>
        <v>0</v>
      </c>
      <c r="R611" s="69" t="n">
        <f aca="false">SUM(R606:R610)</f>
        <v>0</v>
      </c>
      <c r="S611" s="69" t="n">
        <f aca="false">SUM(S606:S610)</f>
        <v>0</v>
      </c>
      <c r="T611" s="69" t="n">
        <f aca="false">SUM(T606:T610)</f>
        <v>0</v>
      </c>
      <c r="U611" s="69" t="n">
        <f aca="false">SUM(U606:U610)</f>
        <v>0</v>
      </c>
      <c r="V611" s="69" t="n">
        <f aca="false">SUM(V606:V610)</f>
        <v>0</v>
      </c>
      <c r="W611" s="69" t="n">
        <f aca="false">SUM(W606:W610)</f>
        <v>0</v>
      </c>
      <c r="X611" s="69" t="n">
        <f aca="false">SUM(X606:X610)</f>
        <v>0</v>
      </c>
      <c r="Y611" s="69" t="n">
        <f aca="false">SUM(Y606:Y610)</f>
        <v>12052.734375</v>
      </c>
      <c r="Z611" s="69" t="n">
        <f aca="false">SUM(Z606:Z610)</f>
        <v>31775.390625</v>
      </c>
      <c r="AA611" s="69" t="n">
        <f aca="false">SUM(AA606:AA610)</f>
        <v>44923.828125</v>
      </c>
      <c r="AB611" s="69" t="n">
        <f aca="false">SUM(AB606:AB610)</f>
        <v>51498.046875</v>
      </c>
    </row>
    <row r="612" customFormat="false" ht="15" hidden="false" customHeight="false" outlineLevel="0" collapsed="false">
      <c r="A612" s="27" t="s">
        <v>729</v>
      </c>
      <c r="B612" s="56" t="s">
        <v>730</v>
      </c>
      <c r="C612" s="57" t="n">
        <f aca="false">P612</f>
        <v>0</v>
      </c>
      <c r="D612" s="57" t="n">
        <f aca="false">AB612</f>
        <v>140250</v>
      </c>
      <c r="E612" s="58" t="n">
        <f aca="false">Project_Register!$AC$21+E611</f>
        <v>0</v>
      </c>
      <c r="F612" s="70" t="n">
        <f aca="false">E612+F611</f>
        <v>0</v>
      </c>
      <c r="G612" s="70" t="n">
        <f aca="false">F612+G611</f>
        <v>0</v>
      </c>
      <c r="H612" s="70" t="n">
        <f aca="false">G612+H611</f>
        <v>0</v>
      </c>
      <c r="I612" s="70" t="n">
        <f aca="false">H612+I611</f>
        <v>0</v>
      </c>
      <c r="J612" s="70" t="n">
        <f aca="false">I612+J611</f>
        <v>0</v>
      </c>
      <c r="K612" s="70" t="n">
        <f aca="false">J612+K611</f>
        <v>0</v>
      </c>
      <c r="L612" s="70" t="n">
        <f aca="false">K612+L611</f>
        <v>0</v>
      </c>
      <c r="M612" s="70" t="n">
        <f aca="false">L612+M611</f>
        <v>0</v>
      </c>
      <c r="N612" s="70" t="n">
        <f aca="false">M612+N611</f>
        <v>0</v>
      </c>
      <c r="O612" s="70" t="n">
        <f aca="false">N612+O611</f>
        <v>0</v>
      </c>
      <c r="P612" s="70" t="n">
        <f aca="false">O612+P611</f>
        <v>0</v>
      </c>
      <c r="Q612" s="70" t="n">
        <f aca="false">P612+Q611</f>
        <v>0</v>
      </c>
      <c r="R612" s="70" t="n">
        <f aca="false">Q612+R611</f>
        <v>0</v>
      </c>
      <c r="S612" s="70" t="n">
        <f aca="false">R612+S611</f>
        <v>0</v>
      </c>
      <c r="T612" s="70" t="n">
        <f aca="false">S612+T611</f>
        <v>0</v>
      </c>
      <c r="U612" s="70" t="n">
        <f aca="false">T612+U611</f>
        <v>0</v>
      </c>
      <c r="V612" s="70" t="n">
        <f aca="false">U612+V611</f>
        <v>0</v>
      </c>
      <c r="W612" s="70" t="n">
        <f aca="false">V612+W611</f>
        <v>0</v>
      </c>
      <c r="X612" s="70" t="n">
        <f aca="false">W612+X611</f>
        <v>0</v>
      </c>
      <c r="Y612" s="70" t="n">
        <f aca="false">X612+Y611</f>
        <v>12052.734375</v>
      </c>
      <c r="Z612" s="70" t="n">
        <f aca="false">Y612+Z611</f>
        <v>43828.125</v>
      </c>
      <c r="AA612" s="70" t="n">
        <f aca="false">Z612+AA611</f>
        <v>88751.953125</v>
      </c>
      <c r="AB612" s="70" t="n">
        <f aca="false">AA612+AB611</f>
        <v>140250</v>
      </c>
    </row>
    <row r="613" customFormat="false" ht="15" hidden="false" customHeight="false" outlineLevel="0" collapsed="false">
      <c r="A613" s="27" t="s">
        <v>731</v>
      </c>
      <c r="B613" s="56" t="s">
        <v>732</v>
      </c>
      <c r="C613" s="57" t="n">
        <f aca="false">P613</f>
        <v>280500</v>
      </c>
      <c r="D613" s="57" t="n">
        <f aca="false">AB613</f>
        <v>280500</v>
      </c>
      <c r="E613" s="58" t="n">
        <f aca="false">IF(E$5="A",IF(E612+Project_Register!$AP$21&lt;=0,Project_Register!$AP$21,E612+Project_Register!$AP$21),Project_Register!$AT$21)</f>
        <v>280500</v>
      </c>
      <c r="F613" s="58" t="n">
        <f aca="false">IF(F$5="A",IF(F612+Project_Register!$AP$21&lt;=0,Project_Register!$AP$21,F612+Project_Register!$AP$21),Project_Register!$AT$21)</f>
        <v>280500</v>
      </c>
      <c r="G613" s="58" t="n">
        <f aca="false">IF(G$5="A",IF(G612+Project_Register!$AP$21&lt;=0,Project_Register!$AP$21,G612+Project_Register!$AP$21),Project_Register!$AT$21)</f>
        <v>280500</v>
      </c>
      <c r="H613" s="58" t="n">
        <f aca="false">IF(H$5="A",IF(H612+Project_Register!$AP$21&lt;=0,Project_Register!$AP$21,H612+Project_Register!$AP$21),Project_Register!$AT$21)</f>
        <v>280500</v>
      </c>
      <c r="I613" s="58" t="n">
        <f aca="false">IF(I$5="A",IF(I612+Project_Register!$AP$21&lt;=0,Project_Register!$AP$21,I612+Project_Register!$AP$21),Project_Register!$AT$21)</f>
        <v>280500</v>
      </c>
      <c r="J613" s="58" t="n">
        <f aca="false">IF(J$5="A",IF(J612+Project_Register!$AP$21&lt;=0,Project_Register!$AP$21,J612+Project_Register!$AP$21),Project_Register!$AT$21)</f>
        <v>280500</v>
      </c>
      <c r="K613" s="58" t="n">
        <f aca="false">IF(K$5="A",IF(K612+Project_Register!$AP$21&lt;=0,Project_Register!$AP$21,K612+Project_Register!$AP$21),Project_Register!$AT$21)</f>
        <v>280500</v>
      </c>
      <c r="L613" s="58" t="n">
        <f aca="false">IF(L$5="A",IF(L612+Project_Register!$AP$21&lt;=0,Project_Register!$AP$21,L612+Project_Register!$AP$21),Project_Register!$AT$21)</f>
        <v>280500</v>
      </c>
      <c r="M613" s="58" t="n">
        <f aca="false">IF(M$5="A",IF(M612+Project_Register!$AP$21&lt;=0,Project_Register!$AP$21,M612+Project_Register!$AP$21),Project_Register!$AT$21)</f>
        <v>280500</v>
      </c>
      <c r="N613" s="58" t="n">
        <f aca="false">IF(N$5="A",IF(N612+Project_Register!$AP$21&lt;=0,Project_Register!$AP$21,N612+Project_Register!$AP$21),Project_Register!$AT$21)</f>
        <v>280500</v>
      </c>
      <c r="O613" s="58" t="n">
        <f aca="false">IF(O$5="A",IF(O612+Project_Register!$AP$21&lt;=0,Project_Register!$AP$21,O612+Project_Register!$AP$21),Project_Register!$AT$21)</f>
        <v>280500</v>
      </c>
      <c r="P613" s="58" t="n">
        <f aca="false">IF(P$5="A",IF(P612+Project_Register!$AP$21&lt;=0,Project_Register!$AP$21,P612+Project_Register!$AP$21),Project_Register!$AT$21)</f>
        <v>280500</v>
      </c>
      <c r="Q613" s="58" t="n">
        <f aca="false">IF(Q$5="A",IF(Q612+Project_Register!$AP$21&lt;=0,Project_Register!$AP$21,Q612+Project_Register!$AP$21),Project_Register!$AT$21)</f>
        <v>280500</v>
      </c>
      <c r="R613" s="58" t="n">
        <f aca="false">IF(R$5="A",IF(R612+Project_Register!$AP$21&lt;=0,Project_Register!$AP$21,R612+Project_Register!$AP$21),Project_Register!$AT$21)</f>
        <v>280500</v>
      </c>
      <c r="S613" s="58" t="n">
        <f aca="false">IF(S$5="A",IF(S612+Project_Register!$AP$21&lt;=0,Project_Register!$AP$21,S612+Project_Register!$AP$21),Project_Register!$AT$21)</f>
        <v>280500</v>
      </c>
      <c r="T613" s="58" t="n">
        <f aca="false">IF(T$5="A",IF(T612+Project_Register!$AP$21&lt;=0,Project_Register!$AP$21,T612+Project_Register!$AP$21),Project_Register!$AT$21)</f>
        <v>280500</v>
      </c>
      <c r="U613" s="58" t="n">
        <f aca="false">IF(U$5="A",IF(U612+Project_Register!$AP$21&lt;=0,Project_Register!$AP$21,U612+Project_Register!$AP$21),Project_Register!$AT$21)</f>
        <v>280500</v>
      </c>
      <c r="V613" s="58" t="n">
        <f aca="false">IF(V$5="A",IF(V612+Project_Register!$AP$21&lt;=0,Project_Register!$AP$21,V612+Project_Register!$AP$21),Project_Register!$AT$21)</f>
        <v>280500</v>
      </c>
      <c r="W613" s="58" t="n">
        <f aca="false">IF(W$5="A",IF(W612+Project_Register!$AP$21&lt;=0,Project_Register!$AP$21,W612+Project_Register!$AP$21),Project_Register!$AT$21)</f>
        <v>280500</v>
      </c>
      <c r="X613" s="58" t="n">
        <f aca="false">IF(X$5="A",IF(X612+Project_Register!$AP$21&lt;=0,Project_Register!$AP$21,X612+Project_Register!$AP$21),Project_Register!$AT$21)</f>
        <v>280500</v>
      </c>
      <c r="Y613" s="58" t="n">
        <f aca="false">IF(Y$5="A",IF(Y612+Project_Register!$AP$21&lt;=0,Project_Register!$AP$21,Y612+Project_Register!$AP$21),Project_Register!$AT$21)</f>
        <v>280500</v>
      </c>
      <c r="Z613" s="58" t="n">
        <f aca="false">IF(Z$5="A",IF(Z612+Project_Register!$AP$21&lt;=0,Project_Register!$AP$21,Z612+Project_Register!$AP$21),Project_Register!$AT$21)</f>
        <v>280500</v>
      </c>
      <c r="AA613" s="58" t="n">
        <f aca="false">IF(AA$5="A",IF(AA612+Project_Register!$AP$21&lt;=0,Project_Register!$AP$21,AA612+Project_Register!$AP$21),Project_Register!$AT$21)</f>
        <v>280500</v>
      </c>
      <c r="AB613" s="58" t="n">
        <f aca="false">IF(AB$5="A",IF(AB612+Project_Register!$AP$21&lt;=0,Project_Register!$AP$21,AB612+Project_Register!$AP$21),Project_Register!$AT$21)</f>
        <v>280500</v>
      </c>
    </row>
    <row r="614" customFormat="false" ht="15" hidden="false" customHeight="false" outlineLevel="0" collapsed="false">
      <c r="A614" s="27" t="s">
        <v>733</v>
      </c>
      <c r="B614" s="56" t="s">
        <v>734</v>
      </c>
      <c r="C614" s="59" t="n">
        <f aca="false">P614</f>
        <v>0</v>
      </c>
      <c r="D614" s="59" t="n">
        <f aca="false">AB614</f>
        <v>0.5</v>
      </c>
      <c r="E614" s="60" t="n">
        <f aca="false">IF(E613&lt;=0,0,MIN(1,E612/E613))</f>
        <v>0</v>
      </c>
      <c r="F614" s="60" t="n">
        <f aca="false">IF(F613&lt;=0,0,MIN(1,F612/F613))</f>
        <v>0</v>
      </c>
      <c r="G614" s="60" t="n">
        <f aca="false">IF(G613&lt;=0,0,MIN(1,G612/G613))</f>
        <v>0</v>
      </c>
      <c r="H614" s="60" t="n">
        <f aca="false">IF(H613&lt;=0,0,MIN(1,H612/H613))</f>
        <v>0</v>
      </c>
      <c r="I614" s="60" t="n">
        <f aca="false">IF(I613&lt;=0,0,MIN(1,I612/I613))</f>
        <v>0</v>
      </c>
      <c r="J614" s="60" t="n">
        <f aca="false">IF(J613&lt;=0,0,MIN(1,J612/J613))</f>
        <v>0</v>
      </c>
      <c r="K614" s="60" t="n">
        <f aca="false">IF(K613&lt;=0,0,MIN(1,K612/K613))</f>
        <v>0</v>
      </c>
      <c r="L614" s="60" t="n">
        <f aca="false">IF(L613&lt;=0,0,MIN(1,L612/L613))</f>
        <v>0</v>
      </c>
      <c r="M614" s="60" t="n">
        <f aca="false">IF(M613&lt;=0,0,MIN(1,M612/M613))</f>
        <v>0</v>
      </c>
      <c r="N614" s="60" t="n">
        <f aca="false">IF(N613&lt;=0,0,MIN(1,N612/N613))</f>
        <v>0</v>
      </c>
      <c r="O614" s="60" t="n">
        <f aca="false">IF(O613&lt;=0,0,MIN(1,O612/O613))</f>
        <v>0</v>
      </c>
      <c r="P614" s="60" t="n">
        <f aca="false">IF(P613&lt;=0,0,MIN(1,P612/P613))</f>
        <v>0</v>
      </c>
      <c r="Q614" s="60" t="n">
        <f aca="false">IF(Q613&lt;=0,0,MIN(1,Q612/Q613))</f>
        <v>0</v>
      </c>
      <c r="R614" s="60" t="n">
        <f aca="false">IF(R613&lt;=0,0,MIN(1,R612/R613))</f>
        <v>0</v>
      </c>
      <c r="S614" s="60" t="n">
        <f aca="false">IF(S613&lt;=0,0,MIN(1,S612/S613))</f>
        <v>0</v>
      </c>
      <c r="T614" s="60" t="n">
        <f aca="false">IF(T613&lt;=0,0,MIN(1,T612/T613))</f>
        <v>0</v>
      </c>
      <c r="U614" s="60" t="n">
        <f aca="false">IF(U613&lt;=0,0,MIN(1,U612/U613))</f>
        <v>0</v>
      </c>
      <c r="V614" s="60" t="n">
        <f aca="false">IF(V613&lt;=0,0,MIN(1,V612/V613))</f>
        <v>0</v>
      </c>
      <c r="W614" s="60" t="n">
        <f aca="false">IF(W613&lt;=0,0,MIN(1,W612/W613))</f>
        <v>0</v>
      </c>
      <c r="X614" s="60" t="n">
        <f aca="false">IF(X613&lt;=0,0,MIN(1,X612/X613))</f>
        <v>0</v>
      </c>
      <c r="Y614" s="60" t="n">
        <f aca="false">IF(Y613&lt;=0,0,MIN(1,Y612/Y613))</f>
        <v>0.04296875</v>
      </c>
      <c r="Z614" s="60" t="n">
        <f aca="false">IF(Z613&lt;=0,0,MIN(1,Z612/Z613))</f>
        <v>0.15625</v>
      </c>
      <c r="AA614" s="60" t="n">
        <f aca="false">IF(AA613&lt;=0,0,MIN(1,AA612/AA613))</f>
        <v>0.31640625</v>
      </c>
      <c r="AB614" s="60" t="n">
        <f aca="false">IF(AB613&lt;=0,0,MIN(1,AB612/AB613))</f>
        <v>0.5</v>
      </c>
    </row>
    <row r="615" customFormat="false" ht="15" hidden="false" customHeight="false" outlineLevel="0" collapsed="false">
      <c r="A615" s="27" t="s">
        <v>735</v>
      </c>
      <c r="B615" s="56" t="s">
        <v>736</v>
      </c>
      <c r="C615" s="57" t="n">
        <f aca="false">P615</f>
        <v>0</v>
      </c>
      <c r="D615" s="57" t="n">
        <f aca="false">AB615</f>
        <v>0</v>
      </c>
      <c r="E615" s="58" t="n">
        <f aca="false">SUMIFS(Variations!$H$6:$H$21,Variations!$B$6:$B$21,"CF-P06",Variations!$F$6:$F$21,"Approved",Variations!$G$6:$G$21,"&lt;="&amp;Assumptions!E$95)</f>
        <v>0</v>
      </c>
      <c r="F615" s="58" t="n">
        <f aca="false">SUMIFS(Variations!$H$6:$H$21,Variations!$B$6:$B$21,"CF-P06",Variations!$F$6:$F$21,"Approved",Variations!$G$6:$G$21,"&lt;="&amp;Assumptions!F$95)</f>
        <v>0</v>
      </c>
      <c r="G615" s="58" t="n">
        <f aca="false">SUMIFS(Variations!$H$6:$H$21,Variations!$B$6:$B$21,"CF-P06",Variations!$F$6:$F$21,"Approved",Variations!$G$6:$G$21,"&lt;="&amp;Assumptions!G$95)</f>
        <v>0</v>
      </c>
      <c r="H615" s="58" t="n">
        <f aca="false">SUMIFS(Variations!$H$6:$H$21,Variations!$B$6:$B$21,"CF-P06",Variations!$F$6:$F$21,"Approved",Variations!$G$6:$G$21,"&lt;="&amp;Assumptions!H$95)</f>
        <v>0</v>
      </c>
      <c r="I615" s="58" t="n">
        <f aca="false">SUMIFS(Variations!$H$6:$H$21,Variations!$B$6:$B$21,"CF-P06",Variations!$F$6:$F$21,"Approved",Variations!$G$6:$G$21,"&lt;="&amp;Assumptions!I$95)</f>
        <v>0</v>
      </c>
      <c r="J615" s="58" t="n">
        <f aca="false">SUMIFS(Variations!$H$6:$H$21,Variations!$B$6:$B$21,"CF-P06",Variations!$F$6:$F$21,"Approved",Variations!$G$6:$G$21,"&lt;="&amp;Assumptions!J$95)</f>
        <v>0</v>
      </c>
      <c r="K615" s="58" t="n">
        <f aca="false">SUMIFS(Variations!$H$6:$H$21,Variations!$B$6:$B$21,"CF-P06",Variations!$F$6:$F$21,"Approved",Variations!$G$6:$G$21,"&lt;="&amp;Assumptions!K$95)</f>
        <v>0</v>
      </c>
      <c r="L615" s="58" t="n">
        <f aca="false">SUMIFS(Variations!$H$6:$H$21,Variations!$B$6:$B$21,"CF-P06",Variations!$F$6:$F$21,"Approved",Variations!$G$6:$G$21,"&lt;="&amp;Assumptions!L$95)</f>
        <v>0</v>
      </c>
      <c r="M615" s="58" t="n">
        <f aca="false">SUMIFS(Variations!$H$6:$H$21,Variations!$B$6:$B$21,"CF-P06",Variations!$F$6:$F$21,"Approved",Variations!$G$6:$G$21,"&lt;="&amp;Assumptions!M$95)</f>
        <v>0</v>
      </c>
      <c r="N615" s="58" t="n">
        <f aca="false">SUMIFS(Variations!$H$6:$H$21,Variations!$B$6:$B$21,"CF-P06",Variations!$F$6:$F$21,"Approved",Variations!$G$6:$G$21,"&lt;="&amp;Assumptions!N$95)</f>
        <v>0</v>
      </c>
      <c r="O615" s="58" t="n">
        <f aca="false">SUMIFS(Variations!$H$6:$H$21,Variations!$B$6:$B$21,"CF-P06",Variations!$F$6:$F$21,"Approved",Variations!$G$6:$G$21,"&lt;="&amp;Assumptions!O$95)</f>
        <v>0</v>
      </c>
      <c r="P615" s="58" t="n">
        <f aca="false">SUMIFS(Variations!$H$6:$H$21,Variations!$B$6:$B$21,"CF-P06",Variations!$F$6:$F$21,"Approved",Variations!$G$6:$G$21,"&lt;="&amp;Assumptions!P$95)</f>
        <v>0</v>
      </c>
      <c r="Q615" s="58" t="n">
        <f aca="false">SUMIFS(Variations!$H$6:$H$21,Variations!$B$6:$B$21,"CF-P06",Variations!$F$6:$F$21,"Approved",Variations!$G$6:$G$21,"&lt;="&amp;Assumptions!Q$95)</f>
        <v>0</v>
      </c>
      <c r="R615" s="58" t="n">
        <f aca="false">SUMIFS(Variations!$H$6:$H$21,Variations!$B$6:$B$21,"CF-P06",Variations!$F$6:$F$21,"Approved",Variations!$G$6:$G$21,"&lt;="&amp;Assumptions!R$95)</f>
        <v>0</v>
      </c>
      <c r="S615" s="58" t="n">
        <f aca="false">SUMIFS(Variations!$H$6:$H$21,Variations!$B$6:$B$21,"CF-P06",Variations!$F$6:$F$21,"Approved",Variations!$G$6:$G$21,"&lt;="&amp;Assumptions!S$95)</f>
        <v>0</v>
      </c>
      <c r="T615" s="58" t="n">
        <f aca="false">SUMIFS(Variations!$H$6:$H$21,Variations!$B$6:$B$21,"CF-P06",Variations!$F$6:$F$21,"Approved",Variations!$G$6:$G$21,"&lt;="&amp;Assumptions!T$95)</f>
        <v>0</v>
      </c>
      <c r="U615" s="58" t="n">
        <f aca="false">SUMIFS(Variations!$H$6:$H$21,Variations!$B$6:$B$21,"CF-P06",Variations!$F$6:$F$21,"Approved",Variations!$G$6:$G$21,"&lt;="&amp;Assumptions!U$95)</f>
        <v>0</v>
      </c>
      <c r="V615" s="58" t="n">
        <f aca="false">SUMIFS(Variations!$H$6:$H$21,Variations!$B$6:$B$21,"CF-P06",Variations!$F$6:$F$21,"Approved",Variations!$G$6:$G$21,"&lt;="&amp;Assumptions!V$95)</f>
        <v>0</v>
      </c>
      <c r="W615" s="58" t="n">
        <f aca="false">SUMIFS(Variations!$H$6:$H$21,Variations!$B$6:$B$21,"CF-P06",Variations!$F$6:$F$21,"Approved",Variations!$G$6:$G$21,"&lt;="&amp;Assumptions!W$95)</f>
        <v>0</v>
      </c>
      <c r="X615" s="58" t="n">
        <f aca="false">SUMIFS(Variations!$H$6:$H$21,Variations!$B$6:$B$21,"CF-P06",Variations!$F$6:$F$21,"Approved",Variations!$G$6:$G$21,"&lt;="&amp;Assumptions!X$95)</f>
        <v>0</v>
      </c>
      <c r="Y615" s="58" t="n">
        <f aca="false">SUMIFS(Variations!$H$6:$H$21,Variations!$B$6:$B$21,"CF-P06",Variations!$F$6:$F$21,"Approved",Variations!$G$6:$G$21,"&lt;="&amp;Assumptions!Y$95)</f>
        <v>0</v>
      </c>
      <c r="Z615" s="58" t="n">
        <f aca="false">SUMIFS(Variations!$H$6:$H$21,Variations!$B$6:$B$21,"CF-P06",Variations!$F$6:$F$21,"Approved",Variations!$G$6:$G$21,"&lt;="&amp;Assumptions!Z$95)</f>
        <v>0</v>
      </c>
      <c r="AA615" s="58" t="n">
        <f aca="false">SUMIFS(Variations!$H$6:$H$21,Variations!$B$6:$B$21,"CF-P06",Variations!$F$6:$F$21,"Approved",Variations!$G$6:$G$21,"&lt;="&amp;Assumptions!AA$95)</f>
        <v>0</v>
      </c>
      <c r="AB615" s="58" t="n">
        <f aca="false">SUMIFS(Variations!$H$6:$H$21,Variations!$B$6:$B$21,"CF-P06",Variations!$F$6:$F$21,"Approved",Variations!$G$6:$G$21,"&lt;="&amp;Assumptions!AB$95)</f>
        <v>0</v>
      </c>
    </row>
    <row r="616" customFormat="false" ht="15" hidden="false" customHeight="false" outlineLevel="0" collapsed="false">
      <c r="A616" s="27" t="s">
        <v>737</v>
      </c>
      <c r="B616" s="56"/>
      <c r="C616" s="57" t="n">
        <f aca="false">P616</f>
        <v>0</v>
      </c>
      <c r="D616" s="57" t="n">
        <f aca="false">AB616</f>
        <v>0</v>
      </c>
      <c r="E616" s="58" t="n">
        <f aca="false">SUMIFS(Variations!$E$6:$E$21,Variations!$B$6:$B$21,"CF-P06",Variations!$D$6:$D$21,"&lt;="&amp;Assumptions!E$95,Variations!$G$6:$G$21,"&gt;"&amp;Assumptions!E$95)</f>
        <v>0</v>
      </c>
      <c r="F616" s="58" t="n">
        <f aca="false">SUMIFS(Variations!$E$6:$E$21,Variations!$B$6:$B$21,"CF-P06",Variations!$D$6:$D$21,"&lt;="&amp;Assumptions!F$95,Variations!$G$6:$G$21,"&gt;"&amp;Assumptions!F$95)</f>
        <v>0</v>
      </c>
      <c r="G616" s="58" t="n">
        <f aca="false">SUMIFS(Variations!$E$6:$E$21,Variations!$B$6:$B$21,"CF-P06",Variations!$D$6:$D$21,"&lt;="&amp;Assumptions!G$95,Variations!$G$6:$G$21,"&gt;"&amp;Assumptions!G$95)</f>
        <v>0</v>
      </c>
      <c r="H616" s="58" t="n">
        <f aca="false">SUMIFS(Variations!$E$6:$E$21,Variations!$B$6:$B$21,"CF-P06",Variations!$D$6:$D$21,"&lt;="&amp;Assumptions!H$95,Variations!$G$6:$G$21,"&gt;"&amp;Assumptions!H$95)</f>
        <v>0</v>
      </c>
      <c r="I616" s="58" t="n">
        <f aca="false">SUMIFS(Variations!$E$6:$E$21,Variations!$B$6:$B$21,"CF-P06",Variations!$D$6:$D$21,"&lt;="&amp;Assumptions!I$95,Variations!$G$6:$G$21,"&gt;"&amp;Assumptions!I$95)</f>
        <v>0</v>
      </c>
      <c r="J616" s="58" t="n">
        <f aca="false">SUMIFS(Variations!$E$6:$E$21,Variations!$B$6:$B$21,"CF-P06",Variations!$D$6:$D$21,"&lt;="&amp;Assumptions!J$95,Variations!$G$6:$G$21,"&gt;"&amp;Assumptions!J$95)</f>
        <v>0</v>
      </c>
      <c r="K616" s="58" t="n">
        <f aca="false">SUMIFS(Variations!$E$6:$E$21,Variations!$B$6:$B$21,"CF-P06",Variations!$D$6:$D$21,"&lt;="&amp;Assumptions!K$95,Variations!$G$6:$G$21,"&gt;"&amp;Assumptions!K$95)</f>
        <v>0</v>
      </c>
      <c r="L616" s="58" t="n">
        <f aca="false">SUMIFS(Variations!$E$6:$E$21,Variations!$B$6:$B$21,"CF-P06",Variations!$D$6:$D$21,"&lt;="&amp;Assumptions!L$95,Variations!$G$6:$G$21,"&gt;"&amp;Assumptions!L$95)</f>
        <v>0</v>
      </c>
      <c r="M616" s="58" t="n">
        <f aca="false">SUMIFS(Variations!$E$6:$E$21,Variations!$B$6:$B$21,"CF-P06",Variations!$D$6:$D$21,"&lt;="&amp;Assumptions!M$95,Variations!$G$6:$G$21,"&gt;"&amp;Assumptions!M$95)</f>
        <v>0</v>
      </c>
      <c r="N616" s="58" t="n">
        <f aca="false">SUMIFS(Variations!$E$6:$E$21,Variations!$B$6:$B$21,"CF-P06",Variations!$D$6:$D$21,"&lt;="&amp;Assumptions!N$95,Variations!$G$6:$G$21,"&gt;"&amp;Assumptions!N$95)</f>
        <v>0</v>
      </c>
      <c r="O616" s="58" t="n">
        <f aca="false">SUMIFS(Variations!$E$6:$E$21,Variations!$B$6:$B$21,"CF-P06",Variations!$D$6:$D$21,"&lt;="&amp;Assumptions!O$95,Variations!$G$6:$G$21,"&gt;"&amp;Assumptions!O$95)</f>
        <v>0</v>
      </c>
      <c r="P616" s="58" t="n">
        <f aca="false">SUMIFS(Variations!$E$6:$E$21,Variations!$B$6:$B$21,"CF-P06",Variations!$D$6:$D$21,"&lt;="&amp;Assumptions!P$95,Variations!$G$6:$G$21,"&gt;"&amp;Assumptions!P$95)</f>
        <v>0</v>
      </c>
      <c r="Q616" s="58" t="n">
        <f aca="false">SUMIFS(Variations!$E$6:$E$21,Variations!$B$6:$B$21,"CF-P06",Variations!$D$6:$D$21,"&lt;="&amp;Assumptions!Q$95,Variations!$G$6:$G$21,"&gt;"&amp;Assumptions!Q$95)</f>
        <v>0</v>
      </c>
      <c r="R616" s="58" t="n">
        <f aca="false">SUMIFS(Variations!$E$6:$E$21,Variations!$B$6:$B$21,"CF-P06",Variations!$D$6:$D$21,"&lt;="&amp;Assumptions!R$95,Variations!$G$6:$G$21,"&gt;"&amp;Assumptions!R$95)</f>
        <v>0</v>
      </c>
      <c r="S616" s="58" t="n">
        <f aca="false">SUMIFS(Variations!$E$6:$E$21,Variations!$B$6:$B$21,"CF-P06",Variations!$D$6:$D$21,"&lt;="&amp;Assumptions!S$95,Variations!$G$6:$G$21,"&gt;"&amp;Assumptions!S$95)</f>
        <v>0</v>
      </c>
      <c r="T616" s="58" t="n">
        <f aca="false">SUMIFS(Variations!$E$6:$E$21,Variations!$B$6:$B$21,"CF-P06",Variations!$D$6:$D$21,"&lt;="&amp;Assumptions!T$95,Variations!$G$6:$G$21,"&gt;"&amp;Assumptions!T$95)</f>
        <v>0</v>
      </c>
      <c r="U616" s="58" t="n">
        <f aca="false">SUMIFS(Variations!$E$6:$E$21,Variations!$B$6:$B$21,"CF-P06",Variations!$D$6:$D$21,"&lt;="&amp;Assumptions!U$95,Variations!$G$6:$G$21,"&gt;"&amp;Assumptions!U$95)</f>
        <v>0</v>
      </c>
      <c r="V616" s="58" t="n">
        <f aca="false">SUMIFS(Variations!$E$6:$E$21,Variations!$B$6:$B$21,"CF-P06",Variations!$D$6:$D$21,"&lt;="&amp;Assumptions!V$95,Variations!$G$6:$G$21,"&gt;"&amp;Assumptions!V$95)</f>
        <v>0</v>
      </c>
      <c r="W616" s="58" t="n">
        <f aca="false">SUMIFS(Variations!$E$6:$E$21,Variations!$B$6:$B$21,"CF-P06",Variations!$D$6:$D$21,"&lt;="&amp;Assumptions!W$95,Variations!$G$6:$G$21,"&gt;"&amp;Assumptions!W$95)</f>
        <v>0</v>
      </c>
      <c r="X616" s="58" t="n">
        <f aca="false">SUMIFS(Variations!$E$6:$E$21,Variations!$B$6:$B$21,"CF-P06",Variations!$D$6:$D$21,"&lt;="&amp;Assumptions!X$95,Variations!$G$6:$G$21,"&gt;"&amp;Assumptions!X$95)</f>
        <v>0</v>
      </c>
      <c r="Y616" s="58" t="n">
        <f aca="false">SUMIFS(Variations!$E$6:$E$21,Variations!$B$6:$B$21,"CF-P06",Variations!$D$6:$D$21,"&lt;="&amp;Assumptions!Y$95,Variations!$G$6:$G$21,"&gt;"&amp;Assumptions!Y$95)</f>
        <v>0</v>
      </c>
      <c r="Z616" s="58" t="n">
        <f aca="false">SUMIFS(Variations!$E$6:$E$21,Variations!$B$6:$B$21,"CF-P06",Variations!$D$6:$D$21,"&lt;="&amp;Assumptions!Z$95,Variations!$G$6:$G$21,"&gt;"&amp;Assumptions!Z$95)</f>
        <v>0</v>
      </c>
      <c r="AA616" s="58" t="n">
        <f aca="false">SUMIFS(Variations!$E$6:$E$21,Variations!$B$6:$B$21,"CF-P06",Variations!$D$6:$D$21,"&lt;="&amp;Assumptions!AA$95,Variations!$G$6:$G$21,"&gt;"&amp;Assumptions!AA$95)</f>
        <v>0</v>
      </c>
      <c r="AB616" s="58" t="n">
        <f aca="false">SUMIFS(Variations!$E$6:$E$21,Variations!$B$6:$B$21,"CF-P06",Variations!$D$6:$D$21,"&lt;="&amp;Assumptions!AB$95,Variations!$G$6:$G$21,"&gt;"&amp;Assumptions!AB$95)</f>
        <v>0</v>
      </c>
    </row>
    <row r="617" customFormat="false" ht="15" hidden="false" customHeight="false" outlineLevel="0" collapsed="false">
      <c r="A617" s="27" t="s">
        <v>738</v>
      </c>
      <c r="B617" s="56"/>
      <c r="C617" s="57" t="n">
        <f aca="false">P617</f>
        <v>0</v>
      </c>
      <c r="D617" s="57" t="n">
        <f aca="false">AB617</f>
        <v>0</v>
      </c>
      <c r="E617" s="58" t="n">
        <f aca="false">SUMIFS(Variations!$E$6:$E$21,Variations!$B$6:$B$21,"CF-P06",Variations!$F$6:$F$21,"Pending",Variations!$G$6:$G$21,"&lt;="&amp;Assumptions!E$95)</f>
        <v>0</v>
      </c>
      <c r="F617" s="58" t="n">
        <f aca="false">SUMIFS(Variations!$E$6:$E$21,Variations!$B$6:$B$21,"CF-P06",Variations!$F$6:$F$21,"Pending",Variations!$G$6:$G$21,"&lt;="&amp;Assumptions!F$95)</f>
        <v>0</v>
      </c>
      <c r="G617" s="58" t="n">
        <f aca="false">SUMIFS(Variations!$E$6:$E$21,Variations!$B$6:$B$21,"CF-P06",Variations!$F$6:$F$21,"Pending",Variations!$G$6:$G$21,"&lt;="&amp;Assumptions!G$95)</f>
        <v>0</v>
      </c>
      <c r="H617" s="58" t="n">
        <f aca="false">SUMIFS(Variations!$E$6:$E$21,Variations!$B$6:$B$21,"CF-P06",Variations!$F$6:$F$21,"Pending",Variations!$G$6:$G$21,"&lt;="&amp;Assumptions!H$95)</f>
        <v>0</v>
      </c>
      <c r="I617" s="58" t="n">
        <f aca="false">SUMIFS(Variations!$E$6:$E$21,Variations!$B$6:$B$21,"CF-P06",Variations!$F$6:$F$21,"Pending",Variations!$G$6:$G$21,"&lt;="&amp;Assumptions!I$95)</f>
        <v>0</v>
      </c>
      <c r="J617" s="58" t="n">
        <f aca="false">SUMIFS(Variations!$E$6:$E$21,Variations!$B$6:$B$21,"CF-P06",Variations!$F$6:$F$21,"Pending",Variations!$G$6:$G$21,"&lt;="&amp;Assumptions!J$95)</f>
        <v>0</v>
      </c>
      <c r="K617" s="58" t="n">
        <f aca="false">SUMIFS(Variations!$E$6:$E$21,Variations!$B$6:$B$21,"CF-P06",Variations!$F$6:$F$21,"Pending",Variations!$G$6:$G$21,"&lt;="&amp;Assumptions!K$95)</f>
        <v>0</v>
      </c>
      <c r="L617" s="58" t="n">
        <f aca="false">SUMIFS(Variations!$E$6:$E$21,Variations!$B$6:$B$21,"CF-P06",Variations!$F$6:$F$21,"Pending",Variations!$G$6:$G$21,"&lt;="&amp;Assumptions!L$95)</f>
        <v>0</v>
      </c>
      <c r="M617" s="58" t="n">
        <f aca="false">SUMIFS(Variations!$E$6:$E$21,Variations!$B$6:$B$21,"CF-P06",Variations!$F$6:$F$21,"Pending",Variations!$G$6:$G$21,"&lt;="&amp;Assumptions!M$95)</f>
        <v>0</v>
      </c>
      <c r="N617" s="58" t="n">
        <f aca="false">SUMIFS(Variations!$E$6:$E$21,Variations!$B$6:$B$21,"CF-P06",Variations!$F$6:$F$21,"Pending",Variations!$G$6:$G$21,"&lt;="&amp;Assumptions!N$95)</f>
        <v>0</v>
      </c>
      <c r="O617" s="58" t="n">
        <f aca="false">SUMIFS(Variations!$E$6:$E$21,Variations!$B$6:$B$21,"CF-P06",Variations!$F$6:$F$21,"Pending",Variations!$G$6:$G$21,"&lt;="&amp;Assumptions!O$95)</f>
        <v>0</v>
      </c>
      <c r="P617" s="58" t="n">
        <f aca="false">SUMIFS(Variations!$E$6:$E$21,Variations!$B$6:$B$21,"CF-P06",Variations!$F$6:$F$21,"Pending",Variations!$G$6:$G$21,"&lt;="&amp;Assumptions!P$95)</f>
        <v>0</v>
      </c>
      <c r="Q617" s="58" t="n">
        <f aca="false">SUMIFS(Variations!$E$6:$E$21,Variations!$B$6:$B$21,"CF-P06",Variations!$F$6:$F$21,"Pending",Variations!$G$6:$G$21,"&lt;="&amp;Assumptions!Q$95)</f>
        <v>0</v>
      </c>
      <c r="R617" s="58" t="n">
        <f aca="false">SUMIFS(Variations!$E$6:$E$21,Variations!$B$6:$B$21,"CF-P06",Variations!$F$6:$F$21,"Pending",Variations!$G$6:$G$21,"&lt;="&amp;Assumptions!R$95)</f>
        <v>0</v>
      </c>
      <c r="S617" s="58" t="n">
        <f aca="false">SUMIFS(Variations!$E$6:$E$21,Variations!$B$6:$B$21,"CF-P06",Variations!$F$6:$F$21,"Pending",Variations!$G$6:$G$21,"&lt;="&amp;Assumptions!S$95)</f>
        <v>0</v>
      </c>
      <c r="T617" s="58" t="n">
        <f aca="false">SUMIFS(Variations!$E$6:$E$21,Variations!$B$6:$B$21,"CF-P06",Variations!$F$6:$F$21,"Pending",Variations!$G$6:$G$21,"&lt;="&amp;Assumptions!T$95)</f>
        <v>0</v>
      </c>
      <c r="U617" s="58" t="n">
        <f aca="false">SUMIFS(Variations!$E$6:$E$21,Variations!$B$6:$B$21,"CF-P06",Variations!$F$6:$F$21,"Pending",Variations!$G$6:$G$21,"&lt;="&amp;Assumptions!U$95)</f>
        <v>0</v>
      </c>
      <c r="V617" s="58" t="n">
        <f aca="false">SUMIFS(Variations!$E$6:$E$21,Variations!$B$6:$B$21,"CF-P06",Variations!$F$6:$F$21,"Pending",Variations!$G$6:$G$21,"&lt;="&amp;Assumptions!V$95)</f>
        <v>0</v>
      </c>
      <c r="W617" s="58" t="n">
        <f aca="false">SUMIFS(Variations!$E$6:$E$21,Variations!$B$6:$B$21,"CF-P06",Variations!$F$6:$F$21,"Pending",Variations!$G$6:$G$21,"&lt;="&amp;Assumptions!W$95)</f>
        <v>0</v>
      </c>
      <c r="X617" s="58" t="n">
        <f aca="false">SUMIFS(Variations!$E$6:$E$21,Variations!$B$6:$B$21,"CF-P06",Variations!$F$6:$F$21,"Pending",Variations!$G$6:$G$21,"&lt;="&amp;Assumptions!X$95)</f>
        <v>0</v>
      </c>
      <c r="Y617" s="58" t="n">
        <f aca="false">SUMIFS(Variations!$E$6:$E$21,Variations!$B$6:$B$21,"CF-P06",Variations!$F$6:$F$21,"Pending",Variations!$G$6:$G$21,"&lt;="&amp;Assumptions!Y$95)</f>
        <v>0</v>
      </c>
      <c r="Z617" s="58" t="n">
        <f aca="false">SUMIFS(Variations!$E$6:$E$21,Variations!$B$6:$B$21,"CF-P06",Variations!$F$6:$F$21,"Pending",Variations!$G$6:$G$21,"&lt;="&amp;Assumptions!Z$95)</f>
        <v>0</v>
      </c>
      <c r="AA617" s="58" t="n">
        <f aca="false">SUMIFS(Variations!$E$6:$E$21,Variations!$B$6:$B$21,"CF-P06",Variations!$F$6:$F$21,"Pending",Variations!$G$6:$G$21,"&lt;="&amp;Assumptions!AA$95)</f>
        <v>0</v>
      </c>
      <c r="AB617" s="58" t="n">
        <f aca="false">SUMIFS(Variations!$E$6:$E$21,Variations!$B$6:$B$21,"CF-P06",Variations!$F$6:$F$21,"Pending",Variations!$G$6:$G$21,"&lt;="&amp;Assumptions!AB$95)</f>
        <v>0</v>
      </c>
    </row>
    <row r="618" customFormat="false" ht="15" hidden="false" customHeight="false" outlineLevel="0" collapsed="false">
      <c r="A618" s="27" t="s">
        <v>739</v>
      </c>
      <c r="B618" s="56" t="s">
        <v>740</v>
      </c>
      <c r="C618" s="57" t="n">
        <f aca="false">P618</f>
        <v>324000</v>
      </c>
      <c r="D618" s="57" t="n">
        <f aca="false">AB618</f>
        <v>324000</v>
      </c>
      <c r="E618" s="58" t="n">
        <f aca="false">Project_Register!$AO$21+E615+Assumptions!$C$74*E616+Assumptions!$F$121*E617</f>
        <v>324000</v>
      </c>
      <c r="F618" s="58" t="n">
        <f aca="false">Project_Register!$AO$21+F615+Assumptions!$C$74*F616+Assumptions!$F$121*F617</f>
        <v>324000</v>
      </c>
      <c r="G618" s="58" t="n">
        <f aca="false">Project_Register!$AO$21+G615+Assumptions!$C$74*G616+Assumptions!$F$121*G617</f>
        <v>324000</v>
      </c>
      <c r="H618" s="58" t="n">
        <f aca="false">Project_Register!$AO$21+H615+Assumptions!$C$74*H616+Assumptions!$F$121*H617</f>
        <v>324000</v>
      </c>
      <c r="I618" s="58" t="n">
        <f aca="false">Project_Register!$AO$21+I615+Assumptions!$C$74*I616+Assumptions!$F$121*I617</f>
        <v>324000</v>
      </c>
      <c r="J618" s="58" t="n">
        <f aca="false">Project_Register!$AO$21+J615+Assumptions!$C$74*J616+Assumptions!$F$121*J617</f>
        <v>324000</v>
      </c>
      <c r="K618" s="58" t="n">
        <f aca="false">Project_Register!$AO$21+K615+Assumptions!$C$74*K616+Assumptions!$F$121*K617</f>
        <v>324000</v>
      </c>
      <c r="L618" s="58" t="n">
        <f aca="false">Project_Register!$AO$21+L615+Assumptions!$C$74*L616+Assumptions!$F$121*L617</f>
        <v>324000</v>
      </c>
      <c r="M618" s="58" t="n">
        <f aca="false">Project_Register!$AO$21+M615+Assumptions!$C$74*M616+Assumptions!$F$121*M617</f>
        <v>324000</v>
      </c>
      <c r="N618" s="58" t="n">
        <f aca="false">Project_Register!$AO$21+N615+Assumptions!$C$74*N616+Assumptions!$F$121*N617</f>
        <v>324000</v>
      </c>
      <c r="O618" s="58" t="n">
        <f aca="false">Project_Register!$AO$21+O615+Assumptions!$C$74*O616+Assumptions!$F$121*O617</f>
        <v>324000</v>
      </c>
      <c r="P618" s="58" t="n">
        <f aca="false">Project_Register!$AO$21+P615+Assumptions!$C$74*P616+Assumptions!$F$121*P617</f>
        <v>324000</v>
      </c>
      <c r="Q618" s="58" t="n">
        <f aca="false">Project_Register!$AO$21+Q615+Assumptions!$C$74*Q616+Assumptions!$F$121*Q617</f>
        <v>324000</v>
      </c>
      <c r="R618" s="58" t="n">
        <f aca="false">Project_Register!$AO$21+R615+Assumptions!$C$74*R616+Assumptions!$F$121*R617</f>
        <v>324000</v>
      </c>
      <c r="S618" s="58" t="n">
        <f aca="false">Project_Register!$AO$21+S615+Assumptions!$C$74*S616+Assumptions!$F$121*S617</f>
        <v>324000</v>
      </c>
      <c r="T618" s="58" t="n">
        <f aca="false">Project_Register!$AO$21+T615+Assumptions!$C$74*T616+Assumptions!$F$121*T617</f>
        <v>324000</v>
      </c>
      <c r="U618" s="58" t="n">
        <f aca="false">Project_Register!$AO$21+U615+Assumptions!$C$74*U616+Assumptions!$F$121*U617</f>
        <v>324000</v>
      </c>
      <c r="V618" s="58" t="n">
        <f aca="false">Project_Register!$AO$21+V615+Assumptions!$C$74*V616+Assumptions!$F$121*V617</f>
        <v>324000</v>
      </c>
      <c r="W618" s="58" t="n">
        <f aca="false">Project_Register!$AO$21+W615+Assumptions!$C$74*W616+Assumptions!$F$121*W617</f>
        <v>324000</v>
      </c>
      <c r="X618" s="58" t="n">
        <f aca="false">Project_Register!$AO$21+X615+Assumptions!$C$74*X616+Assumptions!$F$121*X617</f>
        <v>324000</v>
      </c>
      <c r="Y618" s="58" t="n">
        <f aca="false">Project_Register!$AO$21+Y615+Assumptions!$C$74*Y616+Assumptions!$F$121*Y617</f>
        <v>324000</v>
      </c>
      <c r="Z618" s="58" t="n">
        <f aca="false">Project_Register!$AO$21+Z615+Assumptions!$C$74*Z616+Assumptions!$F$121*Z617</f>
        <v>324000</v>
      </c>
      <c r="AA618" s="58" t="n">
        <f aca="false">Project_Register!$AO$21+AA615+Assumptions!$C$74*AA616+Assumptions!$F$121*AA617</f>
        <v>324000</v>
      </c>
      <c r="AB618" s="58" t="n">
        <f aca="false">Project_Register!$AO$21+AB615+Assumptions!$C$74*AB616+Assumptions!$F$121*AB617</f>
        <v>324000</v>
      </c>
    </row>
    <row r="619" customFormat="false" ht="15" hidden="false" customHeight="false" outlineLevel="0" collapsed="false">
      <c r="A619" s="27" t="s">
        <v>741</v>
      </c>
      <c r="B619" s="56" t="s">
        <v>742</v>
      </c>
      <c r="C619" s="57" t="n">
        <f aca="false">P619</f>
        <v>0</v>
      </c>
      <c r="D619" s="57" t="n">
        <f aca="false">AB619</f>
        <v>162000</v>
      </c>
      <c r="E619" s="58" t="n">
        <f aca="false">IF(E$5="A",Project_Register!$AD$21+0,E614*E618)</f>
        <v>0</v>
      </c>
      <c r="F619" s="70" t="n">
        <f aca="false">IF(F$5="A",E619+0,F614*F618)</f>
        <v>0</v>
      </c>
      <c r="G619" s="70" t="n">
        <f aca="false">IF(G$5="A",F619+0,G614*G618)</f>
        <v>0</v>
      </c>
      <c r="H619" s="70" t="n">
        <f aca="false">IF(H$5="A",G619+0,H614*H618)</f>
        <v>0</v>
      </c>
      <c r="I619" s="70" t="n">
        <f aca="false">IF(I$5="A",H619+0,I614*I618)</f>
        <v>0</v>
      </c>
      <c r="J619" s="70" t="n">
        <f aca="false">IF(J$5="A",I619+0,J614*J618)</f>
        <v>0</v>
      </c>
      <c r="K619" s="70" t="n">
        <f aca="false">IF(K$5="A",J619+0,K614*K618)</f>
        <v>0</v>
      </c>
      <c r="L619" s="70" t="n">
        <f aca="false">IF(L$5="A",K619+0,L614*L618)</f>
        <v>0</v>
      </c>
      <c r="M619" s="70" t="n">
        <f aca="false">IF(M$5="A",L619+0,M614*M618)</f>
        <v>0</v>
      </c>
      <c r="N619" s="70" t="n">
        <f aca="false">IF(N$5="A",M619+0,N614*N618)</f>
        <v>0</v>
      </c>
      <c r="O619" s="70" t="n">
        <f aca="false">IF(O$5="A",N619+0,O614*O618)</f>
        <v>0</v>
      </c>
      <c r="P619" s="70" t="n">
        <f aca="false">IF(P$5="A",O619+0,P614*P618)</f>
        <v>0</v>
      </c>
      <c r="Q619" s="70" t="n">
        <f aca="false">IF(Q$5="A",P619+0,Q614*Q618)</f>
        <v>0</v>
      </c>
      <c r="R619" s="70" t="n">
        <f aca="false">IF(R$5="A",Q619+0,R614*R618)</f>
        <v>0</v>
      </c>
      <c r="S619" s="70" t="n">
        <f aca="false">IF(S$5="A",R619+0,S614*S618)</f>
        <v>0</v>
      </c>
      <c r="T619" s="70" t="n">
        <f aca="false">IF(T$5="A",S619+0,T614*T618)</f>
        <v>0</v>
      </c>
      <c r="U619" s="70" t="n">
        <f aca="false">IF(U$5="A",T619+0,U614*U618)</f>
        <v>0</v>
      </c>
      <c r="V619" s="70" t="n">
        <f aca="false">IF(V$5="A",U619+0,V614*V618)</f>
        <v>0</v>
      </c>
      <c r="W619" s="70" t="n">
        <f aca="false">IF(W$5="A",V619+0,W614*W618)</f>
        <v>0</v>
      </c>
      <c r="X619" s="70" t="n">
        <f aca="false">IF(X$5="A",W619+0,X614*X618)</f>
        <v>0</v>
      </c>
      <c r="Y619" s="70" t="n">
        <f aca="false">IF(Y$5="A",X619+0,Y614*Y618)</f>
        <v>13921.875</v>
      </c>
      <c r="Z619" s="70" t="n">
        <f aca="false">IF(Z$5="A",Y619+0,Z614*Z618)</f>
        <v>50625</v>
      </c>
      <c r="AA619" s="70" t="n">
        <f aca="false">IF(AA$5="A",Z619+0,AA614*AA618)</f>
        <v>102515.625</v>
      </c>
      <c r="AB619" s="70" t="n">
        <f aca="false">IF(AB$5="A",AA619+0,AB614*AB618)</f>
        <v>162000</v>
      </c>
    </row>
    <row r="620" customFormat="false" ht="15" hidden="false" customHeight="false" outlineLevel="0" collapsed="false">
      <c r="A620" s="67" t="s">
        <v>743</v>
      </c>
      <c r="B620" s="68" t="s">
        <v>744</v>
      </c>
      <c r="C620" s="69" t="n">
        <f aca="false">SUM(E620:P620)</f>
        <v>0</v>
      </c>
      <c r="D620" s="69" t="n">
        <f aca="false">SUM(Q620:AB620)</f>
        <v>162000</v>
      </c>
      <c r="E620" s="74" t="n">
        <f aca="false">E619-Project_Register!$AD$21</f>
        <v>0</v>
      </c>
      <c r="F620" s="69" t="n">
        <f aca="false">F619-E619</f>
        <v>0</v>
      </c>
      <c r="G620" s="69" t="n">
        <f aca="false">G619-F619</f>
        <v>0</v>
      </c>
      <c r="H620" s="69" t="n">
        <f aca="false">H619-G619</f>
        <v>0</v>
      </c>
      <c r="I620" s="69" t="n">
        <f aca="false">I619-H619</f>
        <v>0</v>
      </c>
      <c r="J620" s="69" t="n">
        <f aca="false">J619-I619</f>
        <v>0</v>
      </c>
      <c r="K620" s="69" t="n">
        <f aca="false">K619-J619</f>
        <v>0</v>
      </c>
      <c r="L620" s="69" t="n">
        <f aca="false">L619-K619</f>
        <v>0</v>
      </c>
      <c r="M620" s="69" t="n">
        <f aca="false">M619-L619</f>
        <v>0</v>
      </c>
      <c r="N620" s="69" t="n">
        <f aca="false">N619-M619</f>
        <v>0</v>
      </c>
      <c r="O620" s="69" t="n">
        <f aca="false">O619-N619</f>
        <v>0</v>
      </c>
      <c r="P620" s="69" t="n">
        <f aca="false">P619-O619</f>
        <v>0</v>
      </c>
      <c r="Q620" s="69" t="n">
        <f aca="false">Q619-P619</f>
        <v>0</v>
      </c>
      <c r="R620" s="69" t="n">
        <f aca="false">R619-Q619</f>
        <v>0</v>
      </c>
      <c r="S620" s="69" t="n">
        <f aca="false">S619-R619</f>
        <v>0</v>
      </c>
      <c r="T620" s="69" t="n">
        <f aca="false">T619-S619</f>
        <v>0</v>
      </c>
      <c r="U620" s="69" t="n">
        <f aca="false">U619-T619</f>
        <v>0</v>
      </c>
      <c r="V620" s="69" t="n">
        <f aca="false">V619-U619</f>
        <v>0</v>
      </c>
      <c r="W620" s="69" t="n">
        <f aca="false">W619-V619</f>
        <v>0</v>
      </c>
      <c r="X620" s="69" t="n">
        <f aca="false">X619-W619</f>
        <v>0</v>
      </c>
      <c r="Y620" s="69" t="n">
        <f aca="false">Y619-X619</f>
        <v>13921.875</v>
      </c>
      <c r="Z620" s="69" t="n">
        <f aca="false">Z619-Y619</f>
        <v>36703.125</v>
      </c>
      <c r="AA620" s="69" t="n">
        <f aca="false">AA619-Z619</f>
        <v>51890.625</v>
      </c>
      <c r="AB620" s="69" t="n">
        <f aca="false">AB619-AA619</f>
        <v>59484.375</v>
      </c>
    </row>
    <row r="621" customFormat="false" ht="15" hidden="false" customHeight="false" outlineLevel="0" collapsed="false">
      <c r="A621" s="27" t="s">
        <v>745</v>
      </c>
      <c r="B621" s="56" t="s">
        <v>746</v>
      </c>
      <c r="C621" s="57" t="n">
        <f aca="false">P621</f>
        <v>0</v>
      </c>
      <c r="D621" s="57" t="n">
        <f aca="false">AB621</f>
        <v>0</v>
      </c>
      <c r="E621" s="70" t="n">
        <f aca="false">MAX(0,E613-E618)*(1-E614)</f>
        <v>0</v>
      </c>
      <c r="F621" s="70" t="n">
        <f aca="false">MAX(0,F613-F618)*(1-F614)</f>
        <v>0</v>
      </c>
      <c r="G621" s="70" t="n">
        <f aca="false">MAX(0,G613-G618)*(1-G614)</f>
        <v>0</v>
      </c>
      <c r="H621" s="70" t="n">
        <f aca="false">MAX(0,H613-H618)*(1-H614)</f>
        <v>0</v>
      </c>
      <c r="I621" s="70" t="n">
        <f aca="false">MAX(0,I613-I618)*(1-I614)</f>
        <v>0</v>
      </c>
      <c r="J621" s="70" t="n">
        <f aca="false">MAX(0,J613-J618)*(1-J614)</f>
        <v>0</v>
      </c>
      <c r="K621" s="70" t="n">
        <f aca="false">MAX(0,K613-K618)*(1-K614)</f>
        <v>0</v>
      </c>
      <c r="L621" s="70" t="n">
        <f aca="false">MAX(0,L613-L618)*(1-L614)</f>
        <v>0</v>
      </c>
      <c r="M621" s="70" t="n">
        <f aca="false">MAX(0,M613-M618)*(1-M614)</f>
        <v>0</v>
      </c>
      <c r="N621" s="70" t="n">
        <f aca="false">MAX(0,N613-N618)*(1-N614)</f>
        <v>0</v>
      </c>
      <c r="O621" s="70" t="n">
        <f aca="false">MAX(0,O613-O618)*(1-O614)</f>
        <v>0</v>
      </c>
      <c r="P621" s="70" t="n">
        <f aca="false">MAX(0,P613-P618)*(1-P614)</f>
        <v>0</v>
      </c>
      <c r="Q621" s="70" t="n">
        <f aca="false">MAX(0,Q613-Q618)*(1-Q614)</f>
        <v>0</v>
      </c>
      <c r="R621" s="70" t="n">
        <f aca="false">MAX(0,R613-R618)*(1-R614)</f>
        <v>0</v>
      </c>
      <c r="S621" s="70" t="n">
        <f aca="false">MAX(0,S613-S618)*(1-S614)</f>
        <v>0</v>
      </c>
      <c r="T621" s="70" t="n">
        <f aca="false">MAX(0,T613-T618)*(1-T614)</f>
        <v>0</v>
      </c>
      <c r="U621" s="70" t="n">
        <f aca="false">MAX(0,U613-U618)*(1-U614)</f>
        <v>0</v>
      </c>
      <c r="V621" s="70" t="n">
        <f aca="false">MAX(0,V613-V618)*(1-V614)</f>
        <v>0</v>
      </c>
      <c r="W621" s="70" t="n">
        <f aca="false">MAX(0,W613-W618)*(1-W614)</f>
        <v>0</v>
      </c>
      <c r="X621" s="70" t="n">
        <f aca="false">MAX(0,X613-X618)*(1-X614)</f>
        <v>0</v>
      </c>
      <c r="Y621" s="70" t="n">
        <f aca="false">MAX(0,Y613-Y618)*(1-Y614)</f>
        <v>0</v>
      </c>
      <c r="Z621" s="70" t="n">
        <f aca="false">MAX(0,Z613-Z618)*(1-Z614)</f>
        <v>0</v>
      </c>
      <c r="AA621" s="70" t="n">
        <f aca="false">MAX(0,AA613-AA618)*(1-AA614)</f>
        <v>0</v>
      </c>
      <c r="AB621" s="70" t="n">
        <f aca="false">MAX(0,AB613-AB618)*(1-AB614)</f>
        <v>0</v>
      </c>
    </row>
    <row r="622" customFormat="false" ht="15" hidden="false" customHeight="false" outlineLevel="0" collapsed="false">
      <c r="A622" s="27" t="s">
        <v>747</v>
      </c>
      <c r="B622" s="56"/>
      <c r="C622" s="57" t="n">
        <f aca="false">SUM(E622:P622)</f>
        <v>0</v>
      </c>
      <c r="D622" s="57" t="n">
        <f aca="false">SUM(Q622:AB622)</f>
        <v>0</v>
      </c>
      <c r="E622" s="70" t="n">
        <f aca="false">-(E621-0)</f>
        <v>-0</v>
      </c>
      <c r="F622" s="70" t="n">
        <f aca="false">-(F621-E621)</f>
        <v>-0</v>
      </c>
      <c r="G622" s="70" t="n">
        <f aca="false">-(G621-F621)</f>
        <v>-0</v>
      </c>
      <c r="H622" s="70" t="n">
        <f aca="false">-(H621-G621)</f>
        <v>-0</v>
      </c>
      <c r="I622" s="70" t="n">
        <f aca="false">-(I621-H621)</f>
        <v>-0</v>
      </c>
      <c r="J622" s="70" t="n">
        <f aca="false">-(J621-I621)</f>
        <v>-0</v>
      </c>
      <c r="K622" s="70" t="n">
        <f aca="false">-(K621-J621)</f>
        <v>-0</v>
      </c>
      <c r="L622" s="70" t="n">
        <f aca="false">-(L621-K621)</f>
        <v>-0</v>
      </c>
      <c r="M622" s="70" t="n">
        <f aca="false">-(M621-L621)</f>
        <v>-0</v>
      </c>
      <c r="N622" s="70" t="n">
        <f aca="false">-(N621-M621)</f>
        <v>-0</v>
      </c>
      <c r="O622" s="70" t="n">
        <f aca="false">-(O621-N621)</f>
        <v>-0</v>
      </c>
      <c r="P622" s="70" t="n">
        <f aca="false">-(P621-O621)</f>
        <v>-0</v>
      </c>
      <c r="Q622" s="70" t="n">
        <f aca="false">-(Q621-P621)</f>
        <v>-0</v>
      </c>
      <c r="R622" s="70" t="n">
        <f aca="false">-(R621-Q621)</f>
        <v>-0</v>
      </c>
      <c r="S622" s="70" t="n">
        <f aca="false">-(S621-R621)</f>
        <v>-0</v>
      </c>
      <c r="T622" s="70" t="n">
        <f aca="false">-(T621-S621)</f>
        <v>-0</v>
      </c>
      <c r="U622" s="70" t="n">
        <f aca="false">-(U621-T621)</f>
        <v>-0</v>
      </c>
      <c r="V622" s="70" t="n">
        <f aca="false">-(V621-U621)</f>
        <v>-0</v>
      </c>
      <c r="W622" s="70" t="n">
        <f aca="false">-(W621-V621)</f>
        <v>-0</v>
      </c>
      <c r="X622" s="70" t="n">
        <f aca="false">-(X621-W621)</f>
        <v>-0</v>
      </c>
      <c r="Y622" s="70" t="n">
        <f aca="false">-(Y621-X621)</f>
        <v>-0</v>
      </c>
      <c r="Z622" s="70" t="n">
        <f aca="false">-(Z621-Y621)</f>
        <v>-0</v>
      </c>
      <c r="AA622" s="70" t="n">
        <f aca="false">-(AA621-Z621)</f>
        <v>-0</v>
      </c>
      <c r="AB622" s="70" t="n">
        <f aca="false">-(AB621-AA621)</f>
        <v>-0</v>
      </c>
    </row>
    <row r="623" customFormat="false" ht="15" hidden="false" customHeight="false" outlineLevel="0" collapsed="false">
      <c r="A623" s="67" t="s">
        <v>748</v>
      </c>
      <c r="B623" s="68" t="s">
        <v>749</v>
      </c>
      <c r="C623" s="69" t="n">
        <f aca="false">SUM(E623:P623)</f>
        <v>0</v>
      </c>
      <c r="D623" s="69" t="n">
        <f aca="false">SUM(Q623:AB623)</f>
        <v>21750</v>
      </c>
      <c r="E623" s="69" t="n">
        <f aca="false">E620-E611+E622</f>
        <v>0</v>
      </c>
      <c r="F623" s="69" t="n">
        <f aca="false">F620-F611+F622</f>
        <v>0</v>
      </c>
      <c r="G623" s="69" t="n">
        <f aca="false">G620-G611+G622</f>
        <v>0</v>
      </c>
      <c r="H623" s="69" t="n">
        <f aca="false">H620-H611+H622</f>
        <v>0</v>
      </c>
      <c r="I623" s="69" t="n">
        <f aca="false">I620-I611+I622</f>
        <v>0</v>
      </c>
      <c r="J623" s="69" t="n">
        <f aca="false">J620-J611+J622</f>
        <v>0</v>
      </c>
      <c r="K623" s="69" t="n">
        <f aca="false">K620-K611+K622</f>
        <v>0</v>
      </c>
      <c r="L623" s="69" t="n">
        <f aca="false">L620-L611+L622</f>
        <v>0</v>
      </c>
      <c r="M623" s="69" t="n">
        <f aca="false">M620-M611+M622</f>
        <v>0</v>
      </c>
      <c r="N623" s="69" t="n">
        <f aca="false">N620-N611+N622</f>
        <v>0</v>
      </c>
      <c r="O623" s="69" t="n">
        <f aca="false">O620-O611+O622</f>
        <v>0</v>
      </c>
      <c r="P623" s="69" t="n">
        <f aca="false">P620-P611+P622</f>
        <v>0</v>
      </c>
      <c r="Q623" s="69" t="n">
        <f aca="false">Q620-Q611+Q622</f>
        <v>0</v>
      </c>
      <c r="R623" s="69" t="n">
        <f aca="false">R620-R611+R622</f>
        <v>0</v>
      </c>
      <c r="S623" s="69" t="n">
        <f aca="false">S620-S611+S622</f>
        <v>0</v>
      </c>
      <c r="T623" s="69" t="n">
        <f aca="false">T620-T611+T622</f>
        <v>0</v>
      </c>
      <c r="U623" s="69" t="n">
        <f aca="false">U620-U611+U622</f>
        <v>0</v>
      </c>
      <c r="V623" s="69" t="n">
        <f aca="false">V620-V611+V622</f>
        <v>0</v>
      </c>
      <c r="W623" s="69" t="n">
        <f aca="false">W620-W611+W622</f>
        <v>0</v>
      </c>
      <c r="X623" s="69" t="n">
        <f aca="false">X620-X611+X622</f>
        <v>0</v>
      </c>
      <c r="Y623" s="69" t="n">
        <f aca="false">Y620-Y611+Y622</f>
        <v>1869.140625</v>
      </c>
      <c r="Z623" s="69" t="n">
        <f aca="false">Z620-Z611+Z622</f>
        <v>4927.734375</v>
      </c>
      <c r="AA623" s="69" t="n">
        <f aca="false">AA620-AA611+AA622</f>
        <v>6966.796875</v>
      </c>
      <c r="AB623" s="69" t="n">
        <f aca="false">AB620-AB611+AB622</f>
        <v>7986.328125</v>
      </c>
    </row>
    <row r="624" customFormat="false" ht="15" hidden="false" customHeight="false" outlineLevel="0" collapsed="false">
      <c r="A624" s="27" t="s">
        <v>750</v>
      </c>
      <c r="B624" s="56"/>
      <c r="C624" s="57" t="n">
        <f aca="false">P624</f>
        <v>324000</v>
      </c>
      <c r="D624" s="57" t="n">
        <f aca="false">AB624</f>
        <v>324000</v>
      </c>
      <c r="E624" s="58" t="n">
        <f aca="false">Project_Register!$AO$21+E615+Assumptions!$F$121*E617</f>
        <v>324000</v>
      </c>
      <c r="F624" s="58" t="n">
        <f aca="false">Project_Register!$AO$21+F615+Assumptions!$F$121*F617</f>
        <v>324000</v>
      </c>
      <c r="G624" s="58" t="n">
        <f aca="false">Project_Register!$AO$21+G615+Assumptions!$F$121*G617</f>
        <v>324000</v>
      </c>
      <c r="H624" s="58" t="n">
        <f aca="false">Project_Register!$AO$21+H615+Assumptions!$F$121*H617</f>
        <v>324000</v>
      </c>
      <c r="I624" s="58" t="n">
        <f aca="false">Project_Register!$AO$21+I615+Assumptions!$F$121*I617</f>
        <v>324000</v>
      </c>
      <c r="J624" s="58" t="n">
        <f aca="false">Project_Register!$AO$21+J615+Assumptions!$F$121*J617</f>
        <v>324000</v>
      </c>
      <c r="K624" s="58" t="n">
        <f aca="false">Project_Register!$AO$21+K615+Assumptions!$F$121*K617</f>
        <v>324000</v>
      </c>
      <c r="L624" s="58" t="n">
        <f aca="false">Project_Register!$AO$21+L615+Assumptions!$F$121*L617</f>
        <v>324000</v>
      </c>
      <c r="M624" s="58" t="n">
        <f aca="false">Project_Register!$AO$21+M615+Assumptions!$F$121*M617</f>
        <v>324000</v>
      </c>
      <c r="N624" s="58" t="n">
        <f aca="false">Project_Register!$AO$21+N615+Assumptions!$F$121*N617</f>
        <v>324000</v>
      </c>
      <c r="O624" s="58" t="n">
        <f aca="false">Project_Register!$AO$21+O615+Assumptions!$F$121*O617</f>
        <v>324000</v>
      </c>
      <c r="P624" s="58" t="n">
        <f aca="false">Project_Register!$AO$21+P615+Assumptions!$F$121*P617</f>
        <v>324000</v>
      </c>
      <c r="Q624" s="58" t="n">
        <f aca="false">Project_Register!$AO$21+Q615+Assumptions!$F$121*Q617</f>
        <v>324000</v>
      </c>
      <c r="R624" s="58" t="n">
        <f aca="false">Project_Register!$AO$21+R615+Assumptions!$F$121*R617</f>
        <v>324000</v>
      </c>
      <c r="S624" s="58" t="n">
        <f aca="false">Project_Register!$AO$21+S615+Assumptions!$F$121*S617</f>
        <v>324000</v>
      </c>
      <c r="T624" s="58" t="n">
        <f aca="false">Project_Register!$AO$21+T615+Assumptions!$F$121*T617</f>
        <v>324000</v>
      </c>
      <c r="U624" s="58" t="n">
        <f aca="false">Project_Register!$AO$21+U615+Assumptions!$F$121*U617</f>
        <v>324000</v>
      </c>
      <c r="V624" s="58" t="n">
        <f aca="false">Project_Register!$AO$21+V615+Assumptions!$F$121*V617</f>
        <v>324000</v>
      </c>
      <c r="W624" s="58" t="n">
        <f aca="false">Project_Register!$AO$21+W615+Assumptions!$F$121*W617</f>
        <v>324000</v>
      </c>
      <c r="X624" s="58" t="n">
        <f aca="false">Project_Register!$AO$21+X615+Assumptions!$F$121*X617</f>
        <v>324000</v>
      </c>
      <c r="Y624" s="58" t="n">
        <f aca="false">Project_Register!$AO$21+Y615+Assumptions!$F$121*Y617</f>
        <v>324000</v>
      </c>
      <c r="Z624" s="58" t="n">
        <f aca="false">Project_Register!$AO$21+Z615+Assumptions!$F$121*Z617</f>
        <v>324000</v>
      </c>
      <c r="AA624" s="58" t="n">
        <f aca="false">Project_Register!$AO$21+AA615+Assumptions!$F$121*AA617</f>
        <v>324000</v>
      </c>
      <c r="AB624" s="58" t="n">
        <f aca="false">Project_Register!$AO$21+AB615+Assumptions!$F$121*AB617</f>
        <v>324000</v>
      </c>
    </row>
    <row r="625" customFormat="false" ht="15" hidden="false" customHeight="false" outlineLevel="0" collapsed="false">
      <c r="A625" s="27" t="s">
        <v>751</v>
      </c>
      <c r="B625" s="56" t="s">
        <v>752</v>
      </c>
      <c r="C625" s="57" t="n">
        <f aca="false">P625</f>
        <v>0</v>
      </c>
      <c r="D625" s="57" t="n">
        <f aca="false">AB625</f>
        <v>102515.625</v>
      </c>
      <c r="E625" s="58" t="n">
        <f aca="false">IF(E$5="A",Project_Register!$AE$21+0,IF(Assumptions!E$96&gt;=Project_Register!$AM$21,E624,MIN(E624,MAX(Project_Register!$AE$21,0*E624))))</f>
        <v>0</v>
      </c>
      <c r="F625" s="58" t="n">
        <f aca="false">IF(F$5="A",E625+0,IF(Assumptions!F$96&gt;=Project_Register!$AM$21,F624,MIN(F624,MAX(E625,E614*F624))))</f>
        <v>0</v>
      </c>
      <c r="G625" s="58" t="n">
        <f aca="false">IF(G$5="A",F625+0,IF(Assumptions!G$96&gt;=Project_Register!$AM$21,G624,MIN(G624,MAX(F625,F614*G624))))</f>
        <v>0</v>
      </c>
      <c r="H625" s="58" t="n">
        <f aca="false">IF(H$5="A",G625+0,IF(Assumptions!H$96&gt;=Project_Register!$AM$21,H624,MIN(H624,MAX(G625,G614*H624))))</f>
        <v>0</v>
      </c>
      <c r="I625" s="58" t="n">
        <f aca="false">IF(I$5="A",H625+0,IF(Assumptions!I$96&gt;=Project_Register!$AM$21,I624,MIN(I624,MAX(H625,H614*I624))))</f>
        <v>0</v>
      </c>
      <c r="J625" s="58" t="n">
        <f aca="false">IF(J$5="A",I625+0,IF(Assumptions!J$96&gt;=Project_Register!$AM$21,J624,MIN(J624,MAX(I625,I614*J624))))</f>
        <v>0</v>
      </c>
      <c r="K625" s="58" t="n">
        <f aca="false">IF(K$5="A",J625+0,IF(Assumptions!K$96&gt;=Project_Register!$AM$21,K624,MIN(K624,MAX(J625,J614*K624))))</f>
        <v>0</v>
      </c>
      <c r="L625" s="58" t="n">
        <f aca="false">IF(L$5="A",K625+0,IF(Assumptions!L$96&gt;=Project_Register!$AM$21,L624,MIN(L624,MAX(K625,K614*L624))))</f>
        <v>0</v>
      </c>
      <c r="M625" s="58" t="n">
        <f aca="false">IF(M$5="A",L625+0,IF(Assumptions!M$96&gt;=Project_Register!$AM$21,M624,MIN(M624,MAX(L625,L614*M624))))</f>
        <v>0</v>
      </c>
      <c r="N625" s="58" t="n">
        <f aca="false">IF(N$5="A",M625+0,IF(Assumptions!N$96&gt;=Project_Register!$AM$21,N624,MIN(N624,MAX(M625,M614*N624))))</f>
        <v>0</v>
      </c>
      <c r="O625" s="58" t="n">
        <f aca="false">IF(O$5="A",N625+0,IF(Assumptions!O$96&gt;=Project_Register!$AM$21,O624,MIN(O624,MAX(N625,N614*O624))))</f>
        <v>0</v>
      </c>
      <c r="P625" s="58" t="n">
        <f aca="false">IF(P$5="A",O625+0,IF(Assumptions!P$96&gt;=Project_Register!$AM$21,P624,MIN(P624,MAX(O625,O614*P624))))</f>
        <v>0</v>
      </c>
      <c r="Q625" s="58" t="n">
        <f aca="false">IF(Q$5="A",P625+0,IF(Assumptions!Q$96&gt;=Project_Register!$AM$21,Q624,MIN(Q624,MAX(P625,P614*Q624))))</f>
        <v>0</v>
      </c>
      <c r="R625" s="58" t="n">
        <f aca="false">IF(R$5="A",Q625+0,IF(Assumptions!R$96&gt;=Project_Register!$AM$21,R624,MIN(R624,MAX(Q625,Q614*R624))))</f>
        <v>0</v>
      </c>
      <c r="S625" s="58" t="n">
        <f aca="false">IF(S$5="A",R625+0,IF(Assumptions!S$96&gt;=Project_Register!$AM$21,S624,MIN(S624,MAX(R625,R614*S624))))</f>
        <v>0</v>
      </c>
      <c r="T625" s="58" t="n">
        <f aca="false">IF(T$5="A",S625+0,IF(Assumptions!T$96&gt;=Project_Register!$AM$21,T624,MIN(T624,MAX(S625,S614*T624))))</f>
        <v>0</v>
      </c>
      <c r="U625" s="58" t="n">
        <f aca="false">IF(U$5="A",T625+0,IF(Assumptions!U$96&gt;=Project_Register!$AM$21,U624,MIN(U624,MAX(T625,T614*U624))))</f>
        <v>0</v>
      </c>
      <c r="V625" s="58" t="n">
        <f aca="false">IF(V$5="A",U625+0,IF(Assumptions!V$96&gt;=Project_Register!$AM$21,V624,MIN(V624,MAX(U625,U614*V624))))</f>
        <v>0</v>
      </c>
      <c r="W625" s="58" t="n">
        <f aca="false">IF(W$5="A",V625+0,IF(Assumptions!W$96&gt;=Project_Register!$AM$21,W624,MIN(W624,MAX(V625,V614*W624))))</f>
        <v>0</v>
      </c>
      <c r="X625" s="58" t="n">
        <f aca="false">IF(X$5="A",W625+0,IF(Assumptions!X$96&gt;=Project_Register!$AM$21,X624,MIN(X624,MAX(W625,W614*X624))))</f>
        <v>0</v>
      </c>
      <c r="Y625" s="58" t="n">
        <f aca="false">IF(Y$5="A",X625+0,IF(Assumptions!Y$96&gt;=Project_Register!$AM$21,Y624,MIN(Y624,MAX(X625,X614*Y624))))</f>
        <v>0</v>
      </c>
      <c r="Z625" s="58" t="n">
        <f aca="false">IF(Z$5="A",Y625+0,IF(Assumptions!Z$96&gt;=Project_Register!$AM$21,Z624,MIN(Z624,MAX(Y625,Y614*Z624))))</f>
        <v>13921.875</v>
      </c>
      <c r="AA625" s="58" t="n">
        <f aca="false">IF(AA$5="A",Z625+0,IF(Assumptions!AA$96&gt;=Project_Register!$AM$21,AA624,MIN(AA624,MAX(Z625,Z614*AA624))))</f>
        <v>50625</v>
      </c>
      <c r="AB625" s="58" t="n">
        <f aca="false">IF(AB$5="A",AA625+0,IF(Assumptions!AB$96&gt;=Project_Register!$AM$21,AB624,MIN(AB624,MAX(AA625,AA614*AB624))))</f>
        <v>102515.625</v>
      </c>
    </row>
    <row r="626" customFormat="false" ht="15" hidden="false" customHeight="false" outlineLevel="0" collapsed="false">
      <c r="A626" s="27" t="s">
        <v>753</v>
      </c>
      <c r="B626" s="56"/>
      <c r="C626" s="57" t="n">
        <f aca="false">SUM(E626:P626)</f>
        <v>0</v>
      </c>
      <c r="D626" s="57" t="n">
        <f aca="false">SUM(Q626:AB626)</f>
        <v>102515.625</v>
      </c>
      <c r="E626" s="58" t="n">
        <f aca="false">E625-Project_Register!$AE$21</f>
        <v>0</v>
      </c>
      <c r="F626" s="70" t="n">
        <f aca="false">F625-E625</f>
        <v>0</v>
      </c>
      <c r="G626" s="70" t="n">
        <f aca="false">G625-F625</f>
        <v>0</v>
      </c>
      <c r="H626" s="70" t="n">
        <f aca="false">H625-G625</f>
        <v>0</v>
      </c>
      <c r="I626" s="70" t="n">
        <f aca="false">I625-H625</f>
        <v>0</v>
      </c>
      <c r="J626" s="70" t="n">
        <f aca="false">J625-I625</f>
        <v>0</v>
      </c>
      <c r="K626" s="70" t="n">
        <f aca="false">K625-J625</f>
        <v>0</v>
      </c>
      <c r="L626" s="70" t="n">
        <f aca="false">L625-K625</f>
        <v>0</v>
      </c>
      <c r="M626" s="70" t="n">
        <f aca="false">M625-L625</f>
        <v>0</v>
      </c>
      <c r="N626" s="70" t="n">
        <f aca="false">N625-M625</f>
        <v>0</v>
      </c>
      <c r="O626" s="70" t="n">
        <f aca="false">O625-N625</f>
        <v>0</v>
      </c>
      <c r="P626" s="70" t="n">
        <f aca="false">P625-O625</f>
        <v>0</v>
      </c>
      <c r="Q626" s="70" t="n">
        <f aca="false">Q625-P625</f>
        <v>0</v>
      </c>
      <c r="R626" s="70" t="n">
        <f aca="false">R625-Q625</f>
        <v>0</v>
      </c>
      <c r="S626" s="70" t="n">
        <f aca="false">S625-R625</f>
        <v>0</v>
      </c>
      <c r="T626" s="70" t="n">
        <f aca="false">T625-S625</f>
        <v>0</v>
      </c>
      <c r="U626" s="70" t="n">
        <f aca="false">U625-T625</f>
        <v>0</v>
      </c>
      <c r="V626" s="70" t="n">
        <f aca="false">V625-U625</f>
        <v>0</v>
      </c>
      <c r="W626" s="70" t="n">
        <f aca="false">W625-V625</f>
        <v>0</v>
      </c>
      <c r="X626" s="70" t="n">
        <f aca="false">X625-W625</f>
        <v>0</v>
      </c>
      <c r="Y626" s="70" t="n">
        <f aca="false">Y625-X625</f>
        <v>0</v>
      </c>
      <c r="Z626" s="70" t="n">
        <f aca="false">Z625-Y625</f>
        <v>13921.875</v>
      </c>
      <c r="AA626" s="70" t="n">
        <f aca="false">AA625-Z625</f>
        <v>36703.125</v>
      </c>
      <c r="AB626" s="70" t="n">
        <f aca="false">AB625-AA625</f>
        <v>51890.625</v>
      </c>
    </row>
    <row r="627" customFormat="false" ht="15" hidden="false" customHeight="false" outlineLevel="0" collapsed="false">
      <c r="A627" s="27" t="s">
        <v>754</v>
      </c>
      <c r="B627" s="56" t="s">
        <v>755</v>
      </c>
      <c r="C627" s="57" t="n">
        <f aca="false">P627</f>
        <v>0</v>
      </c>
      <c r="D627" s="57" t="n">
        <f aca="false">AB627</f>
        <v>3075.46875</v>
      </c>
      <c r="E627" s="58" t="n">
        <f aca="false">Project_Register!$Q$21*E625*(1-Project_Register!$R$21*(Assumptions!E$96&gt;=Project_Register!$AK$21+1)-(1-Project_Register!$R$21)*(Assumptions!E$96&gt;=Project_Register!$AN$21))</f>
        <v>0</v>
      </c>
      <c r="F627" s="58" t="n">
        <f aca="false">Project_Register!$Q$21*F625*(1-Project_Register!$R$21*(Assumptions!F$96&gt;=Project_Register!$AK$21+1)-(1-Project_Register!$R$21)*(Assumptions!F$96&gt;=Project_Register!$AN$21))</f>
        <v>0</v>
      </c>
      <c r="G627" s="58" t="n">
        <f aca="false">Project_Register!$Q$21*G625*(1-Project_Register!$R$21*(Assumptions!G$96&gt;=Project_Register!$AK$21+1)-(1-Project_Register!$R$21)*(Assumptions!G$96&gt;=Project_Register!$AN$21))</f>
        <v>0</v>
      </c>
      <c r="H627" s="58" t="n">
        <f aca="false">Project_Register!$Q$21*H625*(1-Project_Register!$R$21*(Assumptions!H$96&gt;=Project_Register!$AK$21+1)-(1-Project_Register!$R$21)*(Assumptions!H$96&gt;=Project_Register!$AN$21))</f>
        <v>0</v>
      </c>
      <c r="I627" s="58" t="n">
        <f aca="false">Project_Register!$Q$21*I625*(1-Project_Register!$R$21*(Assumptions!I$96&gt;=Project_Register!$AK$21+1)-(1-Project_Register!$R$21)*(Assumptions!I$96&gt;=Project_Register!$AN$21))</f>
        <v>0</v>
      </c>
      <c r="J627" s="58" t="n">
        <f aca="false">Project_Register!$Q$21*J625*(1-Project_Register!$R$21*(Assumptions!J$96&gt;=Project_Register!$AK$21+1)-(1-Project_Register!$R$21)*(Assumptions!J$96&gt;=Project_Register!$AN$21))</f>
        <v>0</v>
      </c>
      <c r="K627" s="58" t="n">
        <f aca="false">Project_Register!$Q$21*K625*(1-Project_Register!$R$21*(Assumptions!K$96&gt;=Project_Register!$AK$21+1)-(1-Project_Register!$R$21)*(Assumptions!K$96&gt;=Project_Register!$AN$21))</f>
        <v>0</v>
      </c>
      <c r="L627" s="58" t="n">
        <f aca="false">Project_Register!$Q$21*L625*(1-Project_Register!$R$21*(Assumptions!L$96&gt;=Project_Register!$AK$21+1)-(1-Project_Register!$R$21)*(Assumptions!L$96&gt;=Project_Register!$AN$21))</f>
        <v>0</v>
      </c>
      <c r="M627" s="58" t="n">
        <f aca="false">Project_Register!$Q$21*M625*(1-Project_Register!$R$21*(Assumptions!M$96&gt;=Project_Register!$AK$21+1)-(1-Project_Register!$R$21)*(Assumptions!M$96&gt;=Project_Register!$AN$21))</f>
        <v>0</v>
      </c>
      <c r="N627" s="58" t="n">
        <f aca="false">Project_Register!$Q$21*N625*(1-Project_Register!$R$21*(Assumptions!N$96&gt;=Project_Register!$AK$21+1)-(1-Project_Register!$R$21)*(Assumptions!N$96&gt;=Project_Register!$AN$21))</f>
        <v>0</v>
      </c>
      <c r="O627" s="58" t="n">
        <f aca="false">Project_Register!$Q$21*O625*(1-Project_Register!$R$21*(Assumptions!O$96&gt;=Project_Register!$AK$21+1)-(1-Project_Register!$R$21)*(Assumptions!O$96&gt;=Project_Register!$AN$21))</f>
        <v>0</v>
      </c>
      <c r="P627" s="58" t="n">
        <f aca="false">Project_Register!$Q$21*P625*(1-Project_Register!$R$21*(Assumptions!P$96&gt;=Project_Register!$AK$21+1)-(1-Project_Register!$R$21)*(Assumptions!P$96&gt;=Project_Register!$AN$21))</f>
        <v>0</v>
      </c>
      <c r="Q627" s="58" t="n">
        <f aca="false">Project_Register!$Q$21*Q625*(1-Project_Register!$R$21*(Assumptions!Q$96&gt;=Project_Register!$AK$21+1)-(1-Project_Register!$R$21)*(Assumptions!Q$96&gt;=Project_Register!$AN$21))</f>
        <v>0</v>
      </c>
      <c r="R627" s="58" t="n">
        <f aca="false">Project_Register!$Q$21*R625*(1-Project_Register!$R$21*(Assumptions!R$96&gt;=Project_Register!$AK$21+1)-(1-Project_Register!$R$21)*(Assumptions!R$96&gt;=Project_Register!$AN$21))</f>
        <v>0</v>
      </c>
      <c r="S627" s="58" t="n">
        <f aca="false">Project_Register!$Q$21*S625*(1-Project_Register!$R$21*(Assumptions!S$96&gt;=Project_Register!$AK$21+1)-(1-Project_Register!$R$21)*(Assumptions!S$96&gt;=Project_Register!$AN$21))</f>
        <v>0</v>
      </c>
      <c r="T627" s="58" t="n">
        <f aca="false">Project_Register!$Q$21*T625*(1-Project_Register!$R$21*(Assumptions!T$96&gt;=Project_Register!$AK$21+1)-(1-Project_Register!$R$21)*(Assumptions!T$96&gt;=Project_Register!$AN$21))</f>
        <v>0</v>
      </c>
      <c r="U627" s="58" t="n">
        <f aca="false">Project_Register!$Q$21*U625*(1-Project_Register!$R$21*(Assumptions!U$96&gt;=Project_Register!$AK$21+1)-(1-Project_Register!$R$21)*(Assumptions!U$96&gt;=Project_Register!$AN$21))</f>
        <v>0</v>
      </c>
      <c r="V627" s="58" t="n">
        <f aca="false">Project_Register!$Q$21*V625*(1-Project_Register!$R$21*(Assumptions!V$96&gt;=Project_Register!$AK$21+1)-(1-Project_Register!$R$21)*(Assumptions!V$96&gt;=Project_Register!$AN$21))</f>
        <v>0</v>
      </c>
      <c r="W627" s="58" t="n">
        <f aca="false">Project_Register!$Q$21*W625*(1-Project_Register!$R$21*(Assumptions!W$96&gt;=Project_Register!$AK$21+1)-(1-Project_Register!$R$21)*(Assumptions!W$96&gt;=Project_Register!$AN$21))</f>
        <v>0</v>
      </c>
      <c r="X627" s="58" t="n">
        <f aca="false">Project_Register!$Q$21*X625*(1-Project_Register!$R$21*(Assumptions!X$96&gt;=Project_Register!$AK$21+1)-(1-Project_Register!$R$21)*(Assumptions!X$96&gt;=Project_Register!$AN$21))</f>
        <v>0</v>
      </c>
      <c r="Y627" s="58" t="n">
        <f aca="false">Project_Register!$Q$21*Y625*(1-Project_Register!$R$21*(Assumptions!Y$96&gt;=Project_Register!$AK$21+1)-(1-Project_Register!$R$21)*(Assumptions!Y$96&gt;=Project_Register!$AN$21))</f>
        <v>0</v>
      </c>
      <c r="Z627" s="58" t="n">
        <f aca="false">Project_Register!$Q$21*Z625*(1-Project_Register!$R$21*(Assumptions!Z$96&gt;=Project_Register!$AK$21+1)-(1-Project_Register!$R$21)*(Assumptions!Z$96&gt;=Project_Register!$AN$21))</f>
        <v>417.65625</v>
      </c>
      <c r="AA627" s="58" t="n">
        <f aca="false">Project_Register!$Q$21*AA625*(1-Project_Register!$R$21*(Assumptions!AA$96&gt;=Project_Register!$AK$21+1)-(1-Project_Register!$R$21)*(Assumptions!AA$96&gt;=Project_Register!$AN$21))</f>
        <v>1518.75</v>
      </c>
      <c r="AB627" s="58" t="n">
        <f aca="false">Project_Register!$Q$21*AB625*(1-Project_Register!$R$21*(Assumptions!AB$96&gt;=Project_Register!$AK$21+1)-(1-Project_Register!$R$21)*(Assumptions!AB$96&gt;=Project_Register!$AN$21))</f>
        <v>3075.46875</v>
      </c>
    </row>
    <row r="628" customFormat="false" ht="15" hidden="false" customHeight="false" outlineLevel="0" collapsed="false">
      <c r="A628" s="27" t="s">
        <v>756</v>
      </c>
      <c r="B628" s="56"/>
      <c r="C628" s="57" t="n">
        <f aca="false">SUM(E628:P628)</f>
        <v>0</v>
      </c>
      <c r="D628" s="57" t="n">
        <f aca="false">SUM(Q628:AB628)</f>
        <v>3075.46875</v>
      </c>
      <c r="E628" s="58" t="n">
        <f aca="false">E627-Project_Register!$AW$21</f>
        <v>0</v>
      </c>
      <c r="F628" s="70" t="n">
        <f aca="false">F627-E627</f>
        <v>0</v>
      </c>
      <c r="G628" s="70" t="n">
        <f aca="false">G627-F627</f>
        <v>0</v>
      </c>
      <c r="H628" s="70" t="n">
        <f aca="false">H627-G627</f>
        <v>0</v>
      </c>
      <c r="I628" s="70" t="n">
        <f aca="false">I627-H627</f>
        <v>0</v>
      </c>
      <c r="J628" s="70" t="n">
        <f aca="false">J627-I627</f>
        <v>0</v>
      </c>
      <c r="K628" s="70" t="n">
        <f aca="false">K627-J627</f>
        <v>0</v>
      </c>
      <c r="L628" s="70" t="n">
        <f aca="false">L627-K627</f>
        <v>0</v>
      </c>
      <c r="M628" s="70" t="n">
        <f aca="false">M627-L627</f>
        <v>0</v>
      </c>
      <c r="N628" s="70" t="n">
        <f aca="false">N627-M627</f>
        <v>0</v>
      </c>
      <c r="O628" s="70" t="n">
        <f aca="false">O627-N627</f>
        <v>0</v>
      </c>
      <c r="P628" s="70" t="n">
        <f aca="false">P627-O627</f>
        <v>0</v>
      </c>
      <c r="Q628" s="70" t="n">
        <f aca="false">Q627-P627</f>
        <v>0</v>
      </c>
      <c r="R628" s="70" t="n">
        <f aca="false">R627-Q627</f>
        <v>0</v>
      </c>
      <c r="S628" s="70" t="n">
        <f aca="false">S627-R627</f>
        <v>0</v>
      </c>
      <c r="T628" s="70" t="n">
        <f aca="false">T627-S627</f>
        <v>0</v>
      </c>
      <c r="U628" s="70" t="n">
        <f aca="false">U627-T627</f>
        <v>0</v>
      </c>
      <c r="V628" s="70" t="n">
        <f aca="false">V627-U627</f>
        <v>0</v>
      </c>
      <c r="W628" s="70" t="n">
        <f aca="false">W627-V627</f>
        <v>0</v>
      </c>
      <c r="X628" s="70" t="n">
        <f aca="false">X627-W627</f>
        <v>0</v>
      </c>
      <c r="Y628" s="70" t="n">
        <f aca="false">Y627-X627</f>
        <v>0</v>
      </c>
      <c r="Z628" s="70" t="n">
        <f aca="false">Z627-Y627</f>
        <v>417.65625</v>
      </c>
      <c r="AA628" s="70" t="n">
        <f aca="false">AA627-Z627</f>
        <v>1101.09375</v>
      </c>
      <c r="AB628" s="70" t="n">
        <f aca="false">AB627-AA627</f>
        <v>1556.71875</v>
      </c>
    </row>
    <row r="629" customFormat="false" ht="15" hidden="false" customHeight="false" outlineLevel="0" collapsed="false">
      <c r="A629" s="27" t="s">
        <v>757</v>
      </c>
      <c r="B629" s="56"/>
      <c r="C629" s="57" t="n">
        <f aca="false">SUM(E629:P629)</f>
        <v>0</v>
      </c>
      <c r="D629" s="57" t="n">
        <f aca="false">SUM(Q629:AB629)</f>
        <v>99440.15625</v>
      </c>
      <c r="E629" s="70" t="n">
        <f aca="false">E626-E628</f>
        <v>0</v>
      </c>
      <c r="F629" s="70" t="n">
        <f aca="false">F626-F628</f>
        <v>0</v>
      </c>
      <c r="G629" s="70" t="n">
        <f aca="false">G626-G628</f>
        <v>0</v>
      </c>
      <c r="H629" s="70" t="n">
        <f aca="false">H626-H628</f>
        <v>0</v>
      </c>
      <c r="I629" s="70" t="n">
        <f aca="false">I626-I628</f>
        <v>0</v>
      </c>
      <c r="J629" s="70" t="n">
        <f aca="false">J626-J628</f>
        <v>0</v>
      </c>
      <c r="K629" s="70" t="n">
        <f aca="false">K626-K628</f>
        <v>0</v>
      </c>
      <c r="L629" s="70" t="n">
        <f aca="false">L626-L628</f>
        <v>0</v>
      </c>
      <c r="M629" s="70" t="n">
        <f aca="false">M626-M628</f>
        <v>0</v>
      </c>
      <c r="N629" s="70" t="n">
        <f aca="false">N626-N628</f>
        <v>0</v>
      </c>
      <c r="O629" s="70" t="n">
        <f aca="false">O626-O628</f>
        <v>0</v>
      </c>
      <c r="P629" s="70" t="n">
        <f aca="false">P626-P628</f>
        <v>0</v>
      </c>
      <c r="Q629" s="70" t="n">
        <f aca="false">Q626-Q628</f>
        <v>0</v>
      </c>
      <c r="R629" s="70" t="n">
        <f aca="false">R626-R628</f>
        <v>0</v>
      </c>
      <c r="S629" s="70" t="n">
        <f aca="false">S626-S628</f>
        <v>0</v>
      </c>
      <c r="T629" s="70" t="n">
        <f aca="false">T626-T628</f>
        <v>0</v>
      </c>
      <c r="U629" s="70" t="n">
        <f aca="false">U626-U628</f>
        <v>0</v>
      </c>
      <c r="V629" s="70" t="n">
        <f aca="false">V626-V628</f>
        <v>0</v>
      </c>
      <c r="W629" s="70" t="n">
        <f aca="false">W626-W628</f>
        <v>0</v>
      </c>
      <c r="X629" s="70" t="n">
        <f aca="false">X626-X628</f>
        <v>0</v>
      </c>
      <c r="Y629" s="70" t="n">
        <f aca="false">Y626-Y628</f>
        <v>0</v>
      </c>
      <c r="Z629" s="70" t="n">
        <f aca="false">Z626-Z628</f>
        <v>13504.21875</v>
      </c>
      <c r="AA629" s="70" t="n">
        <f aca="false">AA626-AA628</f>
        <v>35602.03125</v>
      </c>
      <c r="AB629" s="70" t="n">
        <f aca="false">AB626-AB628</f>
        <v>50333.90625</v>
      </c>
    </row>
    <row r="630" customFormat="false" ht="15" hidden="false" customHeight="false" outlineLevel="0" collapsed="false">
      <c r="A630" s="27" t="s">
        <v>758</v>
      </c>
      <c r="B630" s="56" t="s">
        <v>759</v>
      </c>
      <c r="C630" s="57" t="n">
        <f aca="false">SUM(E630:P630)</f>
        <v>0</v>
      </c>
      <c r="D630" s="57" t="n">
        <f aca="false">SUM(Q630:AB630)</f>
        <v>13424.42109375</v>
      </c>
      <c r="E630" s="58" t="n">
        <f aca="false">E629*Project_Register!$W$21</f>
        <v>0</v>
      </c>
      <c r="F630" s="58" t="n">
        <f aca="false">F629*Project_Register!$W$21</f>
        <v>0</v>
      </c>
      <c r="G630" s="58" t="n">
        <f aca="false">G629*Project_Register!$W$21</f>
        <v>0</v>
      </c>
      <c r="H630" s="58" t="n">
        <f aca="false">H629*Project_Register!$W$21</f>
        <v>0</v>
      </c>
      <c r="I630" s="58" t="n">
        <f aca="false">I629*Project_Register!$W$21</f>
        <v>0</v>
      </c>
      <c r="J630" s="58" t="n">
        <f aca="false">J629*Project_Register!$W$21</f>
        <v>0</v>
      </c>
      <c r="K630" s="58" t="n">
        <f aca="false">K629*Project_Register!$W$21</f>
        <v>0</v>
      </c>
      <c r="L630" s="58" t="n">
        <f aca="false">L629*Project_Register!$W$21</f>
        <v>0</v>
      </c>
      <c r="M630" s="58" t="n">
        <f aca="false">M629*Project_Register!$W$21</f>
        <v>0</v>
      </c>
      <c r="N630" s="58" t="n">
        <f aca="false">N629*Project_Register!$W$21</f>
        <v>0</v>
      </c>
      <c r="O630" s="58" t="n">
        <f aca="false">O629*Project_Register!$W$21</f>
        <v>0</v>
      </c>
      <c r="P630" s="58" t="n">
        <f aca="false">P629*Project_Register!$W$21</f>
        <v>0</v>
      </c>
      <c r="Q630" s="58" t="n">
        <f aca="false">Q629*Project_Register!$W$21</f>
        <v>0</v>
      </c>
      <c r="R630" s="58" t="n">
        <f aca="false">R629*Project_Register!$W$21</f>
        <v>0</v>
      </c>
      <c r="S630" s="58" t="n">
        <f aca="false">S629*Project_Register!$W$21</f>
        <v>0</v>
      </c>
      <c r="T630" s="58" t="n">
        <f aca="false">T629*Project_Register!$W$21</f>
        <v>0</v>
      </c>
      <c r="U630" s="58" t="n">
        <f aca="false">U629*Project_Register!$W$21</f>
        <v>0</v>
      </c>
      <c r="V630" s="58" t="n">
        <f aca="false">V629*Project_Register!$W$21</f>
        <v>0</v>
      </c>
      <c r="W630" s="58" t="n">
        <f aca="false">W629*Project_Register!$W$21</f>
        <v>0</v>
      </c>
      <c r="X630" s="58" t="n">
        <f aca="false">X629*Project_Register!$W$21</f>
        <v>0</v>
      </c>
      <c r="Y630" s="58" t="n">
        <f aca="false">Y629*Project_Register!$W$21</f>
        <v>0</v>
      </c>
      <c r="Z630" s="58" t="n">
        <f aca="false">Z629*Project_Register!$W$21</f>
        <v>1823.06953125</v>
      </c>
      <c r="AA630" s="58" t="n">
        <f aca="false">AA629*Project_Register!$W$21</f>
        <v>4806.27421875</v>
      </c>
      <c r="AB630" s="58" t="n">
        <f aca="false">AB629*Project_Register!$W$21</f>
        <v>6795.07734375</v>
      </c>
    </row>
    <row r="631" customFormat="false" ht="15" hidden="false" customHeight="false" outlineLevel="0" collapsed="false">
      <c r="A631" s="27" t="s">
        <v>760</v>
      </c>
      <c r="B631" s="56"/>
      <c r="C631" s="57" t="n">
        <f aca="false">SUM(E631:P631)</f>
        <v>0</v>
      </c>
      <c r="D631" s="57" t="n">
        <f aca="false">SUM(Q631:AB631)</f>
        <v>112864.57734375</v>
      </c>
      <c r="E631" s="70" t="n">
        <f aca="false">E629+E630</f>
        <v>0</v>
      </c>
      <c r="F631" s="70" t="n">
        <f aca="false">F629+F630</f>
        <v>0</v>
      </c>
      <c r="G631" s="70" t="n">
        <f aca="false">G629+G630</f>
        <v>0</v>
      </c>
      <c r="H631" s="70" t="n">
        <f aca="false">H629+H630</f>
        <v>0</v>
      </c>
      <c r="I631" s="70" t="n">
        <f aca="false">I629+I630</f>
        <v>0</v>
      </c>
      <c r="J631" s="70" t="n">
        <f aca="false">J629+J630</f>
        <v>0</v>
      </c>
      <c r="K631" s="70" t="n">
        <f aca="false">K629+K630</f>
        <v>0</v>
      </c>
      <c r="L631" s="70" t="n">
        <f aca="false">L629+L630</f>
        <v>0</v>
      </c>
      <c r="M631" s="70" t="n">
        <f aca="false">M629+M630</f>
        <v>0</v>
      </c>
      <c r="N631" s="70" t="n">
        <f aca="false">N629+N630</f>
        <v>0</v>
      </c>
      <c r="O631" s="70" t="n">
        <f aca="false">O629+O630</f>
        <v>0</v>
      </c>
      <c r="P631" s="70" t="n">
        <f aca="false">P629+P630</f>
        <v>0</v>
      </c>
      <c r="Q631" s="70" t="n">
        <f aca="false">Q629+Q630</f>
        <v>0</v>
      </c>
      <c r="R631" s="70" t="n">
        <f aca="false">R629+R630</f>
        <v>0</v>
      </c>
      <c r="S631" s="70" t="n">
        <f aca="false">S629+S630</f>
        <v>0</v>
      </c>
      <c r="T631" s="70" t="n">
        <f aca="false">T629+T630</f>
        <v>0</v>
      </c>
      <c r="U631" s="70" t="n">
        <f aca="false">U629+U630</f>
        <v>0</v>
      </c>
      <c r="V631" s="70" t="n">
        <f aca="false">V629+V630</f>
        <v>0</v>
      </c>
      <c r="W631" s="70" t="n">
        <f aca="false">W629+W630</f>
        <v>0</v>
      </c>
      <c r="X631" s="70" t="n">
        <f aca="false">X629+X630</f>
        <v>0</v>
      </c>
      <c r="Y631" s="70" t="n">
        <f aca="false">Y629+Y630</f>
        <v>0</v>
      </c>
      <c r="Z631" s="70" t="n">
        <f aca="false">Z629+Z630</f>
        <v>15327.28828125</v>
      </c>
      <c r="AA631" s="70" t="n">
        <f aca="false">AA629+AA630</f>
        <v>40408.30546875</v>
      </c>
      <c r="AB631" s="70" t="n">
        <f aca="false">AB629+AB630</f>
        <v>57128.98359375</v>
      </c>
    </row>
    <row r="632" customFormat="false" ht="15" hidden="false" customHeight="false" outlineLevel="0" collapsed="false">
      <c r="A632" s="27" t="s">
        <v>761</v>
      </c>
      <c r="B632" s="56" t="s">
        <v>762</v>
      </c>
      <c r="C632" s="57" t="n">
        <f aca="false">SUM(E632:P632)</f>
        <v>0</v>
      </c>
      <c r="D632" s="57" t="n">
        <f aca="false">SUM(Q632:AB632)</f>
        <v>35531.441015625</v>
      </c>
      <c r="E632" s="58" t="n">
        <f aca="false">IF(E$5="A",0,Project_Register!$AF$21+E631-(E631*MIN(1,Project_Register!$AY$21/30)+0*MIN(1,MAX(0,(Project_Register!$AY$21-30)/30))))</f>
        <v>0</v>
      </c>
      <c r="F632" s="58" t="n">
        <f aca="false">IF(F$5="A",0,E633+F631-(F631*MIN(1,Project_Register!$AY$21/30)+E631*MIN(1,MAX(0,(Project_Register!$AY$21-30)/30))))</f>
        <v>0</v>
      </c>
      <c r="G632" s="58" t="n">
        <f aca="false">IF(G$5="A",0,F633+G631-(G631*MIN(1,Project_Register!$AY$21/30)+F631*MIN(1,MAX(0,(Project_Register!$AY$21-30)/30))))</f>
        <v>0</v>
      </c>
      <c r="H632" s="58" t="n">
        <f aca="false">IF(H$5="A",0,G633+H631-(H631*MIN(1,Project_Register!$AY$21/30)+G631*MIN(1,MAX(0,(Project_Register!$AY$21-30)/30))))</f>
        <v>0</v>
      </c>
      <c r="I632" s="58" t="n">
        <f aca="false">IF(I$5="A",0,H633+I631-(I631*MIN(1,Project_Register!$AY$21/30)+H631*MIN(1,MAX(0,(Project_Register!$AY$21-30)/30))))</f>
        <v>0</v>
      </c>
      <c r="J632" s="58" t="n">
        <f aca="false">IF(J$5="A",0,I633+J631-(J631*MIN(1,Project_Register!$AY$21/30)+I631*MIN(1,MAX(0,(Project_Register!$AY$21-30)/30))))</f>
        <v>0</v>
      </c>
      <c r="K632" s="58" t="n">
        <f aca="false">IF(K$5="A",0,J633+K631-(K631*MIN(1,Project_Register!$AY$21/30)+J631*MIN(1,MAX(0,(Project_Register!$AY$21-30)/30))))</f>
        <v>0</v>
      </c>
      <c r="L632" s="58" t="n">
        <f aca="false">IF(L$5="A",0,K633+L631-(L631*MIN(1,Project_Register!$AY$21/30)+K631*MIN(1,MAX(0,(Project_Register!$AY$21-30)/30))))</f>
        <v>0</v>
      </c>
      <c r="M632" s="58" t="n">
        <f aca="false">IF(M$5="A",0,L633+M631-(M631*MIN(1,Project_Register!$AY$21/30)+L631*MIN(1,MAX(0,(Project_Register!$AY$21-30)/30))))</f>
        <v>0</v>
      </c>
      <c r="N632" s="58" t="n">
        <f aca="false">IF(N$5="A",0,M633+N631-(N631*MIN(1,Project_Register!$AY$21/30)+M631*MIN(1,MAX(0,(Project_Register!$AY$21-30)/30))))</f>
        <v>0</v>
      </c>
      <c r="O632" s="58" t="n">
        <f aca="false">IF(O$5="A",0,N633+O631-(O631*MIN(1,Project_Register!$AY$21/30)+N631*MIN(1,MAX(0,(Project_Register!$AY$21-30)/30))))</f>
        <v>0</v>
      </c>
      <c r="P632" s="58" t="n">
        <f aca="false">IF(P$5="A",0,O633+P631-(P631*MIN(1,Project_Register!$AY$21/30)+O631*MIN(1,MAX(0,(Project_Register!$AY$21-30)/30))))</f>
        <v>0</v>
      </c>
      <c r="Q632" s="58" t="n">
        <f aca="false">IF(Q$5="A",0,P633+Q631-(Q631*MIN(1,Project_Register!$AY$21/30)+P631*MIN(1,MAX(0,(Project_Register!$AY$21-30)/30))))</f>
        <v>0</v>
      </c>
      <c r="R632" s="58" t="n">
        <f aca="false">IF(R$5="A",0,Q633+R631-(R631*MIN(1,Project_Register!$AY$21/30)+Q631*MIN(1,MAX(0,(Project_Register!$AY$21-30)/30))))</f>
        <v>0</v>
      </c>
      <c r="S632" s="58" t="n">
        <f aca="false">IF(S$5="A",0,R633+S631-(S631*MIN(1,Project_Register!$AY$21/30)+R631*MIN(1,MAX(0,(Project_Register!$AY$21-30)/30))))</f>
        <v>0</v>
      </c>
      <c r="T632" s="58" t="n">
        <f aca="false">IF(T$5="A",0,S633+T631-(T631*MIN(1,Project_Register!$AY$21/30)+S631*MIN(1,MAX(0,(Project_Register!$AY$21-30)/30))))</f>
        <v>0</v>
      </c>
      <c r="U632" s="58" t="n">
        <f aca="false">IF(U$5="A",0,T633+U631-(U631*MIN(1,Project_Register!$AY$21/30)+T631*MIN(1,MAX(0,(Project_Register!$AY$21-30)/30))))</f>
        <v>0</v>
      </c>
      <c r="V632" s="58" t="n">
        <f aca="false">IF(V$5="A",0,U633+V631-(V631*MIN(1,Project_Register!$AY$21/30)+U631*MIN(1,MAX(0,(Project_Register!$AY$21-30)/30))))</f>
        <v>0</v>
      </c>
      <c r="W632" s="58" t="n">
        <f aca="false">IF(W$5="A",0,V633+W631-(W631*MIN(1,Project_Register!$AY$21/30)+V631*MIN(1,MAX(0,(Project_Register!$AY$21-30)/30))))</f>
        <v>0</v>
      </c>
      <c r="X632" s="58" t="n">
        <f aca="false">IF(X$5="A",0,W633+X631-(X631*MIN(1,Project_Register!$AY$21/30)+W631*MIN(1,MAX(0,(Project_Register!$AY$21-30)/30))))</f>
        <v>0</v>
      </c>
      <c r="Y632" s="58" t="n">
        <f aca="false">IF(Y$5="A",0,X633+Y631-(Y631*MIN(1,Project_Register!$AY$21/30)+X631*MIN(1,MAX(0,(Project_Register!$AY$21-30)/30))))</f>
        <v>0</v>
      </c>
      <c r="Z632" s="58" t="n">
        <f aca="false">IF(Z$5="A",0,Y633+Z631-(Z631*MIN(1,Project_Register!$AY$21/30)+Y631*MIN(1,MAX(0,(Project_Register!$AY$21-30)/30))))</f>
        <v>0</v>
      </c>
      <c r="AA632" s="58" t="n">
        <f aca="false">IF(AA$5="A",0,Z633+AA631-(AA631*MIN(1,Project_Register!$AY$21/30)+Z631*MIN(1,MAX(0,(Project_Register!$AY$21-30)/30))))</f>
        <v>7663.644140625</v>
      </c>
      <c r="AB632" s="58" t="n">
        <f aca="false">IF(AB$5="A",0,AA633+AB631-(AB631*MIN(1,Project_Register!$AY$21/30)+AA631*MIN(1,MAX(0,(Project_Register!$AY$21-30)/30))))</f>
        <v>27867.796875</v>
      </c>
    </row>
    <row r="633" customFormat="false" ht="15" hidden="false" customHeight="false" outlineLevel="0" collapsed="false">
      <c r="A633" s="27" t="s">
        <v>763</v>
      </c>
      <c r="B633" s="56" t="s">
        <v>764</v>
      </c>
      <c r="C633" s="57" t="n">
        <f aca="false">P633</f>
        <v>0</v>
      </c>
      <c r="D633" s="57" t="n">
        <f aca="false">AB633</f>
        <v>77333.136328125</v>
      </c>
      <c r="E633" s="58" t="n">
        <f aca="false">Project_Register!$AF$21+E631-E632</f>
        <v>0</v>
      </c>
      <c r="F633" s="70" t="n">
        <f aca="false">E633+F631-F632</f>
        <v>0</v>
      </c>
      <c r="G633" s="70" t="n">
        <f aca="false">F633+G631-G632</f>
        <v>0</v>
      </c>
      <c r="H633" s="70" t="n">
        <f aca="false">G633+H631-H632</f>
        <v>0</v>
      </c>
      <c r="I633" s="70" t="n">
        <f aca="false">H633+I631-I632</f>
        <v>0</v>
      </c>
      <c r="J633" s="70" t="n">
        <f aca="false">I633+J631-J632</f>
        <v>0</v>
      </c>
      <c r="K633" s="70" t="n">
        <f aca="false">J633+K631-K632</f>
        <v>0</v>
      </c>
      <c r="L633" s="70" t="n">
        <f aca="false">K633+L631-L632</f>
        <v>0</v>
      </c>
      <c r="M633" s="70" t="n">
        <f aca="false">L633+M631-M632</f>
        <v>0</v>
      </c>
      <c r="N633" s="70" t="n">
        <f aca="false">M633+N631-N632</f>
        <v>0</v>
      </c>
      <c r="O633" s="70" t="n">
        <f aca="false">N633+O631-O632</f>
        <v>0</v>
      </c>
      <c r="P633" s="70" t="n">
        <f aca="false">O633+P631-P632</f>
        <v>0</v>
      </c>
      <c r="Q633" s="70" t="n">
        <f aca="false">P633+Q631-Q632</f>
        <v>0</v>
      </c>
      <c r="R633" s="70" t="n">
        <f aca="false">Q633+R631-R632</f>
        <v>0</v>
      </c>
      <c r="S633" s="70" t="n">
        <f aca="false">R633+S631-S632</f>
        <v>0</v>
      </c>
      <c r="T633" s="70" t="n">
        <f aca="false">S633+T631-T632</f>
        <v>0</v>
      </c>
      <c r="U633" s="70" t="n">
        <f aca="false">T633+U631-U632</f>
        <v>0</v>
      </c>
      <c r="V633" s="70" t="n">
        <f aca="false">U633+V631-V632</f>
        <v>0</v>
      </c>
      <c r="W633" s="70" t="n">
        <f aca="false">V633+W631-W632</f>
        <v>0</v>
      </c>
      <c r="X633" s="70" t="n">
        <f aca="false">W633+X631-X632</f>
        <v>0</v>
      </c>
      <c r="Y633" s="70" t="n">
        <f aca="false">X633+Y631-Y632</f>
        <v>0</v>
      </c>
      <c r="Z633" s="70" t="n">
        <f aca="false">Y633+Z631-Z632</f>
        <v>15327.28828125</v>
      </c>
      <c r="AA633" s="70" t="n">
        <f aca="false">Z633+AA631-AA632</f>
        <v>48071.949609375</v>
      </c>
      <c r="AB633" s="70" t="n">
        <f aca="false">AA633+AB631-AB632</f>
        <v>77333.136328125</v>
      </c>
    </row>
    <row r="634" customFormat="false" ht="15" hidden="false" customHeight="false" outlineLevel="0" collapsed="false">
      <c r="A634" s="27" t="s">
        <v>765</v>
      </c>
      <c r="B634" s="56" t="s">
        <v>766</v>
      </c>
      <c r="C634" s="57" t="n">
        <f aca="false">P634</f>
        <v>0</v>
      </c>
      <c r="D634" s="57" t="n">
        <f aca="false">AB634</f>
        <v>59484.375</v>
      </c>
      <c r="E634" s="70" t="n">
        <f aca="false">E619-E625</f>
        <v>0</v>
      </c>
      <c r="F634" s="70" t="n">
        <f aca="false">F619-F625</f>
        <v>0</v>
      </c>
      <c r="G634" s="70" t="n">
        <f aca="false">G619-G625</f>
        <v>0</v>
      </c>
      <c r="H634" s="70" t="n">
        <f aca="false">H619-H625</f>
        <v>0</v>
      </c>
      <c r="I634" s="70" t="n">
        <f aca="false">I619-I625</f>
        <v>0</v>
      </c>
      <c r="J634" s="70" t="n">
        <f aca="false">J619-J625</f>
        <v>0</v>
      </c>
      <c r="K634" s="70" t="n">
        <f aca="false">K619-K625</f>
        <v>0</v>
      </c>
      <c r="L634" s="70" t="n">
        <f aca="false">L619-L625</f>
        <v>0</v>
      </c>
      <c r="M634" s="70" t="n">
        <f aca="false">M619-M625</f>
        <v>0</v>
      </c>
      <c r="N634" s="70" t="n">
        <f aca="false">N619-N625</f>
        <v>0</v>
      </c>
      <c r="O634" s="70" t="n">
        <f aca="false">O619-O625</f>
        <v>0</v>
      </c>
      <c r="P634" s="70" t="n">
        <f aca="false">P619-P625</f>
        <v>0</v>
      </c>
      <c r="Q634" s="70" t="n">
        <f aca="false">Q619-Q625</f>
        <v>0</v>
      </c>
      <c r="R634" s="70" t="n">
        <f aca="false">R619-R625</f>
        <v>0</v>
      </c>
      <c r="S634" s="70" t="n">
        <f aca="false">S619-S625</f>
        <v>0</v>
      </c>
      <c r="T634" s="70" t="n">
        <f aca="false">T619-T625</f>
        <v>0</v>
      </c>
      <c r="U634" s="70" t="n">
        <f aca="false">U619-U625</f>
        <v>0</v>
      </c>
      <c r="V634" s="70" t="n">
        <f aca="false">V619-V625</f>
        <v>0</v>
      </c>
      <c r="W634" s="70" t="n">
        <f aca="false">W619-W625</f>
        <v>0</v>
      </c>
      <c r="X634" s="70" t="n">
        <f aca="false">X619-X625</f>
        <v>0</v>
      </c>
      <c r="Y634" s="70" t="n">
        <f aca="false">Y619-Y625</f>
        <v>13921.875</v>
      </c>
      <c r="Z634" s="70" t="n">
        <f aca="false">Z619-Z625</f>
        <v>36703.125</v>
      </c>
      <c r="AA634" s="70" t="n">
        <f aca="false">AA619-AA625</f>
        <v>51890.625</v>
      </c>
      <c r="AB634" s="70" t="n">
        <f aca="false">AB619-AB625</f>
        <v>59484.375</v>
      </c>
    </row>
    <row r="635" customFormat="false" ht="15" hidden="false" customHeight="false" outlineLevel="0" collapsed="false">
      <c r="A635" s="27" t="s">
        <v>767</v>
      </c>
      <c r="B635" s="56"/>
      <c r="C635" s="57" t="n">
        <f aca="false">P635</f>
        <v>0</v>
      </c>
      <c r="D635" s="57" t="n">
        <f aca="false">AB635</f>
        <v>59484.375</v>
      </c>
      <c r="E635" s="70" t="n">
        <f aca="false">MAX(0,E634)</f>
        <v>0</v>
      </c>
      <c r="F635" s="70" t="n">
        <f aca="false">MAX(0,F634)</f>
        <v>0</v>
      </c>
      <c r="G635" s="70" t="n">
        <f aca="false">MAX(0,G634)</f>
        <v>0</v>
      </c>
      <c r="H635" s="70" t="n">
        <f aca="false">MAX(0,H634)</f>
        <v>0</v>
      </c>
      <c r="I635" s="70" t="n">
        <f aca="false">MAX(0,I634)</f>
        <v>0</v>
      </c>
      <c r="J635" s="70" t="n">
        <f aca="false">MAX(0,J634)</f>
        <v>0</v>
      </c>
      <c r="K635" s="70" t="n">
        <f aca="false">MAX(0,K634)</f>
        <v>0</v>
      </c>
      <c r="L635" s="70" t="n">
        <f aca="false">MAX(0,L634)</f>
        <v>0</v>
      </c>
      <c r="M635" s="70" t="n">
        <f aca="false">MAX(0,M634)</f>
        <v>0</v>
      </c>
      <c r="N635" s="70" t="n">
        <f aca="false">MAX(0,N634)</f>
        <v>0</v>
      </c>
      <c r="O635" s="70" t="n">
        <f aca="false">MAX(0,O634)</f>
        <v>0</v>
      </c>
      <c r="P635" s="70" t="n">
        <f aca="false">MAX(0,P634)</f>
        <v>0</v>
      </c>
      <c r="Q635" s="70" t="n">
        <f aca="false">MAX(0,Q634)</f>
        <v>0</v>
      </c>
      <c r="R635" s="70" t="n">
        <f aca="false">MAX(0,R634)</f>
        <v>0</v>
      </c>
      <c r="S635" s="70" t="n">
        <f aca="false">MAX(0,S634)</f>
        <v>0</v>
      </c>
      <c r="T635" s="70" t="n">
        <f aca="false">MAX(0,T634)</f>
        <v>0</v>
      </c>
      <c r="U635" s="70" t="n">
        <f aca="false">MAX(0,U634)</f>
        <v>0</v>
      </c>
      <c r="V635" s="70" t="n">
        <f aca="false">MAX(0,V634)</f>
        <v>0</v>
      </c>
      <c r="W635" s="70" t="n">
        <f aca="false">MAX(0,W634)</f>
        <v>0</v>
      </c>
      <c r="X635" s="70" t="n">
        <f aca="false">MAX(0,X634)</f>
        <v>0</v>
      </c>
      <c r="Y635" s="70" t="n">
        <f aca="false">MAX(0,Y634)</f>
        <v>13921.875</v>
      </c>
      <c r="Z635" s="70" t="n">
        <f aca="false">MAX(0,Z634)</f>
        <v>36703.125</v>
      </c>
      <c r="AA635" s="70" t="n">
        <f aca="false">MAX(0,AA634)</f>
        <v>51890.625</v>
      </c>
      <c r="AB635" s="70" t="n">
        <f aca="false">MAX(0,AB634)</f>
        <v>59484.375</v>
      </c>
    </row>
    <row r="636" customFormat="false" ht="15" hidden="false" customHeight="false" outlineLevel="0" collapsed="false">
      <c r="A636" s="27" t="s">
        <v>768</v>
      </c>
      <c r="B636" s="56"/>
      <c r="C636" s="57" t="n">
        <f aca="false">P636</f>
        <v>-0</v>
      </c>
      <c r="D636" s="57" t="n">
        <f aca="false">AB636</f>
        <v>0</v>
      </c>
      <c r="E636" s="70" t="n">
        <f aca="false">MAX(0,-E634)</f>
        <v>-0</v>
      </c>
      <c r="F636" s="70" t="n">
        <f aca="false">MAX(0,-F634)</f>
        <v>-0</v>
      </c>
      <c r="G636" s="70" t="n">
        <f aca="false">MAX(0,-G634)</f>
        <v>-0</v>
      </c>
      <c r="H636" s="70" t="n">
        <f aca="false">MAX(0,-H634)</f>
        <v>-0</v>
      </c>
      <c r="I636" s="70" t="n">
        <f aca="false">MAX(0,-I634)</f>
        <v>-0</v>
      </c>
      <c r="J636" s="70" t="n">
        <f aca="false">MAX(0,-J634)</f>
        <v>-0</v>
      </c>
      <c r="K636" s="70" t="n">
        <f aca="false">MAX(0,-K634)</f>
        <v>-0</v>
      </c>
      <c r="L636" s="70" t="n">
        <f aca="false">MAX(0,-L634)</f>
        <v>-0</v>
      </c>
      <c r="M636" s="70" t="n">
        <f aca="false">MAX(0,-M634)</f>
        <v>-0</v>
      </c>
      <c r="N636" s="70" t="n">
        <f aca="false">MAX(0,-N634)</f>
        <v>-0</v>
      </c>
      <c r="O636" s="70" t="n">
        <f aca="false">MAX(0,-O634)</f>
        <v>-0</v>
      </c>
      <c r="P636" s="70" t="n">
        <f aca="false">MAX(0,-P634)</f>
        <v>-0</v>
      </c>
      <c r="Q636" s="70" t="n">
        <f aca="false">MAX(0,-Q634)</f>
        <v>-0</v>
      </c>
      <c r="R636" s="70" t="n">
        <f aca="false">MAX(0,-R634)</f>
        <v>-0</v>
      </c>
      <c r="S636" s="70" t="n">
        <f aca="false">MAX(0,-S634)</f>
        <v>-0</v>
      </c>
      <c r="T636" s="70" t="n">
        <f aca="false">MAX(0,-T634)</f>
        <v>-0</v>
      </c>
      <c r="U636" s="70" t="n">
        <f aca="false">MAX(0,-U634)</f>
        <v>-0</v>
      </c>
      <c r="V636" s="70" t="n">
        <f aca="false">MAX(0,-V634)</f>
        <v>-0</v>
      </c>
      <c r="W636" s="70" t="n">
        <f aca="false">MAX(0,-W634)</f>
        <v>-0</v>
      </c>
      <c r="X636" s="70" t="n">
        <f aca="false">MAX(0,-X634)</f>
        <v>-0</v>
      </c>
      <c r="Y636" s="70" t="n">
        <f aca="false">MAX(0,-Y634)</f>
        <v>0</v>
      </c>
      <c r="Z636" s="70" t="n">
        <f aca="false">MAX(0,-Z634)</f>
        <v>0</v>
      </c>
      <c r="AA636" s="70" t="n">
        <f aca="false">MAX(0,-AA634)</f>
        <v>0</v>
      </c>
      <c r="AB636" s="70" t="n">
        <f aca="false">MAX(0,-AB634)</f>
        <v>0</v>
      </c>
    </row>
    <row r="637" customFormat="false" ht="15" hidden="false" customHeight="false" outlineLevel="0" collapsed="false">
      <c r="A637" s="27" t="s">
        <v>769</v>
      </c>
      <c r="B637" s="56"/>
      <c r="C637" s="57" t="n">
        <f aca="false">P637</f>
        <v>0</v>
      </c>
      <c r="D637" s="57" t="n">
        <f aca="false">AB637</f>
        <v>70125</v>
      </c>
      <c r="E637" s="58" t="n">
        <f aca="false">Project_Register!$AG$21+E607</f>
        <v>0</v>
      </c>
      <c r="F637" s="70" t="n">
        <f aca="false">E637+F607</f>
        <v>0</v>
      </c>
      <c r="G637" s="70" t="n">
        <f aca="false">F637+G607</f>
        <v>0</v>
      </c>
      <c r="H637" s="70" t="n">
        <f aca="false">G637+H607</f>
        <v>0</v>
      </c>
      <c r="I637" s="70" t="n">
        <f aca="false">H637+I607</f>
        <v>0</v>
      </c>
      <c r="J637" s="70" t="n">
        <f aca="false">I637+J607</f>
        <v>0</v>
      </c>
      <c r="K637" s="70" t="n">
        <f aca="false">J637+K607</f>
        <v>0</v>
      </c>
      <c r="L637" s="70" t="n">
        <f aca="false">K637+L607</f>
        <v>0</v>
      </c>
      <c r="M637" s="70" t="n">
        <f aca="false">L637+M607</f>
        <v>0</v>
      </c>
      <c r="N637" s="70" t="n">
        <f aca="false">M637+N607</f>
        <v>0</v>
      </c>
      <c r="O637" s="70" t="n">
        <f aca="false">N637+O607</f>
        <v>0</v>
      </c>
      <c r="P637" s="70" t="n">
        <f aca="false">O637+P607</f>
        <v>0</v>
      </c>
      <c r="Q637" s="70" t="n">
        <f aca="false">P637+Q607</f>
        <v>0</v>
      </c>
      <c r="R637" s="70" t="n">
        <f aca="false">Q637+R607</f>
        <v>0</v>
      </c>
      <c r="S637" s="70" t="n">
        <f aca="false">R637+S607</f>
        <v>0</v>
      </c>
      <c r="T637" s="70" t="n">
        <f aca="false">S637+T607</f>
        <v>0</v>
      </c>
      <c r="U637" s="70" t="n">
        <f aca="false">T637+U607</f>
        <v>0</v>
      </c>
      <c r="V637" s="70" t="n">
        <f aca="false">U637+V607</f>
        <v>0</v>
      </c>
      <c r="W637" s="70" t="n">
        <f aca="false">V637+W607</f>
        <v>0</v>
      </c>
      <c r="X637" s="70" t="n">
        <f aca="false">W637+X607</f>
        <v>0</v>
      </c>
      <c r="Y637" s="70" t="n">
        <f aca="false">X637+Y607</f>
        <v>6026.3671875</v>
      </c>
      <c r="Z637" s="70" t="n">
        <f aca="false">Y637+Z607</f>
        <v>21914.0625</v>
      </c>
      <c r="AA637" s="70" t="n">
        <f aca="false">Z637+AA607</f>
        <v>44375.9765625</v>
      </c>
      <c r="AB637" s="70" t="n">
        <f aca="false">AA637+AB607</f>
        <v>70125</v>
      </c>
    </row>
    <row r="638" customFormat="false" ht="15" hidden="false" customHeight="false" outlineLevel="0" collapsed="false">
      <c r="A638" s="27" t="s">
        <v>770</v>
      </c>
      <c r="B638" s="56"/>
      <c r="C638" s="57" t="n">
        <f aca="false">P638</f>
        <v>0</v>
      </c>
      <c r="D638" s="57" t="n">
        <f aca="false">AB638</f>
        <v>3506.25</v>
      </c>
      <c r="E638" s="58" t="n">
        <f aca="false">Project_Register!$U$21*E637*(1-Project_Register!$R$21*(Assumptions!E$96&gt;=Project_Register!$AK$21+1)-(1-Project_Register!$R$21)*(Assumptions!E$96&gt;=Project_Register!$AN$21))</f>
        <v>0</v>
      </c>
      <c r="F638" s="58" t="n">
        <f aca="false">Project_Register!$U$21*F637*(1-Project_Register!$R$21*(Assumptions!F$96&gt;=Project_Register!$AK$21+1)-(1-Project_Register!$R$21)*(Assumptions!F$96&gt;=Project_Register!$AN$21))</f>
        <v>0</v>
      </c>
      <c r="G638" s="58" t="n">
        <f aca="false">Project_Register!$U$21*G637*(1-Project_Register!$R$21*(Assumptions!G$96&gt;=Project_Register!$AK$21+1)-(1-Project_Register!$R$21)*(Assumptions!G$96&gt;=Project_Register!$AN$21))</f>
        <v>0</v>
      </c>
      <c r="H638" s="58" t="n">
        <f aca="false">Project_Register!$U$21*H637*(1-Project_Register!$R$21*(Assumptions!H$96&gt;=Project_Register!$AK$21+1)-(1-Project_Register!$R$21)*(Assumptions!H$96&gt;=Project_Register!$AN$21))</f>
        <v>0</v>
      </c>
      <c r="I638" s="58" t="n">
        <f aca="false">Project_Register!$U$21*I637*(1-Project_Register!$R$21*(Assumptions!I$96&gt;=Project_Register!$AK$21+1)-(1-Project_Register!$R$21)*(Assumptions!I$96&gt;=Project_Register!$AN$21))</f>
        <v>0</v>
      </c>
      <c r="J638" s="58" t="n">
        <f aca="false">Project_Register!$U$21*J637*(1-Project_Register!$R$21*(Assumptions!J$96&gt;=Project_Register!$AK$21+1)-(1-Project_Register!$R$21)*(Assumptions!J$96&gt;=Project_Register!$AN$21))</f>
        <v>0</v>
      </c>
      <c r="K638" s="58" t="n">
        <f aca="false">Project_Register!$U$21*K637*(1-Project_Register!$R$21*(Assumptions!K$96&gt;=Project_Register!$AK$21+1)-(1-Project_Register!$R$21)*(Assumptions!K$96&gt;=Project_Register!$AN$21))</f>
        <v>0</v>
      </c>
      <c r="L638" s="58" t="n">
        <f aca="false">Project_Register!$U$21*L637*(1-Project_Register!$R$21*(Assumptions!L$96&gt;=Project_Register!$AK$21+1)-(1-Project_Register!$R$21)*(Assumptions!L$96&gt;=Project_Register!$AN$21))</f>
        <v>0</v>
      </c>
      <c r="M638" s="58" t="n">
        <f aca="false">Project_Register!$U$21*M637*(1-Project_Register!$R$21*(Assumptions!M$96&gt;=Project_Register!$AK$21+1)-(1-Project_Register!$R$21)*(Assumptions!M$96&gt;=Project_Register!$AN$21))</f>
        <v>0</v>
      </c>
      <c r="N638" s="58" t="n">
        <f aca="false">Project_Register!$U$21*N637*(1-Project_Register!$R$21*(Assumptions!N$96&gt;=Project_Register!$AK$21+1)-(1-Project_Register!$R$21)*(Assumptions!N$96&gt;=Project_Register!$AN$21))</f>
        <v>0</v>
      </c>
      <c r="O638" s="58" t="n">
        <f aca="false">Project_Register!$U$21*O637*(1-Project_Register!$R$21*(Assumptions!O$96&gt;=Project_Register!$AK$21+1)-(1-Project_Register!$R$21)*(Assumptions!O$96&gt;=Project_Register!$AN$21))</f>
        <v>0</v>
      </c>
      <c r="P638" s="58" t="n">
        <f aca="false">Project_Register!$U$21*P637*(1-Project_Register!$R$21*(Assumptions!P$96&gt;=Project_Register!$AK$21+1)-(1-Project_Register!$R$21)*(Assumptions!P$96&gt;=Project_Register!$AN$21))</f>
        <v>0</v>
      </c>
      <c r="Q638" s="58" t="n">
        <f aca="false">Project_Register!$U$21*Q637*(1-Project_Register!$R$21*(Assumptions!Q$96&gt;=Project_Register!$AK$21+1)-(1-Project_Register!$R$21)*(Assumptions!Q$96&gt;=Project_Register!$AN$21))</f>
        <v>0</v>
      </c>
      <c r="R638" s="58" t="n">
        <f aca="false">Project_Register!$U$21*R637*(1-Project_Register!$R$21*(Assumptions!R$96&gt;=Project_Register!$AK$21+1)-(1-Project_Register!$R$21)*(Assumptions!R$96&gt;=Project_Register!$AN$21))</f>
        <v>0</v>
      </c>
      <c r="S638" s="58" t="n">
        <f aca="false">Project_Register!$U$21*S637*(1-Project_Register!$R$21*(Assumptions!S$96&gt;=Project_Register!$AK$21+1)-(1-Project_Register!$R$21)*(Assumptions!S$96&gt;=Project_Register!$AN$21))</f>
        <v>0</v>
      </c>
      <c r="T638" s="58" t="n">
        <f aca="false">Project_Register!$U$21*T637*(1-Project_Register!$R$21*(Assumptions!T$96&gt;=Project_Register!$AK$21+1)-(1-Project_Register!$R$21)*(Assumptions!T$96&gt;=Project_Register!$AN$21))</f>
        <v>0</v>
      </c>
      <c r="U638" s="58" t="n">
        <f aca="false">Project_Register!$U$21*U637*(1-Project_Register!$R$21*(Assumptions!U$96&gt;=Project_Register!$AK$21+1)-(1-Project_Register!$R$21)*(Assumptions!U$96&gt;=Project_Register!$AN$21))</f>
        <v>0</v>
      </c>
      <c r="V638" s="58" t="n">
        <f aca="false">Project_Register!$U$21*V637*(1-Project_Register!$R$21*(Assumptions!V$96&gt;=Project_Register!$AK$21+1)-(1-Project_Register!$R$21)*(Assumptions!V$96&gt;=Project_Register!$AN$21))</f>
        <v>0</v>
      </c>
      <c r="W638" s="58" t="n">
        <f aca="false">Project_Register!$U$21*W637*(1-Project_Register!$R$21*(Assumptions!W$96&gt;=Project_Register!$AK$21+1)-(1-Project_Register!$R$21)*(Assumptions!W$96&gt;=Project_Register!$AN$21))</f>
        <v>0</v>
      </c>
      <c r="X638" s="58" t="n">
        <f aca="false">Project_Register!$U$21*X637*(1-Project_Register!$R$21*(Assumptions!X$96&gt;=Project_Register!$AK$21+1)-(1-Project_Register!$R$21)*(Assumptions!X$96&gt;=Project_Register!$AN$21))</f>
        <v>0</v>
      </c>
      <c r="Y638" s="58" t="n">
        <f aca="false">Project_Register!$U$21*Y637*(1-Project_Register!$R$21*(Assumptions!Y$96&gt;=Project_Register!$AK$21+1)-(1-Project_Register!$R$21)*(Assumptions!Y$96&gt;=Project_Register!$AN$21))</f>
        <v>301.318359375</v>
      </c>
      <c r="Z638" s="58" t="n">
        <f aca="false">Project_Register!$U$21*Z637*(1-Project_Register!$R$21*(Assumptions!Z$96&gt;=Project_Register!$AK$21+1)-(1-Project_Register!$R$21)*(Assumptions!Z$96&gt;=Project_Register!$AN$21))</f>
        <v>1095.703125</v>
      </c>
      <c r="AA638" s="58" t="n">
        <f aca="false">Project_Register!$U$21*AA637*(1-Project_Register!$R$21*(Assumptions!AA$96&gt;=Project_Register!$AK$21+1)-(1-Project_Register!$R$21)*(Assumptions!AA$96&gt;=Project_Register!$AN$21))</f>
        <v>2218.798828125</v>
      </c>
      <c r="AB638" s="58" t="n">
        <f aca="false">Project_Register!$U$21*AB637*(1-Project_Register!$R$21*(Assumptions!AB$96&gt;=Project_Register!$AK$21+1)-(1-Project_Register!$R$21)*(Assumptions!AB$96&gt;=Project_Register!$AN$21))</f>
        <v>3506.25</v>
      </c>
    </row>
    <row r="639" customFormat="false" ht="15" hidden="false" customHeight="false" outlineLevel="0" collapsed="false">
      <c r="A639" s="27" t="s">
        <v>771</v>
      </c>
      <c r="B639" s="56"/>
      <c r="C639" s="57" t="n">
        <f aca="false">SUM(E639:P639)</f>
        <v>0</v>
      </c>
      <c r="D639" s="57" t="n">
        <f aca="false">SUM(Q639:AB639)</f>
        <v>3506.25</v>
      </c>
      <c r="E639" s="58" t="n">
        <f aca="false">E638-Project_Register!$AX$21</f>
        <v>0</v>
      </c>
      <c r="F639" s="70" t="n">
        <f aca="false">F638-E638</f>
        <v>0</v>
      </c>
      <c r="G639" s="70" t="n">
        <f aca="false">G638-F638</f>
        <v>0</v>
      </c>
      <c r="H639" s="70" t="n">
        <f aca="false">H638-G638</f>
        <v>0</v>
      </c>
      <c r="I639" s="70" t="n">
        <f aca="false">I638-H638</f>
        <v>0</v>
      </c>
      <c r="J639" s="70" t="n">
        <f aca="false">J638-I638</f>
        <v>0</v>
      </c>
      <c r="K639" s="70" t="n">
        <f aca="false">K638-J638</f>
        <v>0</v>
      </c>
      <c r="L639" s="70" t="n">
        <f aca="false">L638-K638</f>
        <v>0</v>
      </c>
      <c r="M639" s="70" t="n">
        <f aca="false">M638-L638</f>
        <v>0</v>
      </c>
      <c r="N639" s="70" t="n">
        <f aca="false">N638-M638</f>
        <v>0</v>
      </c>
      <c r="O639" s="70" t="n">
        <f aca="false">O638-N638</f>
        <v>0</v>
      </c>
      <c r="P639" s="70" t="n">
        <f aca="false">P638-O638</f>
        <v>0</v>
      </c>
      <c r="Q639" s="70" t="n">
        <f aca="false">Q638-P638</f>
        <v>0</v>
      </c>
      <c r="R639" s="70" t="n">
        <f aca="false">R638-Q638</f>
        <v>0</v>
      </c>
      <c r="S639" s="70" t="n">
        <f aca="false">S638-R638</f>
        <v>0</v>
      </c>
      <c r="T639" s="70" t="n">
        <f aca="false">T638-S638</f>
        <v>0</v>
      </c>
      <c r="U639" s="70" t="n">
        <f aca="false">U638-T638</f>
        <v>0</v>
      </c>
      <c r="V639" s="70" t="n">
        <f aca="false">V638-U638</f>
        <v>0</v>
      </c>
      <c r="W639" s="70" t="n">
        <f aca="false">W638-V638</f>
        <v>0</v>
      </c>
      <c r="X639" s="70" t="n">
        <f aca="false">X638-W638</f>
        <v>0</v>
      </c>
      <c r="Y639" s="70" t="n">
        <f aca="false">Y638-X638</f>
        <v>301.318359375</v>
      </c>
      <c r="Z639" s="70" t="n">
        <f aca="false">Z638-Y638</f>
        <v>794.384765625</v>
      </c>
      <c r="AA639" s="70" t="n">
        <f aca="false">AA638-Z638</f>
        <v>1123.095703125</v>
      </c>
      <c r="AB639" s="70" t="n">
        <f aca="false">AB638-AA638</f>
        <v>1287.451171875</v>
      </c>
    </row>
    <row r="640" customFormat="false" ht="15" hidden="false" customHeight="false" outlineLevel="0" collapsed="false">
      <c r="A640" s="27" t="s">
        <v>772</v>
      </c>
      <c r="B640" s="56" t="s">
        <v>773</v>
      </c>
      <c r="C640" s="57" t="n">
        <f aca="false">P640</f>
        <v>0</v>
      </c>
      <c r="D640" s="57" t="n">
        <f aca="false">AB640</f>
        <v>32400</v>
      </c>
      <c r="E640" s="58" t="n">
        <f aca="false">Project_Register!$V$21*Project_Register!$AO$21*(Assumptions!E$96&gt;=Project_Register!$AL$21)*(Assumptions!E$96&lt;=Project_Register!$AK$21)</f>
        <v>0</v>
      </c>
      <c r="F640" s="58" t="n">
        <f aca="false">Project_Register!$V$21*Project_Register!$AO$21*(Assumptions!F$96&gt;=Project_Register!$AL$21)*(Assumptions!F$96&lt;=Project_Register!$AK$21)</f>
        <v>0</v>
      </c>
      <c r="G640" s="58" t="n">
        <f aca="false">Project_Register!$V$21*Project_Register!$AO$21*(Assumptions!G$96&gt;=Project_Register!$AL$21)*(Assumptions!G$96&lt;=Project_Register!$AK$21)</f>
        <v>0</v>
      </c>
      <c r="H640" s="58" t="n">
        <f aca="false">Project_Register!$V$21*Project_Register!$AO$21*(Assumptions!H$96&gt;=Project_Register!$AL$21)*(Assumptions!H$96&lt;=Project_Register!$AK$21)</f>
        <v>0</v>
      </c>
      <c r="I640" s="58" t="n">
        <f aca="false">Project_Register!$V$21*Project_Register!$AO$21*(Assumptions!I$96&gt;=Project_Register!$AL$21)*(Assumptions!I$96&lt;=Project_Register!$AK$21)</f>
        <v>0</v>
      </c>
      <c r="J640" s="58" t="n">
        <f aca="false">Project_Register!$V$21*Project_Register!$AO$21*(Assumptions!J$96&gt;=Project_Register!$AL$21)*(Assumptions!J$96&lt;=Project_Register!$AK$21)</f>
        <v>0</v>
      </c>
      <c r="K640" s="58" t="n">
        <f aca="false">Project_Register!$V$21*Project_Register!$AO$21*(Assumptions!K$96&gt;=Project_Register!$AL$21)*(Assumptions!K$96&lt;=Project_Register!$AK$21)</f>
        <v>0</v>
      </c>
      <c r="L640" s="58" t="n">
        <f aca="false">Project_Register!$V$21*Project_Register!$AO$21*(Assumptions!L$96&gt;=Project_Register!$AL$21)*(Assumptions!L$96&lt;=Project_Register!$AK$21)</f>
        <v>0</v>
      </c>
      <c r="M640" s="58" t="n">
        <f aca="false">Project_Register!$V$21*Project_Register!$AO$21*(Assumptions!M$96&gt;=Project_Register!$AL$21)*(Assumptions!M$96&lt;=Project_Register!$AK$21)</f>
        <v>0</v>
      </c>
      <c r="N640" s="58" t="n">
        <f aca="false">Project_Register!$V$21*Project_Register!$AO$21*(Assumptions!N$96&gt;=Project_Register!$AL$21)*(Assumptions!N$96&lt;=Project_Register!$AK$21)</f>
        <v>0</v>
      </c>
      <c r="O640" s="58" t="n">
        <f aca="false">Project_Register!$V$21*Project_Register!$AO$21*(Assumptions!O$96&gt;=Project_Register!$AL$21)*(Assumptions!O$96&lt;=Project_Register!$AK$21)</f>
        <v>0</v>
      </c>
      <c r="P640" s="58" t="n">
        <f aca="false">Project_Register!$V$21*Project_Register!$AO$21*(Assumptions!P$96&gt;=Project_Register!$AL$21)*(Assumptions!P$96&lt;=Project_Register!$AK$21)</f>
        <v>0</v>
      </c>
      <c r="Q640" s="58" t="n">
        <f aca="false">Project_Register!$V$21*Project_Register!$AO$21*(Assumptions!Q$96&gt;=Project_Register!$AL$21)*(Assumptions!Q$96&lt;=Project_Register!$AK$21)</f>
        <v>0</v>
      </c>
      <c r="R640" s="58" t="n">
        <f aca="false">Project_Register!$V$21*Project_Register!$AO$21*(Assumptions!R$96&gt;=Project_Register!$AL$21)*(Assumptions!R$96&lt;=Project_Register!$AK$21)</f>
        <v>0</v>
      </c>
      <c r="S640" s="58" t="n">
        <f aca="false">Project_Register!$V$21*Project_Register!$AO$21*(Assumptions!S$96&gt;=Project_Register!$AL$21)*(Assumptions!S$96&lt;=Project_Register!$AK$21)</f>
        <v>0</v>
      </c>
      <c r="T640" s="58" t="n">
        <f aca="false">Project_Register!$V$21*Project_Register!$AO$21*(Assumptions!T$96&gt;=Project_Register!$AL$21)*(Assumptions!T$96&lt;=Project_Register!$AK$21)</f>
        <v>0</v>
      </c>
      <c r="U640" s="58" t="n">
        <f aca="false">Project_Register!$V$21*Project_Register!$AO$21*(Assumptions!U$96&gt;=Project_Register!$AL$21)*(Assumptions!U$96&lt;=Project_Register!$AK$21)</f>
        <v>0</v>
      </c>
      <c r="V640" s="58" t="n">
        <f aca="false">Project_Register!$V$21*Project_Register!$AO$21*(Assumptions!V$96&gt;=Project_Register!$AL$21)*(Assumptions!V$96&lt;=Project_Register!$AK$21)</f>
        <v>0</v>
      </c>
      <c r="W640" s="58" t="n">
        <f aca="false">Project_Register!$V$21*Project_Register!$AO$21*(Assumptions!W$96&gt;=Project_Register!$AL$21)*(Assumptions!W$96&lt;=Project_Register!$AK$21)</f>
        <v>0</v>
      </c>
      <c r="X640" s="58" t="n">
        <f aca="false">Project_Register!$V$21*Project_Register!$AO$21*(Assumptions!X$96&gt;=Project_Register!$AL$21)*(Assumptions!X$96&lt;=Project_Register!$AK$21)</f>
        <v>32400</v>
      </c>
      <c r="Y640" s="58" t="n">
        <f aca="false">Project_Register!$V$21*Project_Register!$AO$21*(Assumptions!Y$96&gt;=Project_Register!$AL$21)*(Assumptions!Y$96&lt;=Project_Register!$AK$21)</f>
        <v>32400</v>
      </c>
      <c r="Z640" s="58" t="n">
        <f aca="false">Project_Register!$V$21*Project_Register!$AO$21*(Assumptions!Z$96&gt;=Project_Register!$AL$21)*(Assumptions!Z$96&lt;=Project_Register!$AK$21)</f>
        <v>32400</v>
      </c>
      <c r="AA640" s="58" t="n">
        <f aca="false">Project_Register!$V$21*Project_Register!$AO$21*(Assumptions!AA$96&gt;=Project_Register!$AL$21)*(Assumptions!AA$96&lt;=Project_Register!$AK$21)</f>
        <v>32400</v>
      </c>
      <c r="AB640" s="58" t="n">
        <f aca="false">Project_Register!$V$21*Project_Register!$AO$21*(Assumptions!AB$96&gt;=Project_Register!$AL$21)*(Assumptions!AB$96&lt;=Project_Register!$AK$21)</f>
        <v>32400</v>
      </c>
    </row>
    <row r="641" customFormat="false" ht="15" hidden="false" customHeight="false" outlineLevel="0" collapsed="false">
      <c r="A641" s="27" t="s">
        <v>774</v>
      </c>
      <c r="B641" s="56"/>
      <c r="C641" s="57" t="n">
        <f aca="false">P641</f>
        <v>324000</v>
      </c>
      <c r="D641" s="57" t="n">
        <f aca="false">AB641</f>
        <v>162000</v>
      </c>
      <c r="E641" s="58" t="n">
        <f aca="false">IF(OR(Project_Register!$E$21="Pipeline",Assumptions!E$96&gt;=Project_Register!$AL$21),MAX(0,E618-E619),0)</f>
        <v>324000</v>
      </c>
      <c r="F641" s="58" t="n">
        <f aca="false">IF(OR(Project_Register!$E$21="Pipeline",Assumptions!F$96&gt;=Project_Register!$AL$21),MAX(0,F618-F619),0)</f>
        <v>324000</v>
      </c>
      <c r="G641" s="58" t="n">
        <f aca="false">IF(OR(Project_Register!$E$21="Pipeline",Assumptions!G$96&gt;=Project_Register!$AL$21),MAX(0,G618-G619),0)</f>
        <v>324000</v>
      </c>
      <c r="H641" s="58" t="n">
        <f aca="false">IF(OR(Project_Register!$E$21="Pipeline",Assumptions!H$96&gt;=Project_Register!$AL$21),MAX(0,H618-H619),0)</f>
        <v>324000</v>
      </c>
      <c r="I641" s="58" t="n">
        <f aca="false">IF(OR(Project_Register!$E$21="Pipeline",Assumptions!I$96&gt;=Project_Register!$AL$21),MAX(0,I618-I619),0)</f>
        <v>324000</v>
      </c>
      <c r="J641" s="58" t="n">
        <f aca="false">IF(OR(Project_Register!$E$21="Pipeline",Assumptions!J$96&gt;=Project_Register!$AL$21),MAX(0,J618-J619),0)</f>
        <v>324000</v>
      </c>
      <c r="K641" s="58" t="n">
        <f aca="false">IF(OR(Project_Register!$E$21="Pipeline",Assumptions!K$96&gt;=Project_Register!$AL$21),MAX(0,K618-K619),0)</f>
        <v>324000</v>
      </c>
      <c r="L641" s="58" t="n">
        <f aca="false">IF(OR(Project_Register!$E$21="Pipeline",Assumptions!L$96&gt;=Project_Register!$AL$21),MAX(0,L618-L619),0)</f>
        <v>324000</v>
      </c>
      <c r="M641" s="58" t="n">
        <f aca="false">IF(OR(Project_Register!$E$21="Pipeline",Assumptions!M$96&gt;=Project_Register!$AL$21),MAX(0,M618-M619),0)</f>
        <v>324000</v>
      </c>
      <c r="N641" s="58" t="n">
        <f aca="false">IF(OR(Project_Register!$E$21="Pipeline",Assumptions!N$96&gt;=Project_Register!$AL$21),MAX(0,N618-N619),0)</f>
        <v>324000</v>
      </c>
      <c r="O641" s="58" t="n">
        <f aca="false">IF(OR(Project_Register!$E$21="Pipeline",Assumptions!O$96&gt;=Project_Register!$AL$21),MAX(0,O618-O619),0)</f>
        <v>324000</v>
      </c>
      <c r="P641" s="58" t="n">
        <f aca="false">IF(OR(Project_Register!$E$21="Pipeline",Assumptions!P$96&gt;=Project_Register!$AL$21),MAX(0,P618-P619),0)</f>
        <v>324000</v>
      </c>
      <c r="Q641" s="58" t="n">
        <f aca="false">IF(OR(Project_Register!$E$21="Pipeline",Assumptions!Q$96&gt;=Project_Register!$AL$21),MAX(0,Q618-Q619),0)</f>
        <v>324000</v>
      </c>
      <c r="R641" s="58" t="n">
        <f aca="false">IF(OR(Project_Register!$E$21="Pipeline",Assumptions!R$96&gt;=Project_Register!$AL$21),MAX(0,R618-R619),0)</f>
        <v>324000</v>
      </c>
      <c r="S641" s="58" t="n">
        <f aca="false">IF(OR(Project_Register!$E$21="Pipeline",Assumptions!S$96&gt;=Project_Register!$AL$21),MAX(0,S618-S619),0)</f>
        <v>324000</v>
      </c>
      <c r="T641" s="58" t="n">
        <f aca="false">IF(OR(Project_Register!$E$21="Pipeline",Assumptions!T$96&gt;=Project_Register!$AL$21),MAX(0,T618-T619),0)</f>
        <v>324000</v>
      </c>
      <c r="U641" s="58" t="n">
        <f aca="false">IF(OR(Project_Register!$E$21="Pipeline",Assumptions!U$96&gt;=Project_Register!$AL$21),MAX(0,U618-U619),0)</f>
        <v>324000</v>
      </c>
      <c r="V641" s="58" t="n">
        <f aca="false">IF(OR(Project_Register!$E$21="Pipeline",Assumptions!V$96&gt;=Project_Register!$AL$21),MAX(0,V618-V619),0)</f>
        <v>324000</v>
      </c>
      <c r="W641" s="58" t="n">
        <f aca="false">IF(OR(Project_Register!$E$21="Pipeline",Assumptions!W$96&gt;=Project_Register!$AL$21),MAX(0,W618-W619),0)</f>
        <v>324000</v>
      </c>
      <c r="X641" s="58" t="n">
        <f aca="false">IF(OR(Project_Register!$E$21="Pipeline",Assumptions!X$96&gt;=Project_Register!$AL$21),MAX(0,X618-X619),0)</f>
        <v>324000</v>
      </c>
      <c r="Y641" s="58" t="n">
        <f aca="false">IF(OR(Project_Register!$E$21="Pipeline",Assumptions!Y$96&gt;=Project_Register!$AL$21),MAX(0,Y618-Y619),0)</f>
        <v>310078.125</v>
      </c>
      <c r="Z641" s="58" t="n">
        <f aca="false">IF(OR(Project_Register!$E$21="Pipeline",Assumptions!Z$96&gt;=Project_Register!$AL$21),MAX(0,Z618-Z619),0)</f>
        <v>273375</v>
      </c>
      <c r="AA641" s="58" t="n">
        <f aca="false">IF(OR(Project_Register!$E$21="Pipeline",Assumptions!AA$96&gt;=Project_Register!$AL$21),MAX(0,AA618-AA619),0)</f>
        <v>221484.375</v>
      </c>
      <c r="AB641" s="58" t="n">
        <f aca="false">IF(OR(Project_Register!$E$21="Pipeline",Assumptions!AB$96&gt;=Project_Register!$AL$21),MAX(0,AB618-AB619),0)</f>
        <v>162000</v>
      </c>
    </row>
    <row r="642" customFormat="false" ht="15" hidden="false" customHeight="false" outlineLevel="0" collapsed="false">
      <c r="A642" s="27" t="s">
        <v>775</v>
      </c>
      <c r="B642" s="56"/>
      <c r="C642" s="57" t="n">
        <f aca="false">SUM(E642:P642)</f>
        <v>0</v>
      </c>
      <c r="D642" s="57" t="n">
        <f aca="false">SUM(Q642:AB642)</f>
        <v>324000</v>
      </c>
      <c r="E642" s="58" t="n">
        <f aca="false">IF(Assumptions!E$96=Project_Register!$AL$21,Project_Register!$AO$21,0)</f>
        <v>0</v>
      </c>
      <c r="F642" s="58" t="n">
        <f aca="false">IF(Assumptions!F$96=Project_Register!$AL$21,Project_Register!$AO$21,0)</f>
        <v>0</v>
      </c>
      <c r="G642" s="58" t="n">
        <f aca="false">IF(Assumptions!G$96=Project_Register!$AL$21,Project_Register!$AO$21,0)</f>
        <v>0</v>
      </c>
      <c r="H642" s="58" t="n">
        <f aca="false">IF(Assumptions!H$96=Project_Register!$AL$21,Project_Register!$AO$21,0)</f>
        <v>0</v>
      </c>
      <c r="I642" s="58" t="n">
        <f aca="false">IF(Assumptions!I$96=Project_Register!$AL$21,Project_Register!$AO$21,0)</f>
        <v>0</v>
      </c>
      <c r="J642" s="58" t="n">
        <f aca="false">IF(Assumptions!J$96=Project_Register!$AL$21,Project_Register!$AO$21,0)</f>
        <v>0</v>
      </c>
      <c r="K642" s="58" t="n">
        <f aca="false">IF(Assumptions!K$96=Project_Register!$AL$21,Project_Register!$AO$21,0)</f>
        <v>0</v>
      </c>
      <c r="L642" s="58" t="n">
        <f aca="false">IF(Assumptions!L$96=Project_Register!$AL$21,Project_Register!$AO$21,0)</f>
        <v>0</v>
      </c>
      <c r="M642" s="58" t="n">
        <f aca="false">IF(Assumptions!M$96=Project_Register!$AL$21,Project_Register!$AO$21,0)</f>
        <v>0</v>
      </c>
      <c r="N642" s="58" t="n">
        <f aca="false">IF(Assumptions!N$96=Project_Register!$AL$21,Project_Register!$AO$21,0)</f>
        <v>0</v>
      </c>
      <c r="O642" s="58" t="n">
        <f aca="false">IF(Assumptions!O$96=Project_Register!$AL$21,Project_Register!$AO$21,0)</f>
        <v>0</v>
      </c>
      <c r="P642" s="58" t="n">
        <f aca="false">IF(Assumptions!P$96=Project_Register!$AL$21,Project_Register!$AO$21,0)</f>
        <v>0</v>
      </c>
      <c r="Q642" s="58" t="n">
        <f aca="false">IF(Assumptions!Q$96=Project_Register!$AL$21,Project_Register!$AO$21,0)</f>
        <v>0</v>
      </c>
      <c r="R642" s="58" t="n">
        <f aca="false">IF(Assumptions!R$96=Project_Register!$AL$21,Project_Register!$AO$21,0)</f>
        <v>0</v>
      </c>
      <c r="S642" s="58" t="n">
        <f aca="false">IF(Assumptions!S$96=Project_Register!$AL$21,Project_Register!$AO$21,0)</f>
        <v>0</v>
      </c>
      <c r="T642" s="58" t="n">
        <f aca="false">IF(Assumptions!T$96=Project_Register!$AL$21,Project_Register!$AO$21,0)</f>
        <v>0</v>
      </c>
      <c r="U642" s="58" t="n">
        <f aca="false">IF(Assumptions!U$96=Project_Register!$AL$21,Project_Register!$AO$21,0)</f>
        <v>0</v>
      </c>
      <c r="V642" s="58" t="n">
        <f aca="false">IF(Assumptions!V$96=Project_Register!$AL$21,Project_Register!$AO$21,0)</f>
        <v>0</v>
      </c>
      <c r="W642" s="58" t="n">
        <f aca="false">IF(Assumptions!W$96=Project_Register!$AL$21,Project_Register!$AO$21,0)</f>
        <v>0</v>
      </c>
      <c r="X642" s="58" t="n">
        <f aca="false">IF(Assumptions!X$96=Project_Register!$AL$21,Project_Register!$AO$21,0)</f>
        <v>324000</v>
      </c>
      <c r="Y642" s="58" t="n">
        <f aca="false">IF(Assumptions!Y$96=Project_Register!$AL$21,Project_Register!$AO$21,0)</f>
        <v>0</v>
      </c>
      <c r="Z642" s="58" t="n">
        <f aca="false">IF(Assumptions!Z$96=Project_Register!$AL$21,Project_Register!$AO$21,0)</f>
        <v>0</v>
      </c>
      <c r="AA642" s="58" t="n">
        <f aca="false">IF(Assumptions!AA$96=Project_Register!$AL$21,Project_Register!$AO$21,0)</f>
        <v>0</v>
      </c>
      <c r="AB642" s="58" t="n">
        <f aca="false">IF(Assumptions!AB$96=Project_Register!$AL$21,Project_Register!$AO$21,0)</f>
        <v>0</v>
      </c>
    </row>
    <row r="644" customFormat="false" ht="15" hidden="false" customHeight="false" outlineLevel="0" collapsed="false">
      <c r="A644" s="21" t="s">
        <v>792</v>
      </c>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row>
    <row r="645" customFormat="false" ht="15" hidden="false" customHeight="false" outlineLevel="0" collapsed="false">
      <c r="A645" s="67" t="s">
        <v>301</v>
      </c>
      <c r="B645" s="68" t="s">
        <v>793</v>
      </c>
      <c r="C645" s="69" t="n">
        <f aca="false">SUM(E645:P645)</f>
        <v>3290084.05362622</v>
      </c>
      <c r="D645" s="69" t="n">
        <f aca="false">SUM(Q645:AB645)</f>
        <v>2461146.10649039</v>
      </c>
      <c r="E645" s="69" t="n">
        <f aca="false">E26+E112+E155+E198+E284+E368+E410+E452+E536+E578+E620</f>
        <v>158017.94</v>
      </c>
      <c r="F645" s="69" t="n">
        <f aca="false">F26+F112+F155+F198+F284+F368+F410+F452+F536+F578+F620</f>
        <v>139314.06</v>
      </c>
      <c r="G645" s="69" t="n">
        <f aca="false">G26+G112+G155+G198+G284+G368+G410+G452+G536+G578+G620</f>
        <v>114056.91</v>
      </c>
      <c r="H645" s="69" t="n">
        <f aca="false">H26+H112+H155+H198+H284+H368+H410+H452+H536+H578+H620</f>
        <v>103444.17</v>
      </c>
      <c r="I645" s="69" t="n">
        <f aca="false">I26+I112+I155+I198+I284+I368+I410+I452+I536+I578+I620</f>
        <v>136039.43</v>
      </c>
      <c r="J645" s="69" t="n">
        <f aca="false">J26+J112+J155+J198+J284+J368+J410+J452+J536+J578+J620</f>
        <v>218730.2</v>
      </c>
      <c r="K645" s="69" t="n">
        <f aca="false">K26+K112+K155+K198+K284+K368+K410+K452+K536+K578+K620</f>
        <v>343193.12</v>
      </c>
      <c r="L645" s="69" t="n">
        <f aca="false">L26+L112+L155+L198+L284+L368+L410+L452+L536+L578+L620</f>
        <v>346480.13</v>
      </c>
      <c r="M645" s="69" t="n">
        <f aca="false">M26+M112+M155+M198+M284+M368+M410+M452+M536+M578+M620</f>
        <v>441839.797208746</v>
      </c>
      <c r="N645" s="69" t="n">
        <f aca="false">N26+N112+N155+N198+N284+N368+N410+N452+N536+N578+N620</f>
        <v>466575.446674441</v>
      </c>
      <c r="O645" s="69" t="n">
        <f aca="false">O26+O112+O155+O198+O284+O368+O410+O452+O536+O578+O620</f>
        <v>428352.987906085</v>
      </c>
      <c r="P645" s="69" t="n">
        <f aca="false">P26+P112+P155+P198+P284+P368+P410+P452+P536+P578+P620</f>
        <v>394039.861836953</v>
      </c>
      <c r="Q645" s="69" t="n">
        <f aca="false">Q26+Q112+Q155+Q198+Q284+Q368+Q410+Q452+Q536+Q578+Q620</f>
        <v>378959.360889759</v>
      </c>
      <c r="R645" s="69" t="n">
        <f aca="false">R26+R112+R155+R198+R284+R368+R410+R452+R536+R578+R620</f>
        <v>314292.383701609</v>
      </c>
      <c r="S645" s="69" t="n">
        <f aca="false">S26+S112+S155+S198+S284+S368+S410+S452+S536+S578+S620</f>
        <v>181694.516782407</v>
      </c>
      <c r="T645" s="69" t="n">
        <f aca="false">T26+T112+T155+T198+T284+T368+T410+T452+T536+T578+T620</f>
        <v>132590.060763889</v>
      </c>
      <c r="U645" s="69" t="n">
        <f aca="false">U26+U112+U155+U198+U284+U368+U410+U452+U536+U578+U620</f>
        <v>191099.175347222</v>
      </c>
      <c r="V645" s="69" t="n">
        <f aca="false">V26+V112+V155+V198+V284+V368+V410+V452+V536+V578+V620</f>
        <v>231485.842013889</v>
      </c>
      <c r="W645" s="69" t="n">
        <f aca="false">W26+W112+W155+W198+W284+W368+W410+W452+W536+W578+W620</f>
        <v>242230.060763889</v>
      </c>
      <c r="X645" s="69" t="n">
        <f aca="false">X26+X112+X155+X198+X284+X368+X410+X452+X536+X578+X620</f>
        <v>220122.968623461</v>
      </c>
      <c r="Y645" s="69" t="n">
        <f aca="false">Y26+Y112+Y155+Y198+Y284+Y368+Y410+Y452+Y536+Y578+Y620</f>
        <v>170130.172371032</v>
      </c>
      <c r="Z645" s="69" t="n">
        <f aca="false">Z26+Z112+Z155+Z198+Z284+Z368+Z410+Z452+Z536+Z578+Z620</f>
        <v>130431.871355685</v>
      </c>
      <c r="AA645" s="69" t="n">
        <f aca="false">AA26+AA112+AA155+AA198+AA284+AA368+AA410+AA452+AA536+AA578+AA620</f>
        <v>133616.572521866</v>
      </c>
      <c r="AB645" s="69" t="n">
        <f aca="false">AB26+AB112+AB155+AB198+AB284+AB368+AB410+AB452+AB536+AB578+AB620</f>
        <v>134493.121355685</v>
      </c>
    </row>
    <row r="646" customFormat="false" ht="15" hidden="false" customHeight="false" outlineLevel="0" collapsed="false">
      <c r="A646" s="27" t="s">
        <v>794</v>
      </c>
      <c r="B646" s="56" t="s">
        <v>793</v>
      </c>
      <c r="C646" s="57" t="n">
        <f aca="false">SUM(E646:P646)</f>
        <v>2846148.51042593</v>
      </c>
      <c r="D646" s="57" t="n">
        <f aca="false">SUM(Q646:AB646)</f>
        <v>2120386.22759157</v>
      </c>
      <c r="E646" s="70" t="n">
        <f aca="false">E17+E103+E146+E189+E275+E359+E401+E443+E527+E569+E611</f>
        <v>126726.14</v>
      </c>
      <c r="F646" s="70" t="n">
        <f aca="false">F17+F103+F146+F189+F275+F359+F401+F443+F527+F569+F611</f>
        <v>105238.29</v>
      </c>
      <c r="G646" s="70" t="n">
        <f aca="false">G17+G103+G146+G189+G275+G359+G401+G443+G527+G569+G611</f>
        <v>84756.08</v>
      </c>
      <c r="H646" s="70" t="n">
        <f aca="false">H17+H103+H146+H189+H275+H359+H401+H443+H527+H569+H611</f>
        <v>88882.17</v>
      </c>
      <c r="I646" s="70" t="n">
        <f aca="false">I17+I103+I146+I189+I275+I359+I401+I443+I527+I569+I611</f>
        <v>143323.67</v>
      </c>
      <c r="J646" s="70" t="n">
        <f aca="false">J17+J103+J146+J189+J275+J359+J401+J443+J527+J569+J611</f>
        <v>211431.66</v>
      </c>
      <c r="K646" s="70" t="n">
        <f aca="false">K17+K103+K146+K189+K275+K359+K401+K443+K527+K569+K611</f>
        <v>298743.67</v>
      </c>
      <c r="L646" s="70" t="n">
        <f aca="false">L17+L103+L146+L189+L275+L359+L401+L443+L527+L569+L611</f>
        <v>313658.41</v>
      </c>
      <c r="M646" s="70" t="n">
        <f aca="false">M17+M103+M146+M189+M275+M359+M401+M443+M527+M569+M611</f>
        <v>387432.686028439</v>
      </c>
      <c r="N646" s="70" t="n">
        <f aca="false">N17+N103+N146+N189+N275+N359+N401+N443+N527+N569+N611</f>
        <v>397071.63893717</v>
      </c>
      <c r="O646" s="70" t="n">
        <f aca="false">O17+O103+O146+O189+O275+O359+O401+O443+O527+O569+O611</f>
        <v>359754.948885582</v>
      </c>
      <c r="P646" s="70" t="n">
        <f aca="false">P17+P103+P146+P189+P275+P359+P401+P443+P527+P569+P611</f>
        <v>329129.146574735</v>
      </c>
      <c r="Q646" s="70" t="n">
        <f aca="false">Q17+Q103+Q146+Q189+Q275+Q359+Q401+Q443+Q527+Q569+Q611</f>
        <v>323212.276981482</v>
      </c>
      <c r="R646" s="70" t="n">
        <f aca="false">R17+R103+R146+R189+R275+R359+R401+R443+R527+R569+R611</f>
        <v>269256.213425926</v>
      </c>
      <c r="S646" s="70" t="n">
        <f aca="false">S17+S103+S146+S189+S275+S359+S401+S443+S527+S569+S611</f>
        <v>156486.979166667</v>
      </c>
      <c r="T646" s="70" t="n">
        <f aca="false">T17+T103+T146+T189+T275+T359+T401+T443+T527+T569+T611</f>
        <v>114650.462962963</v>
      </c>
      <c r="U646" s="70" t="n">
        <f aca="false">U17+U103+U146+U189+U275+U359+U401+U443+U527+U569+U611</f>
        <v>165219.907407407</v>
      </c>
      <c r="V646" s="70" t="n">
        <f aca="false">V17+V103+V146+V189+V275+V359+V401+V443+V527+V569+V611</f>
        <v>200114.12962963</v>
      </c>
      <c r="W646" s="70" t="n">
        <f aca="false">W17+W103+W146+W189+W275+W359+W401+W443+W527+W569+W611</f>
        <v>209381.12962963</v>
      </c>
      <c r="X646" s="70" t="n">
        <f aca="false">X17+X103+X146+X189+X275+X359+X401+X443+X527+X569+X611</f>
        <v>190263.577961343</v>
      </c>
      <c r="Y646" s="70" t="n">
        <f aca="false">Y17+Y103+Y146+Y189+Y275+Y359+Y401+Y443+Y527+Y569+Y611</f>
        <v>147070.768766534</v>
      </c>
      <c r="Z646" s="70" t="n">
        <f aca="false">Z17+Z103+Z146+Z189+Z275+Z359+Z401+Z443+Z527+Z569+Z611</f>
        <v>112798.702578353</v>
      </c>
      <c r="AA646" s="70" t="n">
        <f aca="false">AA17+AA103+AA146+AA189+AA275+AA359+AA401+AA443+AA527+AA569+AA611</f>
        <v>115582.72025328</v>
      </c>
      <c r="AB646" s="70" t="n">
        <f aca="false">AB17+AB103+AB146+AB189+AB275+AB359+AB401+AB443+AB527+AB569+AB611</f>
        <v>116349.358828353</v>
      </c>
    </row>
    <row r="647" customFormat="false" ht="15" hidden="false" customHeight="false" outlineLevel="0" collapsed="false">
      <c r="A647" s="27" t="s">
        <v>795</v>
      </c>
      <c r="B647" s="56" t="s">
        <v>793</v>
      </c>
      <c r="C647" s="57" t="n">
        <f aca="false">SUM(E647:P647)</f>
        <v>458277.447268148</v>
      </c>
      <c r="D647" s="57" t="n">
        <f aca="false">SUM(Q647:AB647)</f>
        <v>339261.796414651</v>
      </c>
      <c r="E647" s="70" t="n">
        <f aca="false">E12+E98+E141+E184+E270+E354+E396+E438+E522+E564+E606</f>
        <v>20871.48</v>
      </c>
      <c r="F647" s="70" t="n">
        <f aca="false">F12+F98+F141+F184+F270+F354+F396+F438+F522+F564+F606</f>
        <v>17684.27</v>
      </c>
      <c r="G647" s="70" t="n">
        <f aca="false">G12+G98+G141+G184+G270+G354+G396+G438+G522+G564+G606</f>
        <v>12532.8</v>
      </c>
      <c r="H647" s="70" t="n">
        <f aca="false">H12+H98+H141+H184+H270+H354+H396+H438+H522+H564+H606</f>
        <v>13397.14</v>
      </c>
      <c r="I647" s="70" t="n">
        <f aca="false">I12+I98+I141+I184+I270+I354+I396+I438+I522+I564+I606</f>
        <v>23717.38</v>
      </c>
      <c r="J647" s="70" t="n">
        <f aca="false">J12+J98+J141+J184+J270+J354+J396+J438+J522+J564+J606</f>
        <v>33104.65</v>
      </c>
      <c r="K647" s="70" t="n">
        <f aca="false">K12+K98+K141+K184+K270+K354+K396+K438+K522+K564+K606</f>
        <v>48038.33</v>
      </c>
      <c r="L647" s="70" t="n">
        <f aca="false">L12+L98+L141+L184+L270+L354+L396+L438+L522+L564+L606</f>
        <v>53189.25</v>
      </c>
      <c r="M647" s="70" t="n">
        <f aca="false">M12+M98+M141+M184+M270+M354+M396+M438+M522+M564+M606</f>
        <v>61989.2297645503</v>
      </c>
      <c r="N647" s="70" t="n">
        <f aca="false">N12+N98+N141+N184+N270+N354+N396+N438+N522+N564+N606</f>
        <v>63531.4622299471</v>
      </c>
      <c r="O647" s="70" t="n">
        <f aca="false">O12+O98+O141+O184+O270+O354+O396+O438+O522+O564+O606</f>
        <v>57560.7918216931</v>
      </c>
      <c r="P647" s="70" t="n">
        <f aca="false">P12+P98+P141+P184+P270+P354+P396+P438+P522+P564+P606</f>
        <v>52660.6634519577</v>
      </c>
      <c r="Q647" s="70" t="n">
        <f aca="false">Q12+Q98+Q141+Q184+Q270+Q354+Q396+Q438+Q522+Q564+Q606</f>
        <v>51713.9643170371</v>
      </c>
      <c r="R647" s="70" t="n">
        <f aca="false">R12+R98+R141+R184+R270+R354+R396+R438+R522+R564+R606</f>
        <v>43080.9941481481</v>
      </c>
      <c r="S647" s="70" t="n">
        <f aca="false">S12+S98+S141+S184+S270+S354+S396+S438+S522+S564+S606</f>
        <v>25037.9166666667</v>
      </c>
      <c r="T647" s="70" t="n">
        <f aca="false">T12+T98+T141+T184+T270+T354+T396+T438+T522+T564+T606</f>
        <v>18344.0740740741</v>
      </c>
      <c r="U647" s="70" t="n">
        <f aca="false">U12+U98+U141+U184+U270+U354+U396+U438+U522+U564+U606</f>
        <v>26435.1851851852</v>
      </c>
      <c r="V647" s="70" t="n">
        <f aca="false">V12+V98+V141+V184+V270+V354+V396+V438+V522+V564+V606</f>
        <v>32018.2607407407</v>
      </c>
      <c r="W647" s="70" t="n">
        <f aca="false">W12+W98+W141+W184+W270+W354+W396+W438+W522+W564+W606</f>
        <v>33500.9807407408</v>
      </c>
      <c r="X647" s="70" t="n">
        <f aca="false">X12+X98+X141+X184+X270+X354+X396+X438+X522+X564+X606</f>
        <v>30442.1724738149</v>
      </c>
      <c r="Y647" s="70" t="n">
        <f aca="false">Y12+Y98+Y141+Y184+Y270+Y354+Y396+Y438+Y522+Y564+Y606</f>
        <v>23531.3230026455</v>
      </c>
      <c r="Z647" s="70" t="n">
        <f aca="false">Z12+Z98+Z141+Z184+Z270+Z354+Z396+Z438+Z522+Z564+Z606</f>
        <v>18047.7924125364</v>
      </c>
      <c r="AA647" s="70" t="n">
        <f aca="false">AA12+AA98+AA141+AA184+AA270+AA354+AA396+AA438+AA522+AA564+AA606</f>
        <v>18493.2352405248</v>
      </c>
      <c r="AB647" s="70" t="n">
        <f aca="false">AB12+AB98+AB141+AB184+AB270+AB354+AB396+AB438+AB522+AB564+AB606</f>
        <v>18615.8974125364</v>
      </c>
    </row>
    <row r="648" customFormat="false" ht="15" hidden="false" customHeight="false" outlineLevel="0" collapsed="false">
      <c r="A648" s="27" t="s">
        <v>796</v>
      </c>
      <c r="B648" s="56" t="s">
        <v>793</v>
      </c>
      <c r="C648" s="57" t="n">
        <f aca="false">SUM(E648:P648)</f>
        <v>1415648.84021296</v>
      </c>
      <c r="D648" s="57" t="n">
        <f aca="false">SUM(Q648:AB648)</f>
        <v>1060193.11379578</v>
      </c>
      <c r="E648" s="70" t="n">
        <f aca="false">E13+E99+E142+E185+E271+E355+E397+E439+E523+E565+E607</f>
        <v>61951.26</v>
      </c>
      <c r="F648" s="70" t="n">
        <f aca="false">F13+F99+F142+F185+F271+F355+F397+F439+F523+F565+F607</f>
        <v>52022.57</v>
      </c>
      <c r="G648" s="70" t="n">
        <f aca="false">G13+G99+G142+G185+G271+G355+G397+G439+G523+G565+G607</f>
        <v>43581.75</v>
      </c>
      <c r="H648" s="70" t="n">
        <f aca="false">H13+H99+H142+H185+H271+H355+H397+H439+H523+H565+H607</f>
        <v>44923.87</v>
      </c>
      <c r="I648" s="70" t="n">
        <f aca="false">I13+I99+I142+I185+I271+I355+I397+I439+I523+I565+I607</f>
        <v>70640.96</v>
      </c>
      <c r="J648" s="70" t="n">
        <f aca="false">J13+J99+J142+J185+J271+J355+J397+J439+J523+J565+J607</f>
        <v>103303.04</v>
      </c>
      <c r="K648" s="70" t="n">
        <f aca="false">K13+K99+K142+K185+K271+K355+K397+K439+K523+K565+K607</f>
        <v>144767.12</v>
      </c>
      <c r="L648" s="70" t="n">
        <f aca="false">L13+L99+L142+L185+L271+L355+L397+L439+L523+L565+L607</f>
        <v>157764.06</v>
      </c>
      <c r="M648" s="70" t="n">
        <f aca="false">M13+M99+M142+M185+M271+M355+M397+M439+M523+M565+M607</f>
        <v>193716.34301422</v>
      </c>
      <c r="N648" s="70" t="n">
        <f aca="false">N13+N99+N142+N185+N271+N355+N397+N439+N523+N565+N607</f>
        <v>198535.819468585</v>
      </c>
      <c r="O648" s="70" t="n">
        <f aca="false">O13+O99+O142+O185+O271+O355+O397+O439+O523+O565+O607</f>
        <v>179877.474442791</v>
      </c>
      <c r="P648" s="70" t="n">
        <f aca="false">P13+P99+P142+P185+P271+P355+P397+P439+P523+P565+P607</f>
        <v>164564.573287368</v>
      </c>
      <c r="Q648" s="70" t="n">
        <f aca="false">Q13+Q99+Q142+Q185+Q271+Q355+Q397+Q439+Q523+Q565+Q607</f>
        <v>161606.138490741</v>
      </c>
      <c r="R648" s="70" t="n">
        <f aca="false">R13+R99+R142+R185+R271+R355+R397+R439+R523+R565+R607</f>
        <v>134628.106712963</v>
      </c>
      <c r="S648" s="70" t="n">
        <f aca="false">S13+S99+S142+S185+S271+S355+S397+S439+S523+S565+S607</f>
        <v>78243.4895833334</v>
      </c>
      <c r="T648" s="70" t="n">
        <f aca="false">T13+T99+T142+T185+T271+T355+T397+T439+T523+T565+T607</f>
        <v>57325.2314814815</v>
      </c>
      <c r="U648" s="70" t="n">
        <f aca="false">U13+U99+U142+U185+U271+U355+U397+U439+U523+U565+U607</f>
        <v>82609.9537037037</v>
      </c>
      <c r="V648" s="70" t="n">
        <f aca="false">V13+V99+V142+V185+V271+V355+V397+V439+V523+V565+V607</f>
        <v>100057.064814815</v>
      </c>
      <c r="W648" s="70" t="n">
        <f aca="false">W13+W99+W142+W185+W271+W355+W397+W439+W523+W565+W607</f>
        <v>104690.564814815</v>
      </c>
      <c r="X648" s="70" t="n">
        <f aca="false">X13+X99+X142+X185+X271+X355+X397+X439+X523+X565+X607</f>
        <v>95131.7889806716</v>
      </c>
      <c r="Y648" s="70" t="n">
        <f aca="false">Y13+Y99+Y142+Y185+Y271+Y355+Y397+Y439+Y523+Y565+Y607</f>
        <v>73535.3843832672</v>
      </c>
      <c r="Z648" s="70" t="n">
        <f aca="false">Z13+Z99+Z142+Z185+Z271+Z355+Z397+Z439+Z523+Z565+Z607</f>
        <v>56399.3512891764</v>
      </c>
      <c r="AA648" s="70" t="n">
        <f aca="false">AA13+AA99+AA142+AA185+AA271+AA355+AA397+AA439+AA523+AA565+AA607</f>
        <v>57791.36012664</v>
      </c>
      <c r="AB648" s="70" t="n">
        <f aca="false">AB13+AB99+AB142+AB185+AB271+AB355+AB397+AB439+AB523+AB565+AB607</f>
        <v>58174.6794141764</v>
      </c>
    </row>
    <row r="649" customFormat="false" ht="15" hidden="false" customHeight="false" outlineLevel="0" collapsed="false">
      <c r="A649" s="27" t="s">
        <v>797</v>
      </c>
      <c r="B649" s="56" t="s">
        <v>793</v>
      </c>
      <c r="C649" s="57" t="n">
        <f aca="false">SUM(E649:P649)</f>
        <v>686085.540902222</v>
      </c>
      <c r="D649" s="57" t="n">
        <f aca="false">SUM(Q649:AB649)</f>
        <v>508892.694621976</v>
      </c>
      <c r="E649" s="70" t="n">
        <f aca="false">E14+E100+E143+E186+E272+E356+E398+E440+E524+E566+E608</f>
        <v>31369.52</v>
      </c>
      <c r="F649" s="70" t="n">
        <f aca="false">F14+F100+F143+F186+F272+F356+F398+F440+F524+F566+F608</f>
        <v>25055.71</v>
      </c>
      <c r="G649" s="70" t="n">
        <f aca="false">G14+G100+G143+G186+G272+G356+G398+G440+G524+G566+G608</f>
        <v>20188.67</v>
      </c>
      <c r="H649" s="70" t="n">
        <f aca="false">H14+H100+H143+H186+H272+H356+H398+H440+H524+H566+H608</f>
        <v>21409.7</v>
      </c>
      <c r="I649" s="70" t="n">
        <f aca="false">I14+I100+I143+I186+I272+I356+I398+I440+I524+I566+I608</f>
        <v>34121.09</v>
      </c>
      <c r="J649" s="70" t="n">
        <f aca="false">J14+J100+J143+J186+J272+J356+J398+J440+J524+J566+J608</f>
        <v>53573.77</v>
      </c>
      <c r="K649" s="70" t="n">
        <f aca="false">K14+K100+K143+K186+K272+K356+K398+K440+K524+K566+K608</f>
        <v>75692.94</v>
      </c>
      <c r="L649" s="70" t="n">
        <f aca="false">L14+L100+L143+L186+L272+L356+L398+L440+L524+L566+L608</f>
        <v>71060.92</v>
      </c>
      <c r="M649" s="70" t="n">
        <f aca="false">M14+M100+M143+M186+M272+M356+M398+M440+M524+M566+M608</f>
        <v>92983.8446468254</v>
      </c>
      <c r="N649" s="70" t="n">
        <f aca="false">N14+N100+N143+N186+N272+N356+N398+N440+N524+N566+N608</f>
        <v>95297.1933449207</v>
      </c>
      <c r="O649" s="70" t="n">
        <f aca="false">O14+O100+O143+O186+O272+O356+O398+O440+O524+O566+O608</f>
        <v>86341.1877325396</v>
      </c>
      <c r="P649" s="70" t="n">
        <f aca="false">P14+P100+P143+P186+P272+P356+P398+P440+P524+P566+P608</f>
        <v>78990.9951779365</v>
      </c>
      <c r="Q649" s="70" t="n">
        <f aca="false">Q14+Q100+Q143+Q186+Q272+Q356+Q398+Q440+Q524+Q566+Q608</f>
        <v>77570.9464755556</v>
      </c>
      <c r="R649" s="70" t="n">
        <f aca="false">R14+R100+R143+R186+R272+R356+R398+R440+R524+R566+R608</f>
        <v>64621.4912222222</v>
      </c>
      <c r="S649" s="70" t="n">
        <f aca="false">S14+S100+S143+S186+S272+S356+S398+S440+S524+S566+S608</f>
        <v>37556.875</v>
      </c>
      <c r="T649" s="70" t="n">
        <f aca="false">T14+T100+T143+T186+T272+T356+T398+T440+T524+T566+T608</f>
        <v>27516.1111111111</v>
      </c>
      <c r="U649" s="70" t="n">
        <f aca="false">U14+U100+U143+U186+U272+U356+U398+U440+U524+U566+U608</f>
        <v>39652.7777777778</v>
      </c>
      <c r="V649" s="70" t="n">
        <f aca="false">V14+V100+V143+V186+V272+V356+V398+V440+V524+V566+V608</f>
        <v>48027.3911111111</v>
      </c>
      <c r="W649" s="70" t="n">
        <f aca="false">W14+W100+W143+W186+W272+W356+W398+W440+W524+W566+W608</f>
        <v>50251.4711111111</v>
      </c>
      <c r="X649" s="70" t="n">
        <f aca="false">X14+X100+X143+X186+X272+X356+X398+X440+X524+X566+X608</f>
        <v>45663.2587107224</v>
      </c>
      <c r="Y649" s="70" t="n">
        <f aca="false">Y14+Y100+Y143+Y186+Y272+Y356+Y398+Y440+Y524+Y566+Y608</f>
        <v>35296.9845039683</v>
      </c>
      <c r="Z649" s="70" t="n">
        <f aca="false">Z14+Z100+Z143+Z186+Z272+Z356+Z398+Z440+Z524+Z566+Z608</f>
        <v>27071.6886188047</v>
      </c>
      <c r="AA649" s="70" t="n">
        <f aca="false">AA14+AA100+AA143+AA186+AA272+AA356+AA398+AA440+AA524+AA566+AA608</f>
        <v>27739.8528607872</v>
      </c>
      <c r="AB649" s="70" t="n">
        <f aca="false">AB14+AB100+AB143+AB186+AB272+AB356+AB398+AB440+AB524+AB566+AB608</f>
        <v>27923.8461188047</v>
      </c>
    </row>
    <row r="650" customFormat="false" ht="15" hidden="false" customHeight="false" outlineLevel="0" collapsed="false">
      <c r="A650" s="27" t="s">
        <v>798</v>
      </c>
      <c r="B650" s="56" t="s">
        <v>793</v>
      </c>
      <c r="C650" s="57" t="n">
        <f aca="false">SUM(E650:P650)</f>
        <v>85303.6826127778</v>
      </c>
      <c r="D650" s="57" t="n">
        <f aca="false">SUM(Q650:AB650)</f>
        <v>63611.586827747</v>
      </c>
      <c r="E650" s="70" t="n">
        <f aca="false">E15+E101+E144+E187+E273+E357+E399+E441+E525+E567+E609</f>
        <v>3705.32</v>
      </c>
      <c r="F650" s="70" t="n">
        <f aca="false">F15+F101+F144+F187+F273+F357+F399+F441+F525+F567+F609</f>
        <v>3404.59</v>
      </c>
      <c r="G650" s="70" t="n">
        <f aca="false">G15+G101+G144+G187+G273+G357+G399+G441+G525+G567+G609</f>
        <v>2384.07</v>
      </c>
      <c r="H650" s="70" t="n">
        <f aca="false">H15+H101+H144+H187+H273+H357+H399+H441+H525+H567+H609</f>
        <v>2574.07</v>
      </c>
      <c r="I650" s="70" t="n">
        <f aca="false">I15+I101+I144+I187+I273+I357+I399+I441+I525+I567+I609</f>
        <v>4285.88</v>
      </c>
      <c r="J650" s="70" t="n">
        <f aca="false">J15+J101+J144+J187+J273+J357+J399+J441+J525+J567+J609</f>
        <v>6672.71</v>
      </c>
      <c r="K650" s="70" t="n">
        <f aca="false">K15+K101+K144+K187+K273+K357+K399+K441+K525+K567+K609</f>
        <v>8944.96</v>
      </c>
      <c r="L650" s="70" t="n">
        <f aca="false">L15+L101+L144+L187+L273+L357+L399+L441+L525+L567+L609</f>
        <v>9130.43</v>
      </c>
      <c r="M650" s="70" t="n">
        <f aca="false">M15+M101+M144+M187+M273+M357+M399+M441+M525+M567+M609</f>
        <v>11622.9805808532</v>
      </c>
      <c r="N650" s="70" t="n">
        <f aca="false">N15+N101+N144+N187+N273+N357+N399+N441+N525+N567+N609</f>
        <v>11912.1491681151</v>
      </c>
      <c r="O650" s="70" t="n">
        <f aca="false">O15+O101+O144+O187+O273+O357+O399+O441+O525+O567+O609</f>
        <v>10792.6484665675</v>
      </c>
      <c r="P650" s="70" t="n">
        <f aca="false">P15+P101+P144+P187+P273+P357+P399+P441+P525+P567+P609</f>
        <v>9873.87439724206</v>
      </c>
      <c r="Q650" s="70" t="n">
        <f aca="false">Q15+Q101+Q144+Q187+Q273+Q357+Q399+Q441+Q525+Q567+Q609</f>
        <v>9696.36830944445</v>
      </c>
      <c r="R650" s="70" t="n">
        <f aca="false">R15+R101+R144+R187+R273+R357+R399+R441+R525+R567+R609</f>
        <v>8077.68640277777</v>
      </c>
      <c r="S650" s="70" t="n">
        <f aca="false">S15+S101+S144+S187+S273+S357+S399+S441+S525+S567+S609</f>
        <v>4694.609375</v>
      </c>
      <c r="T650" s="70" t="n">
        <f aca="false">T15+T101+T144+T187+T273+T357+T399+T441+T525+T567+T609</f>
        <v>3439.51388888889</v>
      </c>
      <c r="U650" s="70" t="n">
        <f aca="false">U15+U101+U144+U187+U273+U357+U399+U441+U525+U567+U609</f>
        <v>4956.59722222222</v>
      </c>
      <c r="V650" s="70" t="n">
        <f aca="false">V15+V101+V144+V187+V273+V357+V399+V441+V525+V567+V609</f>
        <v>6003.42388888889</v>
      </c>
      <c r="W650" s="70" t="n">
        <f aca="false">W15+W101+W144+W187+W273+W357+W399+W441+W525+W567+W609</f>
        <v>6281.43388888889</v>
      </c>
      <c r="X650" s="70" t="n">
        <f aca="false">X15+X101+X144+X187+X273+X357+X399+X441+X525+X567+X609</f>
        <v>5707.9073388403</v>
      </c>
      <c r="Y650" s="70" t="n">
        <f aca="false">Y15+Y101+Y144+Y187+Y273+Y357+Y399+Y441+Y525+Y567+Y609</f>
        <v>4412.12306299603</v>
      </c>
      <c r="Z650" s="70" t="n">
        <f aca="false">Z15+Z101+Z144+Z187+Z273+Z357+Z399+Z441+Z525+Z567+Z609</f>
        <v>3383.96107735058</v>
      </c>
      <c r="AA650" s="70" t="n">
        <f aca="false">AA15+AA101+AA144+AA187+AA273+AA357+AA399+AA441+AA525+AA567+AA609</f>
        <v>3467.4816075984</v>
      </c>
      <c r="AB650" s="70" t="n">
        <f aca="false">AB15+AB101+AB144+AB187+AB273+AB357+AB399+AB441+AB525+AB567+AB609</f>
        <v>3490.48076485058</v>
      </c>
    </row>
    <row r="651" customFormat="false" ht="15" hidden="false" customHeight="false" outlineLevel="0" collapsed="false">
      <c r="A651" s="27" t="s">
        <v>799</v>
      </c>
      <c r="B651" s="56" t="s">
        <v>793</v>
      </c>
      <c r="C651" s="57" t="n">
        <f aca="false">SUM(E651:P651)</f>
        <v>200832.999429815</v>
      </c>
      <c r="D651" s="57" t="n">
        <f aca="false">SUM(Q651:AB651)</f>
        <v>148427.03593141</v>
      </c>
      <c r="E651" s="70" t="n">
        <f aca="false">E16+E102+E145+E188+E274+E358+E400+E442+E526+E568+E610</f>
        <v>8828.56</v>
      </c>
      <c r="F651" s="70" t="n">
        <f aca="false">F16+F102+F145+F188+F274+F358+F400+F442+F526+F568+F610</f>
        <v>7071.15</v>
      </c>
      <c r="G651" s="70" t="n">
        <f aca="false">G16+G102+G145+G188+G274+G358+G400+G442+G526+G568+G610</f>
        <v>6068.79</v>
      </c>
      <c r="H651" s="70" t="n">
        <f aca="false">H16+H102+H145+H188+H274+H358+H400+H442+H526+H568+H610</f>
        <v>6577.39</v>
      </c>
      <c r="I651" s="70" t="n">
        <f aca="false">I16+I102+I145+I188+I274+I358+I400+I442+I526+I568+I610</f>
        <v>10558.36</v>
      </c>
      <c r="J651" s="70" t="n">
        <f aca="false">J16+J102+J145+J188+J274+J358+J400+J442+J526+J568+J610</f>
        <v>14777.49</v>
      </c>
      <c r="K651" s="70" t="n">
        <f aca="false">K16+K102+K145+K188+K274+K358+K400+K442+K526+K568+K610</f>
        <v>21300.32</v>
      </c>
      <c r="L651" s="70" t="n">
        <f aca="false">L16+L102+L145+L188+L274+L358+L400+L442+L526+L568+L610</f>
        <v>22513.75</v>
      </c>
      <c r="M651" s="70" t="n">
        <f aca="false">M16+M102+M145+M188+M274+M358+M400+M442+M526+M568+M610</f>
        <v>27120.2880219907</v>
      </c>
      <c r="N651" s="70" t="n">
        <f aca="false">N16+N102+N145+N188+N274+N358+N400+N442+N526+N568+N610</f>
        <v>27795.0147256019</v>
      </c>
      <c r="O651" s="70" t="n">
        <f aca="false">O16+O102+O145+O188+O274+O358+O400+O442+O526+O568+O610</f>
        <v>25182.8464219907</v>
      </c>
      <c r="P651" s="70" t="n">
        <f aca="false">P16+P102+P145+P188+P274+P358+P400+P442+P526+P568+P610</f>
        <v>23039.0402602315</v>
      </c>
      <c r="Q651" s="70" t="n">
        <f aca="false">Q16+Q102+Q145+Q188+Q274+Q358+Q400+Q442+Q526+Q568+Q610</f>
        <v>22624.8593887037</v>
      </c>
      <c r="R651" s="70" t="n">
        <f aca="false">R16+R102+R145+R188+R274+R358+R400+R442+R526+R568+R610</f>
        <v>18847.9349398148</v>
      </c>
      <c r="S651" s="70" t="n">
        <f aca="false">S16+S102+S145+S188+S274+S358+S400+S442+S526+S568+S610</f>
        <v>10954.0885416667</v>
      </c>
      <c r="T651" s="70" t="n">
        <f aca="false">T16+T102+T145+T188+T274+T358+T400+T442+T526+T568+T610</f>
        <v>8025.53240740741</v>
      </c>
      <c r="U651" s="70" t="n">
        <f aca="false">U16+U102+U145+U188+U274+U358+U400+U442+U526+U568+U610</f>
        <v>11565.3935185185</v>
      </c>
      <c r="V651" s="70" t="n">
        <f aca="false">V16+V102+V145+V188+V274+V358+V400+V442+V526+V568+V610</f>
        <v>14007.9890740741</v>
      </c>
      <c r="W651" s="70" t="n">
        <f aca="false">W16+W102+W145+W188+W274+W358+W400+W442+W526+W568+W610</f>
        <v>14656.6790740741</v>
      </c>
      <c r="X651" s="70" t="n">
        <f aca="false">X16+X102+X145+X188+X274+X358+X400+X442+X526+X568+X610</f>
        <v>13318.450457294</v>
      </c>
      <c r="Y651" s="70" t="n">
        <f aca="false">Y16+Y102+Y145+Y188+Y274+Y358+Y400+Y442+Y526+Y568+Y610</f>
        <v>10294.9538136574</v>
      </c>
      <c r="Z651" s="70" t="n">
        <f aca="false">Z16+Z102+Z145+Z188+Z274+Z358+Z400+Z442+Z526+Z568+Z610</f>
        <v>7895.90918048469</v>
      </c>
      <c r="AA651" s="70" t="n">
        <f aca="false">AA16+AA102+AA145+AA188+AA274+AA358+AA400+AA442+AA526+AA568+AA610</f>
        <v>8090.79041772959</v>
      </c>
      <c r="AB651" s="70" t="n">
        <f aca="false">AB16+AB102+AB145+AB188+AB274+AB358+AB400+AB442+AB526+AB568+AB610</f>
        <v>8144.45511798469</v>
      </c>
    </row>
    <row r="652" customFormat="false" ht="15" hidden="false" customHeight="false" outlineLevel="0" collapsed="false">
      <c r="A652" s="27" t="s">
        <v>800</v>
      </c>
      <c r="B652" s="56" t="s">
        <v>793</v>
      </c>
      <c r="C652" s="57" t="n">
        <f aca="false">SUM(E652:P652)</f>
        <v>0</v>
      </c>
      <c r="D652" s="57" t="n">
        <f aca="false">SUM(Q652:AB652)</f>
        <v>0</v>
      </c>
      <c r="E652" s="70" t="n">
        <f aca="false">E28+E114+E157+E200+E286+E370+E412+E454+E538+E580+E622</f>
        <v>-0</v>
      </c>
      <c r="F652" s="70" t="n">
        <f aca="false">F28+F114+F157+F200+F286+F370+F412+F454+F538+F580+F622</f>
        <v>-0</v>
      </c>
      <c r="G652" s="70" t="n">
        <f aca="false">G28+G114+G157+G200+G286+G370+G412+G454+G538+G580+G622</f>
        <v>-0</v>
      </c>
      <c r="H652" s="70" t="n">
        <f aca="false">H28+H114+H157+H200+H286+H370+H412+H454+H538+H580+H622</f>
        <v>-0</v>
      </c>
      <c r="I652" s="70" t="n">
        <f aca="false">I28+I114+I157+I200+I286+I370+I412+I454+I538+I580+I622</f>
        <v>-0</v>
      </c>
      <c r="J652" s="70" t="n">
        <f aca="false">J28+J114+J157+J200+J286+J370+J412+J454+J538+J580+J622</f>
        <v>-0</v>
      </c>
      <c r="K652" s="70" t="n">
        <f aca="false">K28+K114+K157+K200+K286+K370+K412+K454+K538+K580+K622</f>
        <v>-0</v>
      </c>
      <c r="L652" s="70" t="n">
        <f aca="false">L28+L114+L157+L200+L286+L370+L412+L454+L538+L580+L622</f>
        <v>-0</v>
      </c>
      <c r="M652" s="70" t="n">
        <f aca="false">M28+M114+M157+M200+M286+M370+M412+M454+M538+M580+M622</f>
        <v>-0</v>
      </c>
      <c r="N652" s="70" t="n">
        <f aca="false">N28+N114+N157+N200+N286+N370+N412+N454+N538+N580+N622</f>
        <v>-0</v>
      </c>
      <c r="O652" s="70" t="n">
        <f aca="false">O28+O114+O157+O200+O286+O370+O412+O454+O538+O580+O622</f>
        <v>-0</v>
      </c>
      <c r="P652" s="70" t="n">
        <f aca="false">P28+P114+P157+P200+P286+P370+P412+P454+P538+P580+P622</f>
        <v>-0</v>
      </c>
      <c r="Q652" s="70" t="n">
        <f aca="false">Q28+Q114+Q157+Q200+Q286+Q370+Q412+Q454+Q538+Q580+Q622</f>
        <v>-0</v>
      </c>
      <c r="R652" s="70" t="n">
        <f aca="false">R28+R114+R157+R200+R286+R370+R412+R454+R538+R580+R622</f>
        <v>-0</v>
      </c>
      <c r="S652" s="70" t="n">
        <f aca="false">S28+S114+S157+S200+S286+S370+S412+S454+S538+S580+S622</f>
        <v>-0</v>
      </c>
      <c r="T652" s="70" t="n">
        <f aca="false">T28+T114+T157+T200+T286+T370+T412+T454+T538+T580+T622</f>
        <v>-0</v>
      </c>
      <c r="U652" s="70" t="n">
        <f aca="false">U28+U114+U157+U200+U286+U370+U412+U454+U538+U580+U622</f>
        <v>-0</v>
      </c>
      <c r="V652" s="70" t="n">
        <f aca="false">V28+V114+V157+V200+V286+V370+V412+V454+V538+V580+V622</f>
        <v>-0</v>
      </c>
      <c r="W652" s="70" t="n">
        <f aca="false">W28+W114+W157+W200+W286+W370+W412+W454+W538+W580+W622</f>
        <v>-0</v>
      </c>
      <c r="X652" s="70" t="n">
        <f aca="false">X28+X114+X157+X200+X286+X370+X412+X454+X538+X580+X622</f>
        <v>-0</v>
      </c>
      <c r="Y652" s="70" t="n">
        <f aca="false">Y28+Y114+Y157+Y200+Y286+Y370+Y412+Y454+Y538+Y580+Y622</f>
        <v>-0</v>
      </c>
      <c r="Z652" s="70" t="n">
        <f aca="false">Z28+Z114+Z157+Z200+Z286+Z370+Z412+Z454+Z538+Z580+Z622</f>
        <v>-0</v>
      </c>
      <c r="AA652" s="70" t="n">
        <f aca="false">AA28+AA114+AA157+AA200+AA286+AA370+AA412+AA454+AA538+AA580+AA622</f>
        <v>-0</v>
      </c>
      <c r="AB652" s="70" t="n">
        <f aca="false">AB28+AB114+AB157+AB200+AB286+AB370+AB412+AB454+AB538+AB580+AB622</f>
        <v>-0</v>
      </c>
    </row>
    <row r="653" customFormat="false" ht="15" hidden="false" customHeight="false" outlineLevel="0" collapsed="false">
      <c r="A653" s="67" t="s">
        <v>801</v>
      </c>
      <c r="B653" s="68" t="s">
        <v>793</v>
      </c>
      <c r="C653" s="69" t="n">
        <f aca="false">SUM(E653:P653)</f>
        <v>443935.543200299</v>
      </c>
      <c r="D653" s="69" t="n">
        <f aca="false">SUM(Q653:AB653)</f>
        <v>340759.878898827</v>
      </c>
      <c r="E653" s="69" t="n">
        <f aca="false">E29+E115+E158+E201+E287+E371+E413+E455+E539+E581+E623</f>
        <v>31291.7999999999</v>
      </c>
      <c r="F653" s="69" t="n">
        <f aca="false">F29+F115+F158+F201+F287+F371+F413+F455+F539+F581+F623</f>
        <v>34075.7700000001</v>
      </c>
      <c r="G653" s="69" t="n">
        <f aca="false">G29+G115+G158+G201+G287+G371+G413+G455+G539+G581+G623</f>
        <v>29300.83</v>
      </c>
      <c r="H653" s="69" t="n">
        <f aca="false">H29+H115+H158+H201+H287+H371+H413+H455+H539+H581+H623</f>
        <v>14562</v>
      </c>
      <c r="I653" s="69" t="n">
        <f aca="false">I29+I115+I158+I201+I287+I371+I413+I455+I539+I581+I623</f>
        <v>-7284.23999999999</v>
      </c>
      <c r="J653" s="69" t="n">
        <f aca="false">J29+J115+J158+J201+J287+J371+J413+J455+J539+J581+J623</f>
        <v>7298.54000000004</v>
      </c>
      <c r="K653" s="69" t="n">
        <f aca="false">K29+K115+K158+K201+K287+K371+K413+K455+K539+K581+K623</f>
        <v>44449.45</v>
      </c>
      <c r="L653" s="69" t="n">
        <f aca="false">L29+L115+L158+L201+L287+L371+L413+L455+L539+L581+L623</f>
        <v>32821.72</v>
      </c>
      <c r="M653" s="69" t="n">
        <f aca="false">M29+M115+M158+M201+M287+M371+M413+M455+M539+M581+M623</f>
        <v>54407.111180307</v>
      </c>
      <c r="N653" s="69" t="n">
        <f aca="false">N29+N115+N158+N201+N287+N371+N413+N455+N539+N581+N623</f>
        <v>69503.8077372714</v>
      </c>
      <c r="O653" s="69" t="n">
        <f aca="false">O29+O115+O158+O201+O287+O371+O413+O455+O539+O581+O623</f>
        <v>68598.0390205027</v>
      </c>
      <c r="P653" s="69" t="n">
        <f aca="false">P29+P115+P158+P201+P287+P371+P413+P455+P539+P581+P623</f>
        <v>64910.7152622175</v>
      </c>
      <c r="Q653" s="69" t="n">
        <f aca="false">Q29+Q115+Q158+Q201+Q287+Q371+Q413+Q455+Q539+Q581+Q623</f>
        <v>55747.0839082769</v>
      </c>
      <c r="R653" s="69" t="n">
        <f aca="false">R29+R115+R158+R201+R287+R371+R413+R455+R539+R581+R623</f>
        <v>45036.1702756835</v>
      </c>
      <c r="S653" s="69" t="n">
        <f aca="false">S29+S115+S158+S201+S287+S371+S413+S455+S539+S581+S623</f>
        <v>25207.5376157407</v>
      </c>
      <c r="T653" s="69" t="n">
        <f aca="false">T29+T115+T158+T201+T287+T371+T413+T455+T539+T581+T623</f>
        <v>17939.5978009259</v>
      </c>
      <c r="U653" s="69" t="n">
        <f aca="false">U29+U115+U158+U201+U287+U371+U413+U455+U539+U581+U623</f>
        <v>25879.2679398148</v>
      </c>
      <c r="V653" s="69" t="n">
        <f aca="false">V29+V115+V158+V201+V287+V371+V413+V455+V539+V581+V623</f>
        <v>31371.7123842593</v>
      </c>
      <c r="W653" s="69" t="n">
        <f aca="false">W29+W115+W158+W201+W287+W371+W413+W455+W539+W581+W623</f>
        <v>32848.9311342593</v>
      </c>
      <c r="X653" s="69" t="n">
        <f aca="false">X29+X115+X158+X201+X287+X371+X413+X455+X539+X581+X623</f>
        <v>29859.3906621181</v>
      </c>
      <c r="Y653" s="69" t="n">
        <f aca="false">Y29+Y115+Y158+Y201+Y287+Y371+Y413+Y455+Y539+Y581+Y623</f>
        <v>23059.4036044973</v>
      </c>
      <c r="Z653" s="69" t="n">
        <f aca="false">Z29+Z115+Z158+Z201+Z287+Z371+Z413+Z455+Z539+Z581+Z623</f>
        <v>17633.1687773324</v>
      </c>
      <c r="AA653" s="69" t="n">
        <f aca="false">AA29+AA115+AA158+AA201+AA287+AA371+AA413+AA455+AA539+AA581+AA623</f>
        <v>18033.852268586</v>
      </c>
      <c r="AB653" s="69" t="n">
        <f aca="false">AB29+AB115+AB158+AB201+AB287+AB371+AB413+AB455+AB539+AB581+AB623</f>
        <v>18143.7625273324</v>
      </c>
    </row>
    <row r="654" customFormat="false" ht="15" hidden="false" customHeight="false" outlineLevel="0" collapsed="false">
      <c r="A654" s="27" t="s">
        <v>321</v>
      </c>
      <c r="B654" s="56" t="s">
        <v>793</v>
      </c>
      <c r="C654" s="57" t="n">
        <f aca="false">P654</f>
        <v>388399.861836953</v>
      </c>
      <c r="D654" s="57" t="n">
        <f aca="false">AB654</f>
        <v>134493.121355685</v>
      </c>
      <c r="E654" s="70" t="n">
        <f aca="false">E41+E127+E170+E213+E299+E383+E425+E467+E551+E593+E635</f>
        <v>161192.09</v>
      </c>
      <c r="F654" s="70" t="n">
        <f aca="false">F41+F127+F170+F213+F299+F383+F425+F467+F551+F593+F635</f>
        <v>158393.89</v>
      </c>
      <c r="G654" s="70" t="n">
        <f aca="false">G41+G127+G170+G213+G299+G383+G425+G467+G551+G593+G635</f>
        <v>121583.21</v>
      </c>
      <c r="H654" s="70" t="n">
        <f aca="false">H41+H127+H170+H213+H299+H383+H425+H467+H551+H593+H635</f>
        <v>124144.17</v>
      </c>
      <c r="I654" s="70" t="n">
        <f aca="false">I41+I127+I170+I213+I299+I383+I425+I467+I551+I593+I635</f>
        <v>144457.12</v>
      </c>
      <c r="J654" s="70" t="n">
        <f aca="false">J41+J127+J170+J213+J299+J383+J425+J467+J551+J593+J635</f>
        <v>223683.56</v>
      </c>
      <c r="K654" s="70" t="n">
        <f aca="false">K41+K127+K170+K213+K299+K383+K425+K467+K551+K593+K635</f>
        <v>345665.19</v>
      </c>
      <c r="L654" s="70" t="n">
        <f aca="false">L41+L127+L170+L213+L299+L383+L425+L467+L551+L593+L635</f>
        <v>368274.07</v>
      </c>
      <c r="M654" s="70" t="n">
        <f aca="false">M41+M127+M170+M213+M299+M383+M425+M467+M551+M593+M635</f>
        <v>486233.864965866</v>
      </c>
      <c r="N654" s="70" t="n">
        <f aca="false">N41+N127+N170+N213+N299+N383+N425+N467+N551+N593+N635</f>
        <v>492779.124716393</v>
      </c>
      <c r="O654" s="70" t="n">
        <f aca="false">O41+O127+O170+O213+O299+O383+O425+O467+O551+O593+O635</f>
        <v>440871.983385321</v>
      </c>
      <c r="P654" s="70" t="n">
        <f aca="false">P41+P127+P170+P213+P299+P383+P425+P467+P551+P593+P635</f>
        <v>388399.861836953</v>
      </c>
      <c r="Q654" s="70" t="n">
        <f aca="false">Q41+Q127+Q170+Q213+Q299+Q383+Q425+Q467+Q551+Q593+Q635</f>
        <v>378959.360889759</v>
      </c>
      <c r="R654" s="70" t="n">
        <f aca="false">R41+R127+R170+R213+R299+R383+R425+R467+R551+R593+R635</f>
        <v>314292.383701609</v>
      </c>
      <c r="S654" s="70" t="n">
        <f aca="false">S41+S127+S170+S213+S299+S383+S425+S467+S551+S593+S635</f>
        <v>181694.516782407</v>
      </c>
      <c r="T654" s="70" t="n">
        <f aca="false">T41+T127+T170+T213+T299+T383+T425+T467+T551+T593+T635</f>
        <v>132590.060763889</v>
      </c>
      <c r="U654" s="70" t="n">
        <f aca="false">U41+U127+U170+U213+U299+U383+U425+U467+U551+U593+U635</f>
        <v>191099.175347222</v>
      </c>
      <c r="V654" s="70" t="n">
        <f aca="false">V41+V127+V170+V213+V299+V383+V425+V467+V551+V593+V635</f>
        <v>231485.842013889</v>
      </c>
      <c r="W654" s="70" t="n">
        <f aca="false">W41+W127+W170+W213+W299+W383+W425+W467+W551+W593+W635</f>
        <v>242230.060763889</v>
      </c>
      <c r="X654" s="70" t="n">
        <f aca="false">X41+X127+X170+X213+X299+X383+X425+X467+X551+X593+X635</f>
        <v>220122.968623461</v>
      </c>
      <c r="Y654" s="70" t="n">
        <f aca="false">Y41+Y127+Y170+Y213+Y299+Y383+Y425+Y467+Y551+Y593+Y635</f>
        <v>170130.172371032</v>
      </c>
      <c r="Z654" s="70" t="n">
        <f aca="false">Z41+Z127+Z170+Z213+Z299+Z383+Z425+Z467+Z551+Z593+Z635</f>
        <v>130431.871355685</v>
      </c>
      <c r="AA654" s="70" t="n">
        <f aca="false">AA41+AA127+AA170+AA213+AA299+AA383+AA425+AA467+AA551+AA593+AA635</f>
        <v>133616.572521866</v>
      </c>
      <c r="AB654" s="70" t="n">
        <f aca="false">AB41+AB127+AB170+AB213+AB299+AB383+AB425+AB467+AB551+AB593+AB635</f>
        <v>134493.121355685</v>
      </c>
    </row>
    <row r="655" customFormat="false" ht="15" hidden="false" customHeight="false" outlineLevel="0" collapsed="false">
      <c r="A655" s="27" t="s">
        <v>802</v>
      </c>
      <c r="B655" s="56" t="s">
        <v>793</v>
      </c>
      <c r="C655" s="57" t="n">
        <f aca="false">P655</f>
        <v>0</v>
      </c>
      <c r="D655" s="57" t="n">
        <f aca="false">AB655</f>
        <v>0</v>
      </c>
      <c r="E655" s="70" t="n">
        <f aca="false">E42+E128+E171+E214+E300+E384+E426+E468+E552+E594+E636</f>
        <v>0</v>
      </c>
      <c r="F655" s="70" t="n">
        <f aca="false">F42+F128+F171+F214+F300+F384+F426+F468+F552+F594+F636</f>
        <v>0</v>
      </c>
      <c r="G655" s="70" t="n">
        <f aca="false">G42+G128+G171+G214+G300+G384+G426+G468+G552+G594+G636</f>
        <v>0</v>
      </c>
      <c r="H655" s="70" t="n">
        <f aca="false">H42+H128+H171+H214+H300+H384+H426+H468+H552+H594+H636</f>
        <v>0</v>
      </c>
      <c r="I655" s="70" t="n">
        <f aca="false">I42+I128+I171+I214+I300+I384+I426+I468+I552+I594+I636</f>
        <v>0</v>
      </c>
      <c r="J655" s="70" t="n">
        <f aca="false">J42+J128+J171+J214+J300+J384+J426+J468+J552+J594+J636</f>
        <v>0</v>
      </c>
      <c r="K655" s="70" t="n">
        <f aca="false">K42+K128+K171+K214+K300+K384+K426+K468+K552+K594+K636</f>
        <v>0</v>
      </c>
      <c r="L655" s="70" t="n">
        <f aca="false">L42+L128+L171+L214+L300+L384+L426+L468+L552+L594+L636</f>
        <v>0</v>
      </c>
      <c r="M655" s="70" t="n">
        <f aca="false">M42+M128+M171+M214+M300+M384+M426+M468+M552+M594+M636</f>
        <v>0</v>
      </c>
      <c r="N655" s="70" t="n">
        <f aca="false">N42+N128+N171+N214+N300+N384+N426+N468+N552+N594+N636</f>
        <v>0</v>
      </c>
      <c r="O655" s="70" t="n">
        <f aca="false">O42+O128+O171+O214+O300+O384+O426+O468+O552+O594+O636</f>
        <v>0</v>
      </c>
      <c r="P655" s="70" t="n">
        <f aca="false">P42+P128+P171+P214+P300+P384+P426+P468+P552+P594+P636</f>
        <v>0</v>
      </c>
      <c r="Q655" s="70" t="n">
        <f aca="false">Q42+Q128+Q171+Q214+Q300+Q384+Q426+Q468+Q552+Q594+Q636</f>
        <v>0</v>
      </c>
      <c r="R655" s="70" t="n">
        <f aca="false">R42+R128+R171+R214+R300+R384+R426+R468+R552+R594+R636</f>
        <v>0</v>
      </c>
      <c r="S655" s="70" t="n">
        <f aca="false">S42+S128+S171+S214+S300+S384+S426+S468+S552+S594+S636</f>
        <v>0</v>
      </c>
      <c r="T655" s="70" t="n">
        <f aca="false">T42+T128+T171+T214+T300+T384+T426+T468+T552+T594+T636</f>
        <v>0</v>
      </c>
      <c r="U655" s="70" t="n">
        <f aca="false">U42+U128+U171+U214+U300+U384+U426+U468+U552+U594+U636</f>
        <v>0</v>
      </c>
      <c r="V655" s="70" t="n">
        <f aca="false">V42+V128+V171+V214+V300+V384+V426+V468+V552+V594+V636</f>
        <v>0</v>
      </c>
      <c r="W655" s="70" t="n">
        <f aca="false">W42+W128+W171+W214+W300+W384+W426+W468+W552+W594+W636</f>
        <v>0</v>
      </c>
      <c r="X655" s="70" t="n">
        <f aca="false">X42+X128+X171+X214+X300+X384+X426+X468+X552+X594+X636</f>
        <v>0</v>
      </c>
      <c r="Y655" s="70" t="n">
        <f aca="false">Y42+Y128+Y171+Y214+Y300+Y384+Y426+Y468+Y552+Y594+Y636</f>
        <v>0</v>
      </c>
      <c r="Z655" s="70" t="n">
        <f aca="false">Z42+Z128+Z171+Z214+Z300+Z384+Z426+Z468+Z552+Z594+Z636</f>
        <v>0</v>
      </c>
      <c r="AA655" s="70" t="n">
        <f aca="false">AA42+AA128+AA171+AA214+AA300+AA384+AA426+AA468+AA552+AA594+AA636</f>
        <v>0</v>
      </c>
      <c r="AB655" s="70" t="n">
        <f aca="false">AB42+AB128+AB171+AB214+AB300+AB384+AB426+AB468+AB552+AB594+AB636</f>
        <v>0</v>
      </c>
    </row>
    <row r="656" customFormat="false" ht="15" hidden="false" customHeight="false" outlineLevel="0" collapsed="false">
      <c r="A656" s="27" t="s">
        <v>403</v>
      </c>
      <c r="B656" s="56" t="s">
        <v>793</v>
      </c>
      <c r="C656" s="57" t="n">
        <f aca="false">P656</f>
        <v>0</v>
      </c>
      <c r="D656" s="57" t="n">
        <f aca="false">AB656</f>
        <v>0</v>
      </c>
      <c r="E656" s="70" t="n">
        <f aca="false">E27+E113+E156+E199+E285+E369+E411+E453+E537+E579+E621</f>
        <v>0</v>
      </c>
      <c r="F656" s="70" t="n">
        <f aca="false">F27+F113+F156+F199+F285+F369+F411+F453+F537+F579+F621</f>
        <v>0</v>
      </c>
      <c r="G656" s="70" t="n">
        <f aca="false">G27+G113+G156+G199+G285+G369+G411+G453+G537+G579+G621</f>
        <v>0</v>
      </c>
      <c r="H656" s="70" t="n">
        <f aca="false">H27+H113+H156+H199+H285+H369+H411+H453+H537+H579+H621</f>
        <v>0</v>
      </c>
      <c r="I656" s="70" t="n">
        <f aca="false">I27+I113+I156+I199+I285+I369+I411+I453+I537+I579+I621</f>
        <v>0</v>
      </c>
      <c r="J656" s="70" t="n">
        <f aca="false">J27+J113+J156+J199+J285+J369+J411+J453+J537+J579+J621</f>
        <v>0</v>
      </c>
      <c r="K656" s="70" t="n">
        <f aca="false">K27+K113+K156+K199+K285+K369+K411+K453+K537+K579+K621</f>
        <v>0</v>
      </c>
      <c r="L656" s="70" t="n">
        <f aca="false">L27+L113+L156+L199+L285+L369+L411+L453+L537+L579+L621</f>
        <v>0</v>
      </c>
      <c r="M656" s="70" t="n">
        <f aca="false">M27+M113+M156+M199+M285+M369+M411+M453+M537+M579+M621</f>
        <v>0</v>
      </c>
      <c r="N656" s="70" t="n">
        <f aca="false">N27+N113+N156+N199+N285+N369+N411+N453+N537+N579+N621</f>
        <v>0</v>
      </c>
      <c r="O656" s="70" t="n">
        <f aca="false">O27+O113+O156+O199+O285+O369+O411+O453+O537+O579+O621</f>
        <v>0</v>
      </c>
      <c r="P656" s="70" t="n">
        <f aca="false">P27+P113+P156+P199+P285+P369+P411+P453+P537+P579+P621</f>
        <v>0</v>
      </c>
      <c r="Q656" s="70" t="n">
        <f aca="false">Q27+Q113+Q156+Q199+Q285+Q369+Q411+Q453+Q537+Q579+Q621</f>
        <v>0</v>
      </c>
      <c r="R656" s="70" t="n">
        <f aca="false">R27+R113+R156+R199+R285+R369+R411+R453+R537+R579+R621</f>
        <v>0</v>
      </c>
      <c r="S656" s="70" t="n">
        <f aca="false">S27+S113+S156+S199+S285+S369+S411+S453+S537+S579+S621</f>
        <v>0</v>
      </c>
      <c r="T656" s="70" t="n">
        <f aca="false">T27+T113+T156+T199+T285+T369+T411+T453+T537+T579+T621</f>
        <v>0</v>
      </c>
      <c r="U656" s="70" t="n">
        <f aca="false">U27+U113+U156+U199+U285+U369+U411+U453+U537+U579+U621</f>
        <v>0</v>
      </c>
      <c r="V656" s="70" t="n">
        <f aca="false">V27+V113+V156+V199+V285+V369+V411+V453+V537+V579+V621</f>
        <v>0</v>
      </c>
      <c r="W656" s="70" t="n">
        <f aca="false">W27+W113+W156+W199+W285+W369+W411+W453+W537+W579+W621</f>
        <v>0</v>
      </c>
      <c r="X656" s="70" t="n">
        <f aca="false">X27+X113+X156+X199+X285+X369+X411+X453+X537+X579+X621</f>
        <v>0</v>
      </c>
      <c r="Y656" s="70" t="n">
        <f aca="false">Y27+Y113+Y156+Y199+Y285+Y369+Y411+Y453+Y537+Y579+Y621</f>
        <v>0</v>
      </c>
      <c r="Z656" s="70" t="n">
        <f aca="false">Z27+Z113+Z156+Z199+Z285+Z369+Z411+Z453+Z537+Z579+Z621</f>
        <v>0</v>
      </c>
      <c r="AA656" s="70" t="n">
        <f aca="false">AA27+AA113+AA156+AA199+AA285+AA369+AA411+AA453+AA537+AA579+AA621</f>
        <v>0</v>
      </c>
      <c r="AB656" s="70" t="n">
        <f aca="false">AB27+AB113+AB156+AB199+AB285+AB369+AB411+AB453+AB537+AB579+AB621</f>
        <v>0</v>
      </c>
    </row>
    <row r="657" customFormat="false" ht="15" hidden="false" customHeight="false" outlineLevel="0" collapsed="false">
      <c r="A657" s="27" t="s">
        <v>803</v>
      </c>
      <c r="B657" s="56" t="s">
        <v>793</v>
      </c>
      <c r="C657" s="57" t="n">
        <f aca="false">P657</f>
        <v>106279.069442647</v>
      </c>
      <c r="D657" s="57" t="n">
        <f aca="false">AB657</f>
        <v>91720.4924380466</v>
      </c>
      <c r="E657" s="70" t="n">
        <f aca="false">E33+E119+E162+E205+E291+E375+E417+E459+E543+E585+E627</f>
        <v>33848.6205</v>
      </c>
      <c r="F657" s="70" t="n">
        <f aca="false">F33+F119+F162+F205+F291+F375+F417+F459+F543+F585+F627</f>
        <v>40954.2335</v>
      </c>
      <c r="G657" s="70" t="n">
        <f aca="false">G33+G119+G162+G205+G291+G375+G417+G459+G543+G585+G627</f>
        <v>48497.613</v>
      </c>
      <c r="H657" s="70" t="n">
        <f aca="false">H33+H119+H162+H205+H291+H375+H417+H459+H543+H585+H627</f>
        <v>27766.7735</v>
      </c>
      <c r="I657" s="70" t="n">
        <f aca="false">I33+I119+I162+I205+I291+I375+I417+I459+I543+I585+I627</f>
        <v>33235.5975</v>
      </c>
      <c r="J657" s="70" t="n">
        <f aca="false">J33+J119+J162+J205+J291+J375+J417+J459+J543+J585+J627</f>
        <v>40210.7855</v>
      </c>
      <c r="K657" s="70" t="n">
        <f aca="false">K33+K119+K162+K205+K291+K375+K417+K459+K543+K585+K627</f>
        <v>50668.043</v>
      </c>
      <c r="L657" s="70" t="n">
        <f aca="false">L33+L119+L162+L205+L291+L375+L417+L459+L543+L585+L627</f>
        <v>65048.1697</v>
      </c>
      <c r="M657" s="70" t="n">
        <f aca="false">M33+M119+M162+M205+M291+M375+M417+M459+M543+M585+M627</f>
        <v>78761.6779545401</v>
      </c>
      <c r="N657" s="70" t="n">
        <f aca="false">N33+N119+N162+N205+N291+N375+N417+N459+N543+N585+N627</f>
        <v>98581.2258080907</v>
      </c>
      <c r="O657" s="70" t="n">
        <f aca="false">O33+O119+O162+O205+O291+O375+O417+O459+O543+O585+O627</f>
        <v>119313.767432725</v>
      </c>
      <c r="P657" s="70" t="n">
        <f aca="false">P33+P119+P162+P205+P291+P375+P417+P459+P543+P585+P627</f>
        <v>106279.069442647</v>
      </c>
      <c r="Q657" s="70" t="n">
        <f aca="false">Q33+Q119+Q162+Q205+Q291+Q375+Q417+Q459+Q543+Q585+Q627</f>
        <v>113056.018408787</v>
      </c>
      <c r="R657" s="70" t="n">
        <f aca="false">R33+R119+R162+R205+R291+R375+R417+R459+R543+R585+R627</f>
        <v>130187.530716961</v>
      </c>
      <c r="S657" s="70" t="n">
        <f aca="false">S33+S119+S162+S205+S291+S375+S417+S459+S543+S585+S627</f>
        <v>130523.24291088</v>
      </c>
      <c r="T657" s="70" t="n">
        <f aca="false">T33+T119+T162+T205+T291+T375+T417+T459+T543+T585+T627</f>
        <v>87765.46875</v>
      </c>
      <c r="U657" s="70" t="n">
        <f aca="false">U33+U119+U162+U205+U291+U375+U417+U459+U543+U585+U627</f>
        <v>93817.1940104167</v>
      </c>
      <c r="V657" s="70" t="n">
        <f aca="false">V33+V119+V162+V205+V291+V375+V417+V459+V543+V585+V627</f>
        <v>101927.708333333</v>
      </c>
      <c r="W657" s="70" t="n">
        <f aca="false">W33+W119+W162+W205+W291+W375+W417+W459+W543+W585+W627</f>
        <v>111624.22265625</v>
      </c>
      <c r="X657" s="70" t="n">
        <f aca="false">X33+X119+X162+X205+X291+X375+X417+X459+X543+X585+X627</f>
        <v>121857.947916667</v>
      </c>
      <c r="Y657" s="70" t="n">
        <f aca="false">Y33+Y119+Y162+Y205+Y291+Y375+Y417+Y459+Y543+Y585+Y627</f>
        <v>131419.651903395</v>
      </c>
      <c r="Z657" s="70" t="n">
        <f aca="false">Z33+Z119+Z162+Z205+Z291+Z375+Z417+Z459+Z543+Z585+Z627</f>
        <v>117032.445244169</v>
      </c>
      <c r="AA657" s="70" t="n">
        <f aca="false">AA33+AA119+AA162+AA205+AA291+AA375+AA417+AA459+AA543+AA585+AA627</f>
        <v>118319.976311953</v>
      </c>
      <c r="AB657" s="70" t="n">
        <f aca="false">AB33+AB119+AB162+AB205+AB291+AB375+AB417+AB459+AB543+AB585+AB627</f>
        <v>91720.4924380466</v>
      </c>
    </row>
    <row r="658" customFormat="false" ht="15" hidden="false" customHeight="false" outlineLevel="0" collapsed="false">
      <c r="A658" s="27" t="s">
        <v>804</v>
      </c>
      <c r="B658" s="56" t="s">
        <v>793</v>
      </c>
      <c r="C658" s="57" t="n">
        <f aca="false">SUM(E658:P658)</f>
        <v>81180.391442647</v>
      </c>
      <c r="D658" s="57" t="n">
        <f aca="false">SUM(Q658:AB658)</f>
        <v>-14558.5770046003</v>
      </c>
      <c r="E658" s="70" t="n">
        <f aca="false">E34+E120+E163+E206+E292+E376+E418+E460+E544+E586+E628</f>
        <v>8749.94250000001</v>
      </c>
      <c r="F658" s="70" t="n">
        <f aca="false">F34+F120+F163+F206+F292+F376+F418+F460+F544+F586+F628</f>
        <v>7105.613</v>
      </c>
      <c r="G658" s="70" t="n">
        <f aca="false">G34+G120+G163+G206+G292+G376+G418+G460+G544+G586+G628</f>
        <v>7543.3795</v>
      </c>
      <c r="H658" s="70" t="n">
        <f aca="false">H34+H120+H163+H206+H292+H376+H418+H460+H544+H586+H628</f>
        <v>-20730.8395</v>
      </c>
      <c r="I658" s="70" t="n">
        <f aca="false">I34+I120+I163+I206+I292+I376+I418+I460+I544+I586+I628</f>
        <v>5468.824</v>
      </c>
      <c r="J658" s="70" t="n">
        <f aca="false">J34+J120+J163+J206+J292+J376+J418+J460+J544+J586+J628</f>
        <v>6975.188</v>
      </c>
      <c r="K658" s="70" t="n">
        <f aca="false">K34+K120+K163+K206+K292+K376+K418+K460+K544+K586+K628</f>
        <v>10457.2575</v>
      </c>
      <c r="L658" s="70" t="n">
        <f aca="false">L34+L120+L163+L206+L292+L376+L418+L460+L544+L586+L628</f>
        <v>14380.1267</v>
      </c>
      <c r="M658" s="70" t="n">
        <f aca="false">M34+M120+M163+M206+M292+M376+M418+M460+M544+M586+M628</f>
        <v>13713.5082545401</v>
      </c>
      <c r="N658" s="70" t="n">
        <f aca="false">N34+N120+N163+N206+N292+N376+N418+N460+N544+N586+N628</f>
        <v>19819.5478535506</v>
      </c>
      <c r="O658" s="70" t="n">
        <f aca="false">O34+O120+O163+O206+O292+O376+O418+O460+O544+O586+O628</f>
        <v>20732.5416246346</v>
      </c>
      <c r="P658" s="70" t="n">
        <f aca="false">P34+P120+P163+P206+P292+P376+P418+P460+P544+P586+P628</f>
        <v>-13034.6979900784</v>
      </c>
      <c r="Q658" s="70" t="n">
        <f aca="false">Q34+Q120+Q163+Q206+Q292+Q376+Q418+Q460+Q544+Q586+Q628</f>
        <v>6776.94896613978</v>
      </c>
      <c r="R658" s="70" t="n">
        <f aca="false">R34+R120+R163+R206+R292+R376+R418+R460+R544+R586+R628</f>
        <v>17131.5123081742</v>
      </c>
      <c r="S658" s="70" t="n">
        <f aca="false">S34+S120+S163+S206+S292+S376+S418+S460+S544+S586+S628</f>
        <v>335.712193918649</v>
      </c>
      <c r="T658" s="70" t="n">
        <f aca="false">T34+T120+T163+T206+T292+T376+T418+T460+T544+T586+T628</f>
        <v>-42757.7741608796</v>
      </c>
      <c r="U658" s="70" t="n">
        <f aca="false">U34+U120+U163+U206+U292+U376+U418+U460+U544+U586+U628</f>
        <v>6051.72526041667</v>
      </c>
      <c r="V658" s="70" t="n">
        <f aca="false">V34+V120+V163+V206+V292+V376+V418+V460+V544+V586+V628</f>
        <v>8110.51432291667</v>
      </c>
      <c r="W658" s="70" t="n">
        <f aca="false">W34+W120+W163+W206+W292+W376+W418+W460+W544+W586+W628</f>
        <v>9696.51432291667</v>
      </c>
      <c r="X658" s="70" t="n">
        <f aca="false">X34+X120+X163+X206+X292+X376+X418+X460+X544+X586+X628</f>
        <v>10233.7252604167</v>
      </c>
      <c r="Y658" s="70" t="n">
        <f aca="false">Y34+Y120+Y163+Y206+Y292+Y376+Y418+Y460+Y544+Y586+Y628</f>
        <v>9561.70398672862</v>
      </c>
      <c r="Z658" s="70" t="n">
        <f aca="false">Z34+Z120+Z163+Z206+Z292+Z376+Z418+Z460+Z544+Z586+Z628</f>
        <v>-14387.2066592262</v>
      </c>
      <c r="AA658" s="70" t="n">
        <f aca="false">AA34+AA120+AA163+AA206+AA292+AA376+AA418+AA460+AA544+AA586+AA628</f>
        <v>1287.53106778426</v>
      </c>
      <c r="AB658" s="70" t="n">
        <f aca="false">AB34+AB120+AB163+AB206+AB292+AB376+AB418+AB460+AB544+AB586+AB628</f>
        <v>-26599.4838739067</v>
      </c>
    </row>
    <row r="659" customFormat="false" ht="15" hidden="false" customHeight="false" outlineLevel="0" collapsed="false">
      <c r="A659" s="27" t="s">
        <v>805</v>
      </c>
      <c r="B659" s="56" t="s">
        <v>793</v>
      </c>
      <c r="C659" s="57" t="n">
        <f aca="false">P659</f>
        <v>59364.1085106482</v>
      </c>
      <c r="D659" s="57" t="n">
        <f aca="false">AB659</f>
        <v>48667.9480754373</v>
      </c>
      <c r="E659" s="70" t="n">
        <f aca="false">E44+E130+E173+E216+E302+E386+E428+E470+E554+E596+E638</f>
        <v>16877.8665</v>
      </c>
      <c r="F659" s="70" t="n">
        <f aca="false">F44+F130+F173+F216+F302+F386+F428+F470+F554+F596+F638</f>
        <v>19478.995</v>
      </c>
      <c r="G659" s="70" t="n">
        <f aca="false">G44+G130+G173+G216+G302+G386+G428+G470+G554+G596+G638</f>
        <v>21658.0825</v>
      </c>
      <c r="H659" s="70" t="n">
        <f aca="false">H44+H130+H173+H216+H302+H386+H428+H470+H554+H596+H638</f>
        <v>13528.0605</v>
      </c>
      <c r="I659" s="70" t="n">
        <f aca="false">I44+I130+I173+I216+I302+I386+I428+I470+I554+I596+I638</f>
        <v>17060.1085</v>
      </c>
      <c r="J659" s="70" t="n">
        <f aca="false">J44+J130+J173+J216+J302+J386+J428+J470+J554+J596+J638</f>
        <v>22225.2605</v>
      </c>
      <c r="K659" s="70" t="n">
        <f aca="false">K44+K130+K173+K216+K302+K386+K428+K470+K554+K596+K638</f>
        <v>29463.6165</v>
      </c>
      <c r="L659" s="70" t="n">
        <f aca="false">L44+L130+L173+L216+L302+L386+L428+L470+L554+L596+L638</f>
        <v>37351.8195</v>
      </c>
      <c r="M659" s="70" t="n">
        <f aca="false">M44+M130+M173+M216+M302+M386+M428+M470+M554+M596+M638</f>
        <v>47037.636650711</v>
      </c>
      <c r="N659" s="70" t="n">
        <f aca="false">N44+N130+N173+N216+N302+N386+N428+N470+N554+N596+N638</f>
        <v>56964.4276241402</v>
      </c>
      <c r="O659" s="70" t="n">
        <f aca="false">O44+O130+O173+O216+O302+O386+O428+O470+O554+O596+O638</f>
        <v>65958.3013462798</v>
      </c>
      <c r="P659" s="70" t="n">
        <f aca="false">P44+P130+P173+P216+P302+P386+P428+P470+P554+P596+P638</f>
        <v>59364.1085106482</v>
      </c>
      <c r="Q659" s="70" t="n">
        <f aca="false">Q44+Q130+Q173+Q216+Q302+Q386+Q428+Q470+Q554+Q596+Q638</f>
        <v>63289.6403101852</v>
      </c>
      <c r="R659" s="70" t="n">
        <f aca="false">R44+R130+R173+R216+R302+R386+R428+R470+R554+R596+R638</f>
        <v>70021.0456458333</v>
      </c>
      <c r="S659" s="70" t="n">
        <f aca="false">S44+S130+S173+S216+S302+S386+S428+S470+S554+S596+S638</f>
        <v>63790.191125</v>
      </c>
      <c r="T659" s="70" t="n">
        <f aca="false">T44+T130+T173+T216+T302+T386+T428+T470+T554+T596+T638</f>
        <v>45227.1121990741</v>
      </c>
      <c r="U659" s="70" t="n">
        <f aca="false">U44+U130+U173+U216+U302+U386+U428+U470+U554+U596+U638</f>
        <v>49357.6098842593</v>
      </c>
      <c r="V659" s="70" t="n">
        <f aca="false">V44+V130+V173+V216+V302+V386+V428+V470+V554+V596+V638</f>
        <v>54360.463125</v>
      </c>
      <c r="W659" s="70" t="n">
        <f aca="false">W44+W130+W173+W216+W302+W386+W428+W470+W554+W596+W638</f>
        <v>59594.9913657407</v>
      </c>
      <c r="X659" s="70" t="n">
        <f aca="false">X44+X130+X173+X216+X302+X386+X428+X470+X554+X596+X638</f>
        <v>64351.5808147743</v>
      </c>
      <c r="Y659" s="70" t="n">
        <f aca="false">Y44+Y130+Y173+Y216+Y302+Y386+Y428+Y470+Y554+Y596+Y638</f>
        <v>68028.3500339377</v>
      </c>
      <c r="Z659" s="70" t="n">
        <f aca="false">Z44+Z130+Z173+Z216+Z302+Z386+Z428+Z470+Z554+Z596+Z638</f>
        <v>59635.8175983965</v>
      </c>
      <c r="AA659" s="70" t="n">
        <f aca="false">AA44+AA130+AA173+AA216+AA302+AA386+AA428+AA470+AA554+AA596+AA638</f>
        <v>60581.6356047285</v>
      </c>
      <c r="AB659" s="70" t="n">
        <f aca="false">AB44+AB130+AB173+AB216+AB302+AB386+AB428+AB470+AB554+AB596+AB638</f>
        <v>48667.9480754373</v>
      </c>
    </row>
    <row r="660" customFormat="false" ht="15" hidden="false" customHeight="false" outlineLevel="0" collapsed="false">
      <c r="A660" s="27" t="s">
        <v>771</v>
      </c>
      <c r="B660" s="56" t="s">
        <v>793</v>
      </c>
      <c r="C660" s="57" t="n">
        <f aca="false">SUM(E660:P660)</f>
        <v>45583.8050106481</v>
      </c>
      <c r="D660" s="57" t="n">
        <f aca="false">SUM(Q660:AB660)</f>
        <v>-10696.1604352108</v>
      </c>
      <c r="E660" s="70" t="n">
        <f aca="false">E45+E131+E174+E217+E303+E387+E429+E471+E555+E597+E639</f>
        <v>3097.563</v>
      </c>
      <c r="F660" s="70" t="n">
        <f aca="false">F45+F131+F174+F217+F303+F387+F429+F471+F555+F597+F639</f>
        <v>2601.1285</v>
      </c>
      <c r="G660" s="70" t="n">
        <f aca="false">G45+G131+G174+G217+G303+G387+G429+G471+G555+G597+G639</f>
        <v>2179.0875</v>
      </c>
      <c r="H660" s="70" t="n">
        <f aca="false">H45+H131+H174+H217+H303+H387+H429+H471+H555+H597+H639</f>
        <v>-8130.022</v>
      </c>
      <c r="I660" s="70" t="n">
        <f aca="false">I45+I131+I174+I217+I303+I387+I429+I471+I555+I597+I639</f>
        <v>3532.048</v>
      </c>
      <c r="J660" s="70" t="n">
        <f aca="false">J45+J131+J174+J217+J303+J387+J429+J471+J555+J597+J639</f>
        <v>5165.152</v>
      </c>
      <c r="K660" s="70" t="n">
        <f aca="false">K45+K131+K174+K217+K303+K387+K429+K471+K555+K597+K639</f>
        <v>7238.356</v>
      </c>
      <c r="L660" s="70" t="n">
        <f aca="false">L45+L131+L174+L217+L303+L387+L429+L471+L555+L597+L639</f>
        <v>7888.203</v>
      </c>
      <c r="M660" s="70" t="n">
        <f aca="false">M45+M131+M174+M217+M303+M387+M429+M471+M555+M597+M639</f>
        <v>9685.81715071097</v>
      </c>
      <c r="N660" s="70" t="n">
        <f aca="false">N45+N131+N174+N217+N303+N387+N429+N471+N555+N597+N639</f>
        <v>9926.79097342924</v>
      </c>
      <c r="O660" s="70" t="n">
        <f aca="false">O45+O131+O174+O217+O303+O387+O429+O471+O555+O597+O639</f>
        <v>8993.87372213955</v>
      </c>
      <c r="P660" s="70" t="n">
        <f aca="false">P45+P131+P174+P217+P303+P387+P429+P471+P555+P597+P639</f>
        <v>-6594.19283563162</v>
      </c>
      <c r="Q660" s="70" t="n">
        <f aca="false">Q45+Q131+Q174+Q217+Q303+Q387+Q429+Q471+Q555+Q597+Q639</f>
        <v>3925.53179953704</v>
      </c>
      <c r="R660" s="70" t="n">
        <f aca="false">R45+R131+R174+R217+R303+R387+R429+R471+R555+R597+R639</f>
        <v>6731.40533564814</v>
      </c>
      <c r="S660" s="70" t="n">
        <f aca="false">S45+S131+S174+S217+S303+S387+S429+S471+S555+S597+S639</f>
        <v>-6230.85452083333</v>
      </c>
      <c r="T660" s="70" t="n">
        <f aca="false">T45+T131+T174+T217+T303+T387+T429+T471+T555+T597+T639</f>
        <v>-18563.0789259259</v>
      </c>
      <c r="U660" s="70" t="n">
        <f aca="false">U45+U131+U174+U217+U303+U387+U429+U471+U555+U597+U639</f>
        <v>4130.49768518519</v>
      </c>
      <c r="V660" s="70" t="n">
        <f aca="false">V45+V131+V174+V217+V303+V387+V429+V471+V555+V597+V639</f>
        <v>5002.85324074074</v>
      </c>
      <c r="W660" s="70" t="n">
        <f aca="false">W45+W131+W174+W217+W303+W387+W429+W471+W555+W597+W639</f>
        <v>5234.52824074074</v>
      </c>
      <c r="X660" s="70" t="n">
        <f aca="false">X45+X131+X174+X217+X303+X387+X429+X471+X555+X597+X639</f>
        <v>4756.58944903358</v>
      </c>
      <c r="Y660" s="70" t="n">
        <f aca="false">Y45+Y131+Y174+Y217+Y303+Y387+Y429+Y471+Y555+Y597+Y639</f>
        <v>3676.76921916336</v>
      </c>
      <c r="Z660" s="70" t="n">
        <f aca="false">Z45+Z131+Z174+Z217+Z303+Z387+Z429+Z471+Z555+Z597+Z639</f>
        <v>-8392.53243554118</v>
      </c>
      <c r="AA660" s="70" t="n">
        <f aca="false">AA45+AA131+AA174+AA217+AA303+AA387+AA429+AA471+AA555+AA597+AA639</f>
        <v>945.818006331997</v>
      </c>
      <c r="AB660" s="70" t="n">
        <f aca="false">AB45+AB131+AB174+AB217+AB303+AB387+AB429+AB471+AB555+AB597+AB639</f>
        <v>-11913.6875292912</v>
      </c>
    </row>
    <row r="661" customFormat="false" ht="15" hidden="false" customHeight="false" outlineLevel="0" collapsed="false">
      <c r="A661" s="27" t="s">
        <v>806</v>
      </c>
      <c r="B661" s="56" t="s">
        <v>793</v>
      </c>
      <c r="C661" s="57" t="n">
        <f aca="false">SUM(E661:P661)</f>
        <v>2998676.80034662</v>
      </c>
      <c r="D661" s="57" t="n">
        <f aca="false">SUM(Q661:AB661)</f>
        <v>2729611.42397626</v>
      </c>
      <c r="E661" s="70" t="n">
        <f aca="false">E35+E121+E164+E207+E293+E377+E419+E461+E545+E587+E629</f>
        <v>166248.9075</v>
      </c>
      <c r="F661" s="70" t="n">
        <f aca="false">F35+F121+F164+F207+F293+F377+F419+F461+F545+F587+F629</f>
        <v>135006.647</v>
      </c>
      <c r="G661" s="70" t="n">
        <f aca="false">G35+G121+G164+G207+G293+G377+G419+G461+G545+G587+G629</f>
        <v>143324.2105</v>
      </c>
      <c r="H661" s="70" t="n">
        <f aca="false">H35+H121+H164+H207+H293+H377+H419+H461+H545+H587+H629</f>
        <v>121614.0495</v>
      </c>
      <c r="I661" s="70" t="n">
        <f aca="false">I35+I121+I164+I207+I293+I377+I419+I461+I545+I587+I629</f>
        <v>110257.656</v>
      </c>
      <c r="J661" s="70" t="n">
        <f aca="false">J35+J121+J164+J207+J293+J377+J419+J461+J545+J587+J629</f>
        <v>132528.572</v>
      </c>
      <c r="K661" s="70" t="n">
        <f aca="false">K35+K121+K164+K207+K293+K377+K419+K461+K545+K587+K629</f>
        <v>210754.2325</v>
      </c>
      <c r="L661" s="70" t="n">
        <f aca="false">L35+L121+L164+L207+L293+L377+L419+L461+L545+L587+L629</f>
        <v>309491.1233</v>
      </c>
      <c r="M661" s="70" t="n">
        <f aca="false">M35+M121+M164+M207+M293+M377+M419+M461+M545+M587+M629</f>
        <v>310166.49398834</v>
      </c>
      <c r="N661" s="70" t="n">
        <f aca="false">N35+N121+N164+N207+N293+N377+N419+N461+N545+N587+N629</f>
        <v>440210.639070364</v>
      </c>
      <c r="O661" s="70" t="n">
        <f aca="false">O35+O121+O164+O207+O293+O377+O419+O461+O545+O587+O629</f>
        <v>459527.587612522</v>
      </c>
      <c r="P661" s="70" t="n">
        <f aca="false">P35+P121+P164+P207+P293+P377+P419+P461+P545+P587+P629</f>
        <v>459546.681375399</v>
      </c>
      <c r="Q661" s="70" t="n">
        <f aca="false">Q35+Q121+Q164+Q207+Q293+Q377+Q419+Q461+Q545+Q587+Q629</f>
        <v>381622.912870813</v>
      </c>
      <c r="R661" s="70" t="n">
        <f aca="false">R35+R121+R164+R207+R293+R377+R419+R461+R545+R587+R629</f>
        <v>361827.848581584</v>
      </c>
      <c r="S661" s="70" t="n">
        <f aca="false">S35+S121+S164+S207+S293+S377+S419+S461+S545+S587+S629</f>
        <v>313956.671507691</v>
      </c>
      <c r="T661" s="70" t="n">
        <f aca="false">T35+T121+T164+T207+T293+T377+T419+T461+T545+T587+T629</f>
        <v>224452.290943287</v>
      </c>
      <c r="U661" s="70" t="n">
        <f aca="false">U35+U121+U164+U207+U293+U377+U419+U461+U545+U587+U629</f>
        <v>126538.335503472</v>
      </c>
      <c r="V661" s="70" t="n">
        <f aca="false">V35+V121+V164+V207+V293+V377+V419+V461+V545+V587+V629</f>
        <v>182988.661024306</v>
      </c>
      <c r="W661" s="70" t="n">
        <f aca="false">W35+W121+W164+W207+W293+W377+W419+W461+W545+W587+W629</f>
        <v>221789.327690972</v>
      </c>
      <c r="X661" s="70" t="n">
        <f aca="false">X35+X121+X164+X207+X293+X377+X419+X461+X545+X587+X629</f>
        <v>231996.335503472</v>
      </c>
      <c r="Y661" s="70" t="n">
        <f aca="false">Y35+Y121+Y164+Y207+Y293+Y377+Y419+Y461+Y545+Y587+Y629</f>
        <v>210561.264636733</v>
      </c>
      <c r="Z661" s="70" t="n">
        <f aca="false">Z35+Z121+Z164+Z207+Z293+Z377+Z419+Z461+Z545+Z587+Z629</f>
        <v>184517.379030258</v>
      </c>
      <c r="AA661" s="70" t="n">
        <f aca="false">AA35+AA121+AA164+AA207+AA293+AA377+AA419+AA461+AA545+AA587+AA629</f>
        <v>129144.340287901</v>
      </c>
      <c r="AB661" s="70" t="n">
        <f aca="false">AB35+AB121+AB164+AB207+AB293+AB377+AB419+AB461+AB545+AB587+AB629</f>
        <v>160216.056395773</v>
      </c>
    </row>
    <row r="662" customFormat="false" ht="15" hidden="false" customHeight="false" outlineLevel="0" collapsed="false">
      <c r="A662" s="27" t="s">
        <v>807</v>
      </c>
      <c r="B662" s="56" t="s">
        <v>793</v>
      </c>
      <c r="C662" s="57" t="n">
        <f aca="false">SUM(E662:P662)</f>
        <v>404821.368046794</v>
      </c>
      <c r="D662" s="57" t="n">
        <f aca="false">SUM(Q662:AB662)</f>
        <v>368497.542236795</v>
      </c>
      <c r="E662" s="70" t="n">
        <f aca="false">E36+E122+E165+E208+E294+E378+E420+E462+E546+E588+E630</f>
        <v>22443.6025125</v>
      </c>
      <c r="F662" s="70" t="n">
        <f aca="false">F36+F122+F165+F208+F294+F378+F420+F462+F546+F588+F630</f>
        <v>18225.897345</v>
      </c>
      <c r="G662" s="70" t="n">
        <f aca="false">G36+G122+G165+G208+G294+G378+G420+G462+G546+G588+G630</f>
        <v>19348.7684175</v>
      </c>
      <c r="H662" s="70" t="n">
        <f aca="false">H36+H122+H165+H208+H294+H378+H420+H462+H546+H588+H630</f>
        <v>16417.8966825</v>
      </c>
      <c r="I662" s="70" t="n">
        <f aca="false">I36+I122+I165+I208+I294+I378+I420+I462+I546+I588+I630</f>
        <v>14884.78356</v>
      </c>
      <c r="J662" s="70" t="n">
        <f aca="false">J36+J122+J165+J208+J294+J378+J420+J462+J546+J588+J630</f>
        <v>17891.35722</v>
      </c>
      <c r="K662" s="70" t="n">
        <f aca="false">K36+K122+K165+K208+K294+K378+K420+K462+K546+K588+K630</f>
        <v>28451.8213875</v>
      </c>
      <c r="L662" s="70" t="n">
        <f aca="false">L36+L122+L165+L208+L294+L378+L420+L462+L546+L588+L630</f>
        <v>41781.3016455</v>
      </c>
      <c r="M662" s="70" t="n">
        <f aca="false">M36+M122+M165+M208+M294+M378+M420+M462+M546+M588+M630</f>
        <v>41872.4766884259</v>
      </c>
      <c r="N662" s="70" t="n">
        <f aca="false">N36+N122+N165+N208+N294+N378+N420+N462+N546+N588+N630</f>
        <v>59428.4362744991</v>
      </c>
      <c r="O662" s="70" t="n">
        <f aca="false">O36+O122+O165+O208+O294+O378+O420+O462+O546+O588+O630</f>
        <v>62036.2243276905</v>
      </c>
      <c r="P662" s="70" t="n">
        <f aca="false">P36+P122+P165+P208+P294+P378+P420+P462+P546+P588+P630</f>
        <v>62038.8019856789</v>
      </c>
      <c r="Q662" s="70" t="n">
        <f aca="false">Q36+Q122+Q165+Q208+Q294+Q378+Q420+Q462+Q546+Q588+Q630</f>
        <v>51519.0932375598</v>
      </c>
      <c r="R662" s="70" t="n">
        <f aca="false">R36+R122+R165+R208+R294+R378+R420+R462+R546+R588+R630</f>
        <v>48846.7595585139</v>
      </c>
      <c r="S662" s="70" t="n">
        <f aca="false">S36+S122+S165+S208+S294+S378+S420+S462+S546+S588+S630</f>
        <v>42384.1506535382</v>
      </c>
      <c r="T662" s="70" t="n">
        <f aca="false">T36+T122+T165+T208+T294+T378+T420+T462+T546+T588+T630</f>
        <v>30301.0592773438</v>
      </c>
      <c r="U662" s="70" t="n">
        <f aca="false">U36+U122+U165+U208+U294+U378+U420+U462+U546+U588+U630</f>
        <v>17082.6752929688</v>
      </c>
      <c r="V662" s="70" t="n">
        <f aca="false">V36+V122+V165+V208+V294+V378+V420+V462+V546+V588+V630</f>
        <v>24703.4692382813</v>
      </c>
      <c r="W662" s="70" t="n">
        <f aca="false">W36+W122+W165+W208+W294+W378+W420+W462+W546+W588+W630</f>
        <v>29941.5592382813</v>
      </c>
      <c r="X662" s="70" t="n">
        <f aca="false">X36+X122+X165+X208+X294+X378+X420+X462+X546+X588+X630</f>
        <v>31319.5052929688</v>
      </c>
      <c r="Y662" s="70" t="n">
        <f aca="false">Y36+Y122+Y165+Y208+Y294+Y378+Y420+Y462+Y546+Y588+Y630</f>
        <v>28425.7707259589</v>
      </c>
      <c r="Z662" s="70" t="n">
        <f aca="false">Z36+Z122+Z165+Z208+Z294+Z378+Z420+Z462+Z546+Z588+Z630</f>
        <v>24909.8461690848</v>
      </c>
      <c r="AA662" s="70" t="n">
        <f aca="false">AA36+AA122+AA165+AA208+AA294+AA378+AA420+AA462+AA546+AA588+AA630</f>
        <v>17434.4859388666</v>
      </c>
      <c r="AB662" s="70" t="n">
        <f aca="false">AB36+AB122+AB165+AB208+AB294+AB378+AB420+AB462+AB546+AB588+AB630</f>
        <v>21629.1676134293</v>
      </c>
    </row>
    <row r="663" customFormat="false" ht="15" hidden="false" customHeight="false" outlineLevel="0" collapsed="false">
      <c r="A663" s="27" t="s">
        <v>760</v>
      </c>
      <c r="B663" s="56" t="s">
        <v>793</v>
      </c>
      <c r="C663" s="57" t="n">
        <f aca="false">SUM(E663:P663)</f>
        <v>3403498.16839342</v>
      </c>
      <c r="D663" s="57" t="n">
        <f aca="false">SUM(Q663:AB663)</f>
        <v>3098108.96621306</v>
      </c>
      <c r="E663" s="70" t="n">
        <f aca="false">E37+E123+E166+E209+E295+E379+E421+E463+E547+E589+E631</f>
        <v>188692.5100125</v>
      </c>
      <c r="F663" s="70" t="n">
        <f aca="false">F37+F123+F166+F209+F295+F379+F421+F463+F547+F589+F631</f>
        <v>153232.544345</v>
      </c>
      <c r="G663" s="70" t="n">
        <f aca="false">G37+G123+G166+G209+G295+G379+G421+G463+G547+G589+G631</f>
        <v>162672.9789175</v>
      </c>
      <c r="H663" s="70" t="n">
        <f aca="false">H37+H123+H166+H209+H295+H379+H421+H463+H547+H589+H631</f>
        <v>138031.9461825</v>
      </c>
      <c r="I663" s="70" t="n">
        <f aca="false">I37+I123+I166+I209+I295+I379+I421+I463+I547+I589+I631</f>
        <v>125142.43956</v>
      </c>
      <c r="J663" s="70" t="n">
        <f aca="false">J37+J123+J166+J209+J295+J379+J421+J463+J547+J589+J631</f>
        <v>150419.92922</v>
      </c>
      <c r="K663" s="70" t="n">
        <f aca="false">K37+K123+K166+K209+K295+K379+K421+K463+K547+K589+K631</f>
        <v>239206.0538875</v>
      </c>
      <c r="L663" s="70" t="n">
        <f aca="false">L37+L123+L166+L209+L295+L379+L421+L463+L547+L589+L631</f>
        <v>351272.4249455</v>
      </c>
      <c r="M663" s="70" t="n">
        <f aca="false">M37+M123+M166+M209+M295+M379+M421+M463+M547+M589+M631</f>
        <v>352038.970676766</v>
      </c>
      <c r="N663" s="70" t="n">
        <f aca="false">N37+N123+N166+N209+N295+N379+N421+N463+N547+N589+N631</f>
        <v>499639.075344863</v>
      </c>
      <c r="O663" s="70" t="n">
        <f aca="false">O37+O123+O166+O209+O295+O379+O421+O463+O547+O589+O631</f>
        <v>521563.811940212</v>
      </c>
      <c r="P663" s="70" t="n">
        <f aca="false">P37+P123+P166+P209+P295+P379+P421+P463+P547+P589+P631</f>
        <v>521585.483361078</v>
      </c>
      <c r="Q663" s="70" t="n">
        <f aca="false">Q37+Q123+Q166+Q209+Q295+Q379+Q421+Q463+Q547+Q589+Q631</f>
        <v>433142.006108373</v>
      </c>
      <c r="R663" s="70" t="n">
        <f aca="false">R37+R123+R166+R209+R295+R379+R421+R463+R547+R589+R631</f>
        <v>410674.608140098</v>
      </c>
      <c r="S663" s="70" t="n">
        <f aca="false">S37+S123+S166+S209+S295+S379+S421+S463+S547+S589+S631</f>
        <v>356340.822161229</v>
      </c>
      <c r="T663" s="70" t="n">
        <f aca="false">T37+T123+T166+T209+T295+T379+T421+T463+T547+T589+T631</f>
        <v>254753.350220631</v>
      </c>
      <c r="U663" s="70" t="n">
        <f aca="false">U37+U123+U166+U209+U295+U379+U421+U463+U547+U589+U631</f>
        <v>143621.010796441</v>
      </c>
      <c r="V663" s="70" t="n">
        <f aca="false">V37+V123+V166+V209+V295+V379+V421+V463+V547+V589+V631</f>
        <v>207692.130262587</v>
      </c>
      <c r="W663" s="70" t="n">
        <f aca="false">W37+W123+W166+W209+W295+W379+W421+W463+W547+W589+W631</f>
        <v>251730.886929253</v>
      </c>
      <c r="X663" s="70" t="n">
        <f aca="false">X37+X123+X166+X209+X295+X379+X421+X463+X547+X589+X631</f>
        <v>263315.840796441</v>
      </c>
      <c r="Y663" s="70" t="n">
        <f aca="false">Y37+Y123+Y166+Y209+Y295+Y379+Y421+Y463+Y547+Y589+Y631</f>
        <v>238987.035362692</v>
      </c>
      <c r="Z663" s="70" t="n">
        <f aca="false">Z37+Z123+Z166+Z209+Z295+Z379+Z421+Z463+Z547+Z589+Z631</f>
        <v>209427.225199343</v>
      </c>
      <c r="AA663" s="70" t="n">
        <f aca="false">AA37+AA123+AA166+AA209+AA295+AA379+AA421+AA463+AA547+AA589+AA631</f>
        <v>146578.826226767</v>
      </c>
      <c r="AB663" s="70" t="n">
        <f aca="false">AB37+AB123+AB166+AB209+AB295+AB379+AB421+AB463+AB547+AB589+AB631</f>
        <v>181845.224009202</v>
      </c>
    </row>
    <row r="664" customFormat="false" ht="15" hidden="false" customHeight="false" outlineLevel="0" collapsed="false">
      <c r="A664" s="27" t="s">
        <v>808</v>
      </c>
      <c r="B664" s="56" t="s">
        <v>793</v>
      </c>
      <c r="C664" s="57" t="n">
        <f aca="false">SUM(E664:P664)</f>
        <v>3012018.73096882</v>
      </c>
      <c r="D664" s="57" t="n">
        <f aca="false">SUM(Q664:AB664)</f>
        <v>3507935.76689408</v>
      </c>
      <c r="E664" s="70" t="n">
        <f aca="false">E38+E124+E167+E210+E296+E380+E422+E464+E548+E590+E632</f>
        <v>217597.9</v>
      </c>
      <c r="F664" s="70" t="n">
        <f aca="false">F38+F124+F167+F210+F296+F380+F422+F464+F548+F590+F632</f>
        <v>205867.58</v>
      </c>
      <c r="G664" s="70" t="n">
        <f aca="false">G38+G124+G167+G210+G296+G380+G422+G464+G548+G590+G632</f>
        <v>125893.45</v>
      </c>
      <c r="H664" s="70" t="n">
        <f aca="false">H38+H124+H167+H210+H296+H380+H422+H464+H548+H590+H632</f>
        <v>159514.63</v>
      </c>
      <c r="I664" s="70" t="n">
        <f aca="false">I38+I124+I167+I210+I296+I380+I422+I464+I548+I590+I632</f>
        <v>155797.28</v>
      </c>
      <c r="J664" s="70" t="n">
        <f aca="false">J38+J124+J167+J210+J296+J380+J422+J464+J548+J590+J632</f>
        <v>137038.57</v>
      </c>
      <c r="K664" s="70" t="n">
        <f aca="false">K38+K124+K167+K210+K296+K380+K422+K464+K548+K590+K632</f>
        <v>130050.73</v>
      </c>
      <c r="L664" s="70" t="n">
        <f aca="false">L38+L124+L167+L210+L296+L380+L422+L464+L548+L590+L632</f>
        <v>247704.81</v>
      </c>
      <c r="M664" s="70" t="n">
        <f aca="false">M38+M124+M167+M210+M296+M380+M422+M464+M548+M590+M632</f>
        <v>299690.06347025</v>
      </c>
      <c r="N664" s="70" t="n">
        <f aca="false">N38+N124+N167+N210+N296+N380+N422+N464+N548+N590+N632</f>
        <v>333679.08651129</v>
      </c>
      <c r="O664" s="70" t="n">
        <f aca="false">O38+O124+O167+O210+O296+O380+O422+O464+O548+O590+O632</f>
        <v>480332.000477398</v>
      </c>
      <c r="P664" s="70" t="n">
        <f aca="false">P38+P124+P167+P210+P296+P380+P422+P464+P548+P590+P632</f>
        <v>518852.630509881</v>
      </c>
      <c r="Q664" s="70" t="n">
        <f aca="false">Q38+Q124+Q167+Q210+Q296+Q380+Q422+Q464+Q548+Q590+Q632</f>
        <v>526062.707860096</v>
      </c>
      <c r="R664" s="70" t="n">
        <f aca="false">R38+R124+R167+R210+R296+R380+R422+R464+R548+R590+R632</f>
        <v>446573.679605426</v>
      </c>
      <c r="S664" s="70" t="n">
        <f aca="false">S38+S124+S167+S210+S296+S380+S422+S464+S548+S590+S632</f>
        <v>433060.730635186</v>
      </c>
      <c r="T664" s="70" t="n">
        <f aca="false">T38+T124+T167+T210+T296+T380+T422+T464+T548+T590+T632</f>
        <v>379338.505216853</v>
      </c>
      <c r="U664" s="70" t="n">
        <f aca="false">U38+U124+U167+U210+U296+U380+U422+U464+U548+U590+U632</f>
        <v>281751.340737371</v>
      </c>
      <c r="V664" s="70" t="n">
        <f aca="false">V38+V124+V167+V210+V296+V380+V422+V464+V548+V590+V632</f>
        <v>127718.39968533</v>
      </c>
      <c r="W664" s="70" t="n">
        <f aca="false">W38+W124+W167+W210+W296+W380+W422+W464+W548+W590+W632</f>
        <v>183838.21359592</v>
      </c>
      <c r="X664" s="70" t="n">
        <f aca="false">X38+X124+X167+X210+X296+X380+X422+X464+X548+X590+X632</f>
        <v>239803.92859592</v>
      </c>
      <c r="Y664" s="70" t="n">
        <f aca="false">Y38+Y124+Y167+Y210+Y296+Y380+Y422+Y464+Y548+Y590+Y632</f>
        <v>263315.840796441</v>
      </c>
      <c r="Z664" s="70" t="n">
        <f aca="false">Z38+Z124+Z167+Z210+Z296+Z380+Z422+Z464+Z548+Z590+Z632</f>
        <v>250913.993696025</v>
      </c>
      <c r="AA664" s="70" t="n">
        <f aca="false">AA38+AA124+AA167+AA210+AA296+AA380+AA422+AA464+AA548+AA590+AA632</f>
        <v>222297.622725384</v>
      </c>
      <c r="AB664" s="70" t="n">
        <f aca="false">AB38+AB124+AB167+AB210+AB296+AB380+AB422+AB464+AB548+AB590+AB632</f>
        <v>153260.803744129</v>
      </c>
    </row>
    <row r="665" customFormat="false" ht="15" hidden="false" customHeight="false" outlineLevel="0" collapsed="false">
      <c r="A665" s="27" t="s">
        <v>809</v>
      </c>
      <c r="B665" s="56" t="s">
        <v>793</v>
      </c>
      <c r="C665" s="57" t="n">
        <f aca="false">P665</f>
        <v>611876.1774246</v>
      </c>
      <c r="D665" s="57" t="n">
        <f aca="false">AB665</f>
        <v>202049.376743577</v>
      </c>
      <c r="E665" s="70" t="n">
        <f aca="false">E39+E125+E168+E211+E297+E381+E423+E465+E549+E591+E633</f>
        <v>191491.3500125</v>
      </c>
      <c r="F665" s="70" t="n">
        <f aca="false">F39+F125+F168+F211+F297+F381+F423+F465+F549+F591+F633</f>
        <v>138856.3143575</v>
      </c>
      <c r="G665" s="70" t="n">
        <f aca="false">G39+G125+G168+G211+G297+G381+G423+G465+G549+G591+G633</f>
        <v>175635.843275</v>
      </c>
      <c r="H665" s="70" t="n">
        <f aca="false">H39+H125+H168+H211+H297+H381+H423+H465+H549+H591+H633</f>
        <v>154153.1594575</v>
      </c>
      <c r="I665" s="70" t="n">
        <f aca="false">I39+I125+I168+I211+I297+I381+I423+I465+I549+I591+I633</f>
        <v>123498.3190175</v>
      </c>
      <c r="J665" s="70" t="n">
        <f aca="false">J39+J125+J168+J211+J297+J381+J423+J465+J549+J591+J633</f>
        <v>136879.6782375</v>
      </c>
      <c r="K665" s="70" t="n">
        <f aca="false">K39+K125+K168+K211+K297+K381+K423+K465+K549+K591+K633</f>
        <v>246035.002125</v>
      </c>
      <c r="L665" s="70" t="n">
        <f aca="false">L39+L125+L168+L211+L297+L381+L423+L465+L549+L591+L633</f>
        <v>349602.6170705</v>
      </c>
      <c r="M665" s="70" t="n">
        <f aca="false">M39+M125+M168+M211+M297+M381+M423+M465+M549+M591+M633</f>
        <v>401951.524277016</v>
      </c>
      <c r="N665" s="70" t="n">
        <f aca="false">N39+N125+N168+N211+N297+N381+N423+N465+N549+N591+N633</f>
        <v>567911.513110589</v>
      </c>
      <c r="O665" s="70" t="n">
        <f aca="false">O39+O125+O168+O211+O297+O381+O423+O465+O549+O591+O633</f>
        <v>609143.324573403</v>
      </c>
      <c r="P665" s="70" t="n">
        <f aca="false">P39+P125+P168+P211+P297+P381+P423+P465+P549+P591+P633</f>
        <v>611876.1774246</v>
      </c>
      <c r="Q665" s="70" t="n">
        <f aca="false">Q39+Q125+Q168+Q211+Q297+Q381+Q423+Q465+Q549+Q591+Q633</f>
        <v>518955.475672878</v>
      </c>
      <c r="R665" s="70" t="n">
        <f aca="false">R39+R125+R168+R211+R297+R381+R423+R465+R549+R591+R633</f>
        <v>483056.40420755</v>
      </c>
      <c r="S665" s="70" t="n">
        <f aca="false">S39+S125+S168+S211+S297+S381+S423+S465+S549+S591+S633</f>
        <v>406336.495733593</v>
      </c>
      <c r="T665" s="70" t="n">
        <f aca="false">T39+T125+T168+T211+T297+T381+T423+T465+T549+T591+T633</f>
        <v>281751.340737371</v>
      </c>
      <c r="U665" s="70" t="n">
        <f aca="false">U39+U125+U168+U211+U297+U381+U423+U465+U549+U591+U633</f>
        <v>143621.010796441</v>
      </c>
      <c r="V665" s="70" t="n">
        <f aca="false">V39+V125+V168+V211+V297+V381+V423+V465+V549+V591+V633</f>
        <v>223594.741373698</v>
      </c>
      <c r="W665" s="70" t="n">
        <f aca="false">W39+W125+W168+W211+W297+W381+W423+W465+W549+W591+W633</f>
        <v>291487.414707031</v>
      </c>
      <c r="X665" s="70" t="n">
        <f aca="false">X39+X125+X168+X211+X297+X381+X423+X465+X549+X591+X633</f>
        <v>314999.326907552</v>
      </c>
      <c r="Y665" s="70" t="n">
        <f aca="false">Y39+Y125+Y168+Y211+Y297+Y381+Y423+Y465+Y549+Y591+Y633</f>
        <v>290670.521473803</v>
      </c>
      <c r="Z665" s="70" t="n">
        <f aca="false">Z39+Z125+Z168+Z211+Z297+Z381+Z423+Z465+Z549+Z591+Z633</f>
        <v>249183.752977121</v>
      </c>
      <c r="AA665" s="70" t="n">
        <f aca="false">AA39+AA125+AA168+AA211+AA297+AA381+AA423+AA465+AA549+AA591+AA633</f>
        <v>173464.956478504</v>
      </c>
      <c r="AB665" s="70" t="n">
        <f aca="false">AB39+AB125+AB168+AB211+AB297+AB381+AB423+AB465+AB549+AB591+AB633</f>
        <v>202049.376743577</v>
      </c>
    </row>
    <row r="666" customFormat="false" ht="15" hidden="false" customHeight="false" outlineLevel="0" collapsed="false">
      <c r="A666" s="27" t="s">
        <v>810</v>
      </c>
      <c r="B666" s="56" t="s">
        <v>793</v>
      </c>
      <c r="C666" s="57" t="n">
        <f aca="false">P666</f>
        <v>236000</v>
      </c>
      <c r="D666" s="57" t="n">
        <f aca="false">AB666</f>
        <v>70800</v>
      </c>
      <c r="E666" s="70" t="n">
        <f aca="false">E46+E132+E175+E218+E304+E388+E430+E472+E556+E598+E640</f>
        <v>98000</v>
      </c>
      <c r="F666" s="70" t="n">
        <f aca="false">F46+F132+F175+F218+F304+F388+F430+F472+F556+F598+F640</f>
        <v>216000</v>
      </c>
      <c r="G666" s="70" t="n">
        <f aca="false">G46+G132+G175+G218+G304+G388+G430+G472+G556+G598+G640</f>
        <v>216000</v>
      </c>
      <c r="H666" s="70" t="n">
        <f aca="false">H46+H132+H175+H218+H304+H388+H430+H472+H556+H598+H640</f>
        <v>118000</v>
      </c>
      <c r="I666" s="70" t="n">
        <f aca="false">I46+I132+I175+I218+I304+I388+I430+I472+I556+I598+I640</f>
        <v>212000</v>
      </c>
      <c r="J666" s="70" t="n">
        <f aca="false">J46+J132+J175+J218+J304+J388+J430+J472+J556+J598+J640</f>
        <v>212000</v>
      </c>
      <c r="K666" s="70" t="n">
        <f aca="false">K46+K132+K175+K218+K304+K388+K430+K472+K556+K598+K640</f>
        <v>251000</v>
      </c>
      <c r="L666" s="70" t="n">
        <f aca="false">L46+L132+L175+L218+L304+L388+L430+L472+L556+L598+L640</f>
        <v>315000</v>
      </c>
      <c r="M666" s="70" t="n">
        <f aca="false">M46+M132+M175+M218+M304+M388+M430+M472+M556+M598+M640</f>
        <v>315000</v>
      </c>
      <c r="N666" s="70" t="n">
        <f aca="false">N46+N132+N175+N218+N304+N388+N430+N472+N556+N598+N640</f>
        <v>315000</v>
      </c>
      <c r="O666" s="70" t="n">
        <f aca="false">O46+O132+O175+O218+O304+O388+O430+O472+O556+O598+O640</f>
        <v>354000</v>
      </c>
      <c r="P666" s="70" t="n">
        <f aca="false">P46+P132+P175+P218+P304+P388+P430+P472+P556+P598+P640</f>
        <v>236000</v>
      </c>
      <c r="Q666" s="70" t="n">
        <f aca="false">Q46+Q132+Q175+Q218+Q304+Q388+Q430+Q472+Q556+Q598+Q640</f>
        <v>261750</v>
      </c>
      <c r="R666" s="70" t="n">
        <f aca="false">R46+R132+R175+R218+R304+R388+R430+R472+R556+R598+R640</f>
        <v>261750</v>
      </c>
      <c r="S666" s="70" t="n">
        <f aca="false">S46+S132+S175+S218+S304+S388+S430+S472+S556+S598+S640</f>
        <v>206750</v>
      </c>
      <c r="T666" s="70" t="n">
        <f aca="false">T46+T132+T175+T218+T304+T388+T430+T472+T556+T598+T640</f>
        <v>103750</v>
      </c>
      <c r="U666" s="70" t="n">
        <f aca="false">U46+U132+U175+U218+U304+U388+U430+U472+U556+U598+U640</f>
        <v>121750</v>
      </c>
      <c r="V666" s="70" t="n">
        <f aca="false">V46+V132+V175+V218+V304+V388+V430+V472+V556+V598+V640</f>
        <v>121750</v>
      </c>
      <c r="W666" s="70" t="n">
        <f aca="false">W46+W132+W175+W218+W304+W388+W430+W472+W556+W598+W640</f>
        <v>160150</v>
      </c>
      <c r="X666" s="70" t="n">
        <f aca="false">X46+X132+X175+X218+X304+X388+X430+X472+X556+X598+X640</f>
        <v>192550</v>
      </c>
      <c r="Y666" s="70" t="n">
        <f aca="false">Y46+Y132+Y175+Y218+Y304+Y388+Y430+Y472+Y556+Y598+Y640</f>
        <v>192550</v>
      </c>
      <c r="Z666" s="70" t="n">
        <f aca="false">Z46+Z132+Z175+Z218+Z304+Z388+Z430+Z472+Z556+Z598+Z640</f>
        <v>88800</v>
      </c>
      <c r="AA666" s="70" t="n">
        <f aca="false">AA46+AA132+AA175+AA218+AA304+AA388+AA430+AA472+AA556+AA598+AA640</f>
        <v>70800</v>
      </c>
      <c r="AB666" s="70" t="n">
        <f aca="false">AB46+AB132+AB175+AB218+AB304+AB388+AB430+AB472+AB556+AB598+AB640</f>
        <v>70800</v>
      </c>
    </row>
    <row r="667" customFormat="false" ht="15" hidden="false" customHeight="false" outlineLevel="0" collapsed="false">
      <c r="A667" s="27" t="s">
        <v>811</v>
      </c>
      <c r="B667" s="56" t="s">
        <v>793</v>
      </c>
      <c r="C667" s="57" t="n">
        <f aca="false">P667</f>
        <v>2699274.38637378</v>
      </c>
      <c r="D667" s="57" t="n">
        <f aca="false">AB667</f>
        <v>238128.279883382</v>
      </c>
      <c r="E667" s="70" t="n">
        <f aca="false">E47+E133+E176+E219+E305+E389+E431+E473+E557+E599+E641</f>
        <v>2503085.5</v>
      </c>
      <c r="F667" s="70" t="n">
        <f aca="false">F47+F133+F176+F219+F305+F389+F431+F473+F557+F599+F641</f>
        <v>3557021.44</v>
      </c>
      <c r="G667" s="70" t="n">
        <f aca="false">G47+G133+G176+G219+G305+G389+G431+G473+G557+G599+G641</f>
        <v>3455664.53</v>
      </c>
      <c r="H667" s="70" t="n">
        <f aca="false">H47+H133+H176+H219+H305+H389+H431+H473+H557+H599+H641</f>
        <v>3355670.36</v>
      </c>
      <c r="I667" s="70" t="n">
        <f aca="false">I47+I133+I176+I219+I305+I389+I431+I473+I557+I599+I641</f>
        <v>4168880.93</v>
      </c>
      <c r="J667" s="70" t="n">
        <f aca="false">J47+J133+J176+J219+J305+J389+J431+J473+J557+J599+J641</f>
        <v>3982000.73</v>
      </c>
      <c r="K667" s="70" t="n">
        <f aca="false">K47+K133+K176+K219+K305+K389+K431+K473+K557+K599+K641</f>
        <v>4063857.61</v>
      </c>
      <c r="L667" s="70" t="n">
        <f aca="false">L47+L133+L176+L219+L305+L389+L431+L473+L557+L599+L641</f>
        <v>4407027.48</v>
      </c>
      <c r="M667" s="70" t="n">
        <f aca="false">M47+M133+M176+M219+M305+M389+M431+M473+M557+M599+M641</f>
        <v>3967617.68279125</v>
      </c>
      <c r="N667" s="70" t="n">
        <f aca="false">N47+N133+N176+N219+N305+N389+N431+N473+N557+N599+N641</f>
        <v>3510237.23611681</v>
      </c>
      <c r="O667" s="70" t="n">
        <f aca="false">O47+O133+O176+O219+O305+O389+O431+O473+O557+O599+O641</f>
        <v>3087674.24821073</v>
      </c>
      <c r="P667" s="70" t="n">
        <f aca="false">P47+P133+P176+P219+P305+P389+P431+P473+P557+P599+P641</f>
        <v>2699274.38637378</v>
      </c>
      <c r="Q667" s="70" t="n">
        <f aca="false">Q47+Q133+Q176+Q219+Q305+Q389+Q431+Q473+Q557+Q599+Q641</f>
        <v>2320315.02548402</v>
      </c>
      <c r="R667" s="70" t="n">
        <f aca="false">R47+R133+R176+R219+R305+R389+R431+R473+R557+R599+R641</f>
        <v>2006022.64178241</v>
      </c>
      <c r="S667" s="70" t="n">
        <f aca="false">S47+S133+S176+S219+S305+S389+S431+S473+S557+S599+S641</f>
        <v>1824328.125</v>
      </c>
      <c r="T667" s="70" t="n">
        <f aca="false">T47+T133+T176+T219+T305+T389+T431+T473+T557+T599+T641</f>
        <v>1691738.06423611</v>
      </c>
      <c r="U667" s="70" t="n">
        <f aca="false">U47+U133+U176+U219+U305+U389+U431+U473+U557+U599+U641</f>
        <v>1500638.88888889</v>
      </c>
      <c r="V667" s="70" t="n">
        <f aca="false">V47+V133+V176+V219+V305+V389+V431+V473+V557+V599+V641</f>
        <v>1269153.046875</v>
      </c>
      <c r="W667" s="70" t="n">
        <f aca="false">W47+W133+W176+W219+W305+W389+W431+W473+W557+W599+W641</f>
        <v>1026922.98611111</v>
      </c>
      <c r="X667" s="70" t="n">
        <f aca="false">X47+X133+X176+X219+X305+X389+X431+X473+X557+X599+X641</f>
        <v>806800.01748765</v>
      </c>
      <c r="Y667" s="70" t="n">
        <f aca="false">Y47+Y133+Y176+Y219+Y305+Y389+Y431+Y473+Y557+Y599+Y641</f>
        <v>636669.845116618</v>
      </c>
      <c r="Z667" s="70" t="n">
        <f aca="false">Z47+Z133+Z176+Z219+Z305+Z389+Z431+Z473+Z557+Z599+Z641</f>
        <v>506237.973760933</v>
      </c>
      <c r="AA667" s="70" t="n">
        <f aca="false">AA47+AA133+AA176+AA219+AA305+AA389+AA431+AA473+AA557+AA599+AA641</f>
        <v>372621.401239067</v>
      </c>
      <c r="AB667" s="70" t="n">
        <f aca="false">AB47+AB133+AB176+AB219+AB305+AB389+AB431+AB473+AB557+AB599+AB641</f>
        <v>238128.279883382</v>
      </c>
    </row>
    <row r="668" customFormat="false" ht="15" hidden="false" customHeight="false" outlineLevel="0" collapsed="false">
      <c r="A668" s="27" t="s">
        <v>812</v>
      </c>
      <c r="B668" s="56" t="s">
        <v>793</v>
      </c>
      <c r="C668" s="57" t="n">
        <f aca="false">SUM(E668:P668)</f>
        <v>3540000</v>
      </c>
      <c r="D668" s="57" t="n">
        <f aca="false">SUM(Q668:AB668)</f>
        <v>1925500</v>
      </c>
      <c r="E668" s="70" t="n">
        <f aca="false">E48+E134+E177+E220+E306+E390+E432+E474+E558+E600+E642</f>
        <v>0</v>
      </c>
      <c r="F668" s="70" t="n">
        <f aca="false">F48+F134+F177+F220+F306+F390+F432+F474+F558+F600+F642</f>
        <v>1180000</v>
      </c>
      <c r="G668" s="70" t="n">
        <f aca="false">G48+G134+G177+G220+G306+G390+G432+G474+G558+G600+G642</f>
        <v>0</v>
      </c>
      <c r="H668" s="70" t="n">
        <f aca="false">H48+H134+H177+H220+H306+H390+H432+H474+H558+H600+H642</f>
        <v>0</v>
      </c>
      <c r="I668" s="70" t="n">
        <f aca="false">I48+I134+I177+I220+I306+I390+I432+I474+I558+I600+I642</f>
        <v>940000</v>
      </c>
      <c r="J668" s="70" t="n">
        <f aca="false">J48+J134+J177+J220+J306+J390+J432+J474+J558+J600+J642</f>
        <v>0</v>
      </c>
      <c r="K668" s="70" t="n">
        <f aca="false">K48+K134+K177+K220+K306+K390+K432+K474+K558+K600+K642</f>
        <v>390000</v>
      </c>
      <c r="L668" s="70" t="n">
        <f aca="false">L48+L134+L177+L220+L306+L390+L432+L474+L558+L600+L642</f>
        <v>640000</v>
      </c>
      <c r="M668" s="70" t="n">
        <f aca="false">M48+M134+M177+M220+M306+M390+M432+M474+M558+M600+M642</f>
        <v>0</v>
      </c>
      <c r="N668" s="70" t="n">
        <f aca="false">N48+N134+N177+N220+N306+N390+N432+N474+N558+N600+N642</f>
        <v>0</v>
      </c>
      <c r="O668" s="70" t="n">
        <f aca="false">O48+O134+O177+O220+O306+O390+O432+O474+O558+O600+O642</f>
        <v>390000</v>
      </c>
      <c r="P668" s="70" t="n">
        <f aca="false">P48+P134+P177+P220+P306+P390+P432+P474+P558+P600+P642</f>
        <v>0</v>
      </c>
      <c r="Q668" s="70" t="n">
        <f aca="false">Q48+Q134+Q177+Q220+Q306+Q390+Q432+Q474+Q558+Q600+Q642</f>
        <v>647500</v>
      </c>
      <c r="R668" s="70" t="n">
        <f aca="false">R48+R134+R177+R220+R306+R390+R432+R474+R558+R600+R642</f>
        <v>0</v>
      </c>
      <c r="S668" s="70" t="n">
        <f aca="false">S48+S134+S177+S220+S306+S390+S432+S474+S558+S600+S642</f>
        <v>390000</v>
      </c>
      <c r="T668" s="70" t="n">
        <f aca="false">T48+T134+T177+T220+T306+T390+T432+T474+T558+T600+T642</f>
        <v>0</v>
      </c>
      <c r="U668" s="70" t="n">
        <f aca="false">U48+U134+U177+U220+U306+U390+U432+U474+U558+U600+U642</f>
        <v>180000</v>
      </c>
      <c r="V668" s="70" t="n">
        <f aca="false">V48+V134+V177+V220+V306+V390+V432+V474+V558+V600+V642</f>
        <v>0</v>
      </c>
      <c r="W668" s="70" t="n">
        <f aca="false">W48+W134+W177+W220+W306+W390+W432+W474+W558+W600+W642</f>
        <v>384000</v>
      </c>
      <c r="X668" s="70" t="n">
        <f aca="false">X48+X134+X177+X220+X306+X390+X432+X474+X558+X600+X642</f>
        <v>324000</v>
      </c>
      <c r="Y668" s="70" t="n">
        <f aca="false">Y48+Y134+Y177+Y220+Y306+Y390+Y432+Y474+Y558+Y600+Y642</f>
        <v>0</v>
      </c>
      <c r="Z668" s="70" t="n">
        <f aca="false">Z48+Z134+Z177+Z220+Z306+Z390+Z432+Z474+Z558+Z600+Z642</f>
        <v>0</v>
      </c>
      <c r="AA668" s="70" t="n">
        <f aca="false">AA48+AA134+AA177+AA220+AA306+AA390+AA432+AA474+AA558+AA600+AA642</f>
        <v>0</v>
      </c>
      <c r="AB668" s="70" t="n">
        <f aca="false">AB48+AB134+AB177+AB220+AB306+AB390+AB432+AB474+AB558+AB600+AB642</f>
        <v>0</v>
      </c>
    </row>
    <row r="669" customFormat="false" ht="15" hidden="false" customHeight="false" outlineLevel="0" collapsed="false">
      <c r="A669" s="21" t="s">
        <v>813</v>
      </c>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row>
    <row r="670" customFormat="false" ht="15" hidden="false" customHeight="false" outlineLevel="0" collapsed="false">
      <c r="A670" s="67" t="s">
        <v>301</v>
      </c>
      <c r="B670" s="68" t="s">
        <v>793</v>
      </c>
      <c r="C670" s="69" t="n">
        <f aca="false">SUM(E670:P670)</f>
        <v>1792491.93795044</v>
      </c>
      <c r="D670" s="69" t="n">
        <f aca="false">SUM(Q670:AB670)</f>
        <v>2172433.86704956</v>
      </c>
      <c r="E670" s="69" t="n">
        <f aca="false">E69+E241+E326+E494</f>
        <v>236014.85</v>
      </c>
      <c r="F670" s="69" t="n">
        <f aca="false">F69+F241+F326+F494</f>
        <v>188104.4</v>
      </c>
      <c r="G670" s="69" t="n">
        <f aca="false">G69+G241+G326+G494</f>
        <v>105874.14</v>
      </c>
      <c r="H670" s="69" t="n">
        <f aca="false">H69+H241+H326+H494</f>
        <v>53699.29</v>
      </c>
      <c r="I670" s="69" t="n">
        <f aca="false">I69+I241+I326+I494</f>
        <v>33347.91</v>
      </c>
      <c r="J670" s="69" t="n">
        <f aca="false">J69+J241+J326+J494</f>
        <v>99114.7</v>
      </c>
      <c r="K670" s="69" t="n">
        <f aca="false">K69+K241+K326+K494</f>
        <v>149061</v>
      </c>
      <c r="L670" s="69" t="n">
        <f aca="false">L69+L241+L326+L494</f>
        <v>179277.28</v>
      </c>
      <c r="M670" s="69" t="n">
        <f aca="false">M69+M241+M326+M494</f>
        <v>202963.068170439</v>
      </c>
      <c r="N670" s="69" t="n">
        <f aca="false">N69+N241+N326+N494</f>
        <v>204379.29950797</v>
      </c>
      <c r="O670" s="69" t="n">
        <f aca="false">O69+O241+O326+O494</f>
        <v>186811.354987887</v>
      </c>
      <c r="P670" s="69" t="n">
        <f aca="false">P69+P241+P326+P494</f>
        <v>153844.645284143</v>
      </c>
      <c r="Q670" s="69" t="n">
        <f aca="false">Q69+Q241+Q326+Q494</f>
        <v>104394.580728525</v>
      </c>
      <c r="R670" s="69" t="n">
        <f aca="false">R69+R241+R326+R494</f>
        <v>38461.1613210358</v>
      </c>
      <c r="S670" s="69" t="n">
        <f aca="false">S69+S241+S326+S494</f>
        <v>60356.6529492455</v>
      </c>
      <c r="T670" s="69" t="n">
        <f aca="false">T69+T241+T326+T494</f>
        <v>161755.829903978</v>
      </c>
      <c r="U670" s="69" t="n">
        <f aca="false">U69+U241+U326+U494</f>
        <v>234183.813443073</v>
      </c>
      <c r="V670" s="69" t="n">
        <f aca="false">V69+V241+V326+V494</f>
        <v>277640.603566529</v>
      </c>
      <c r="W670" s="69" t="n">
        <f aca="false">W69+W241+W326+W494</f>
        <v>292126.200274349</v>
      </c>
      <c r="X670" s="69" t="n">
        <f aca="false">X69+X241+X326+X494</f>
        <v>277640.60356653</v>
      </c>
      <c r="Y670" s="69" t="n">
        <f aca="false">Y69+Y241+Y326+Y494</f>
        <v>234183.813443072</v>
      </c>
      <c r="Z670" s="69" t="n">
        <f aca="false">Z69+Z241+Z326+Z494</f>
        <v>198365.204903978</v>
      </c>
      <c r="AA670" s="69" t="n">
        <f aca="false">AA69+AA241+AA326+AA494</f>
        <v>156872.277949245</v>
      </c>
      <c r="AB670" s="69" t="n">
        <f aca="false">AB69+AB241+AB326+AB494</f>
        <v>136453.125</v>
      </c>
    </row>
    <row r="671" customFormat="false" ht="15" hidden="false" customHeight="false" outlineLevel="0" collapsed="false">
      <c r="A671" s="27" t="s">
        <v>794</v>
      </c>
      <c r="B671" s="56" t="s">
        <v>793</v>
      </c>
      <c r="C671" s="57" t="n">
        <f aca="false">SUM(E671:P671)</f>
        <v>1530176.91419753</v>
      </c>
      <c r="D671" s="57" t="n">
        <f aca="false">SUM(Q671:AB671)</f>
        <v>1908961.40330247</v>
      </c>
      <c r="E671" s="70" t="n">
        <f aca="false">E60+E232+E317+E485</f>
        <v>205399.87</v>
      </c>
      <c r="F671" s="70" t="n">
        <f aca="false">F60+F232+F317+F485</f>
        <v>152554.55</v>
      </c>
      <c r="G671" s="70" t="n">
        <f aca="false">G60+G232+G317+G485</f>
        <v>84207.19</v>
      </c>
      <c r="H671" s="70" t="n">
        <f aca="false">H60+H232+H317+H485</f>
        <v>41672.02</v>
      </c>
      <c r="I671" s="70" t="n">
        <f aca="false">I60+I232+I317+I485</f>
        <v>29255.21</v>
      </c>
      <c r="J671" s="70" t="n">
        <f aca="false">J60+J232+J317+J485</f>
        <v>85890.76</v>
      </c>
      <c r="K671" s="70" t="n">
        <f aca="false">K60+K232+K317+K485</f>
        <v>132110.44</v>
      </c>
      <c r="L671" s="70" t="n">
        <f aca="false">L60+L232+L317+L485</f>
        <v>152267.13</v>
      </c>
      <c r="M671" s="70" t="n">
        <f aca="false">M60+M232+M317+M485</f>
        <v>175973.018641975</v>
      </c>
      <c r="N671" s="70" t="n">
        <f aca="false">N60+N232+N317+N485</f>
        <v>175973.018641975</v>
      </c>
      <c r="O671" s="70" t="n">
        <f aca="false">O60+O232+O317+O485</f>
        <v>161704.936049383</v>
      </c>
      <c r="P671" s="70" t="n">
        <f aca="false">P60+P232+P317+P485</f>
        <v>133168.770864198</v>
      </c>
      <c r="Q671" s="70" t="n">
        <f aca="false">Q60+Q232+Q317+Q485</f>
        <v>90364.5230864196</v>
      </c>
      <c r="R671" s="70" t="n">
        <f aca="false">R60+R232+R317+R485</f>
        <v>33292.1927160494</v>
      </c>
      <c r="S671" s="70" t="n">
        <f aca="false">S60+S232+S317+S485</f>
        <v>53086.4197530864</v>
      </c>
      <c r="T671" s="70" t="n">
        <f aca="false">T60+T232+T317+T485</f>
        <v>142271.604938272</v>
      </c>
      <c r="U671" s="70" t="n">
        <f aca="false">U60+U232+U317+U485</f>
        <v>205975.308641975</v>
      </c>
      <c r="V671" s="70" t="n">
        <f aca="false">V60+V232+V317+V485</f>
        <v>244197.530864198</v>
      </c>
      <c r="W671" s="70" t="n">
        <f aca="false">W60+W232+W317+W485</f>
        <v>256938.271604938</v>
      </c>
      <c r="X671" s="70" t="n">
        <f aca="false">X60+X232+X317+X485</f>
        <v>244197.530864198</v>
      </c>
      <c r="Y671" s="70" t="n">
        <f aca="false">Y60+Y232+Y317+Y485</f>
        <v>205975.308641975</v>
      </c>
      <c r="Z671" s="70" t="n">
        <f aca="false">Z60+Z232+Z317+Z485</f>
        <v>174498.167438272</v>
      </c>
      <c r="AA671" s="70" t="n">
        <f aca="false">AA60+AA232+AA317+AA485</f>
        <v>138047.357253086</v>
      </c>
      <c r="AB671" s="70" t="n">
        <f aca="false">AB60+AB232+AB317+AB485</f>
        <v>120117.1875</v>
      </c>
    </row>
    <row r="672" customFormat="false" ht="15" hidden="false" customHeight="false" outlineLevel="0" collapsed="false">
      <c r="A672" s="27" t="s">
        <v>795</v>
      </c>
      <c r="B672" s="56" t="s">
        <v>793</v>
      </c>
      <c r="C672" s="57" t="n">
        <f aca="false">SUM(E672:P672)</f>
        <v>197930.786745679</v>
      </c>
      <c r="D672" s="57" t="n">
        <f aca="false">SUM(Q672:AB672)</f>
        <v>248164.982429321</v>
      </c>
      <c r="E672" s="70" t="n">
        <f aca="false">E55+E227+E312+E480</f>
        <v>25139.45</v>
      </c>
      <c r="F672" s="70" t="n">
        <f aca="false">F55+F227+F312+F480</f>
        <v>19305.56</v>
      </c>
      <c r="G672" s="70" t="n">
        <f aca="false">G55+G227+G312+G480</f>
        <v>11616.66</v>
      </c>
      <c r="H672" s="70" t="n">
        <f aca="false">H55+H227+H312+H480</f>
        <v>6003.07</v>
      </c>
      <c r="I672" s="70" t="n">
        <f aca="false">I55+I227+I312+I480</f>
        <v>3765.57</v>
      </c>
      <c r="J672" s="70" t="n">
        <f aca="false">J55+J227+J312+J480</f>
        <v>10550.21</v>
      </c>
      <c r="K672" s="70" t="n">
        <f aca="false">K55+K227+K312+K480</f>
        <v>15618.82</v>
      </c>
      <c r="L672" s="70" t="n">
        <f aca="false">L55+L227+L312+L480</f>
        <v>21844.88</v>
      </c>
      <c r="M672" s="70" t="n">
        <f aca="false">M55+M227+M312+M480</f>
        <v>22876.4924234568</v>
      </c>
      <c r="N672" s="70" t="n">
        <f aca="false">N55+N227+N312+N480</f>
        <v>22876.4924234568</v>
      </c>
      <c r="O672" s="70" t="n">
        <f aca="false">O55+O227+O312+O480</f>
        <v>21021.6416864197</v>
      </c>
      <c r="P672" s="70" t="n">
        <f aca="false">P55+P227+P312+P480</f>
        <v>17311.9402123457</v>
      </c>
      <c r="Q672" s="70" t="n">
        <f aca="false">Q55+Q227+Q312+Q480</f>
        <v>11747.3880012345</v>
      </c>
      <c r="R672" s="70" t="n">
        <f aca="false">R55+R227+R312+R480</f>
        <v>4327.98505308642</v>
      </c>
      <c r="S672" s="70" t="n">
        <f aca="false">S55+S227+S312+S480</f>
        <v>6901.23456790123</v>
      </c>
      <c r="T672" s="70" t="n">
        <f aca="false">T55+T227+T312+T480</f>
        <v>18495.3086419753</v>
      </c>
      <c r="U672" s="70" t="n">
        <f aca="false">U55+U227+U312+U480</f>
        <v>26776.7901234568</v>
      </c>
      <c r="V672" s="70" t="n">
        <f aca="false">V55+V227+V312+V480</f>
        <v>31745.6790123457</v>
      </c>
      <c r="W672" s="70" t="n">
        <f aca="false">W55+W227+W312+W480</f>
        <v>33401.975308642</v>
      </c>
      <c r="X672" s="70" t="n">
        <f aca="false">X55+X227+X312+X480</f>
        <v>31745.6790123457</v>
      </c>
      <c r="Y672" s="70" t="n">
        <f aca="false">Y55+Y227+Y312+Y480</f>
        <v>26776.7901234568</v>
      </c>
      <c r="Z672" s="70" t="n">
        <f aca="false">Z55+Z227+Z312+Z480</f>
        <v>22684.7617669754</v>
      </c>
      <c r="AA672" s="70" t="n">
        <f aca="false">AA55+AA227+AA312+AA480</f>
        <v>17946.1564429012</v>
      </c>
      <c r="AB672" s="70" t="n">
        <f aca="false">AB55+AB227+AB312+AB480</f>
        <v>15615.234375</v>
      </c>
    </row>
    <row r="673" customFormat="false" ht="15" hidden="false" customHeight="false" outlineLevel="0" collapsed="false">
      <c r="A673" s="27" t="s">
        <v>796</v>
      </c>
      <c r="B673" s="56" t="s">
        <v>793</v>
      </c>
      <c r="C673" s="57" t="n">
        <f aca="false">SUM(E673:P673)</f>
        <v>854155.356750617</v>
      </c>
      <c r="D673" s="57" t="n">
        <f aca="false">SUM(Q673:AB673)</f>
        <v>1069018.38584938</v>
      </c>
      <c r="E673" s="70" t="n">
        <f aca="false">E56+E228+E313+E481</f>
        <v>115846.57</v>
      </c>
      <c r="F673" s="70" t="n">
        <f aca="false">F56+F228+F313+F481</f>
        <v>86983.55</v>
      </c>
      <c r="G673" s="70" t="n">
        <f aca="false">G56+G228+G313+G481</f>
        <v>45995.01</v>
      </c>
      <c r="H673" s="70" t="n">
        <f aca="false">H56+H228+H313+H481</f>
        <v>22494.22</v>
      </c>
      <c r="I673" s="70" t="n">
        <f aca="false">I56+I228+I313+I481</f>
        <v>16519.7</v>
      </c>
      <c r="J673" s="70" t="n">
        <f aca="false">J56+J228+J313+J481</f>
        <v>46285.24</v>
      </c>
      <c r="K673" s="70" t="n">
        <f aca="false">K56+K228+K313+K481</f>
        <v>75715.48</v>
      </c>
      <c r="L673" s="70" t="n">
        <f aca="false">L56+L228+L313+L481</f>
        <v>82096.53</v>
      </c>
      <c r="M673" s="70" t="n">
        <f aca="false">M56+M228+M313+M481</f>
        <v>98544.8904395061</v>
      </c>
      <c r="N673" s="70" t="n">
        <f aca="false">N56+N228+N313+N481</f>
        <v>98544.8904395063</v>
      </c>
      <c r="O673" s="70" t="n">
        <f aca="false">O56+O228+O313+O481</f>
        <v>90554.7641876542</v>
      </c>
      <c r="P673" s="70" t="n">
        <f aca="false">P56+P228+P313+P481</f>
        <v>74574.5116839508</v>
      </c>
      <c r="Q673" s="70" t="n">
        <f aca="false">Q56+Q228+Q313+Q481</f>
        <v>50604.132928395</v>
      </c>
      <c r="R673" s="70" t="n">
        <f aca="false">R56+R228+R313+R481</f>
        <v>18643.6279209877</v>
      </c>
      <c r="S673" s="70" t="n">
        <f aca="false">S56+S228+S313+S481</f>
        <v>29728.3950617284</v>
      </c>
      <c r="T673" s="70" t="n">
        <f aca="false">T56+T228+T313+T481</f>
        <v>79672.0987654321</v>
      </c>
      <c r="U673" s="70" t="n">
        <f aca="false">U56+U228+U313+U481</f>
        <v>115346.172839506</v>
      </c>
      <c r="V673" s="70" t="n">
        <f aca="false">V56+V228+V313+V481</f>
        <v>136750.617283951</v>
      </c>
      <c r="W673" s="70" t="n">
        <f aca="false">W56+W228+W313+W481</f>
        <v>143885.432098765</v>
      </c>
      <c r="X673" s="70" t="n">
        <f aca="false">X56+X228+X313+X481</f>
        <v>136750.617283951</v>
      </c>
      <c r="Y673" s="70" t="n">
        <f aca="false">Y56+Y228+Y313+Y481</f>
        <v>115346.172839506</v>
      </c>
      <c r="Z673" s="70" t="n">
        <f aca="false">Z56+Z228+Z313+Z481</f>
        <v>97718.9737654323</v>
      </c>
      <c r="AA673" s="70" t="n">
        <f aca="false">AA56+AA228+AA313+AA481</f>
        <v>77306.5200617282</v>
      </c>
      <c r="AB673" s="70" t="n">
        <f aca="false">AB56+AB228+AB313+AB481</f>
        <v>67265.625</v>
      </c>
    </row>
    <row r="674" customFormat="false" ht="15" hidden="false" customHeight="false" outlineLevel="0" collapsed="false">
      <c r="A674" s="27" t="s">
        <v>797</v>
      </c>
      <c r="B674" s="56" t="s">
        <v>793</v>
      </c>
      <c r="C674" s="57" t="n">
        <f aca="false">SUM(E674:P674)</f>
        <v>354865.351165432</v>
      </c>
      <c r="D674" s="57" t="n">
        <f aca="false">SUM(Q674:AB674)</f>
        <v>439061.122759568</v>
      </c>
      <c r="E674" s="70" t="n">
        <f aca="false">E57+E229+E314+E482</f>
        <v>47365.64</v>
      </c>
      <c r="F674" s="70" t="n">
        <f aca="false">F57+F229+F314+F482</f>
        <v>34162.6</v>
      </c>
      <c r="G674" s="70" t="n">
        <f aca="false">G57+G229+G314+G482</f>
        <v>19879.12</v>
      </c>
      <c r="H674" s="70" t="n">
        <f aca="false">H57+H229+H314+H482</f>
        <v>10038.5</v>
      </c>
      <c r="I674" s="70" t="n">
        <f aca="false">I57+I229+I314+I482</f>
        <v>6470.19</v>
      </c>
      <c r="J674" s="70" t="n">
        <f aca="false">J57+J229+J314+J482</f>
        <v>22278.85</v>
      </c>
      <c r="K674" s="70" t="n">
        <f aca="false">K57+K229+K314+K482</f>
        <v>29929.2</v>
      </c>
      <c r="L674" s="70" t="n">
        <f aca="false">L57+L229+L314+L482</f>
        <v>35972.71</v>
      </c>
      <c r="M674" s="70" t="n">
        <f aca="false">M57+M229+M314+M482</f>
        <v>40473.7942876543</v>
      </c>
      <c r="N674" s="70" t="n">
        <f aca="false">N57+N229+N314+N482</f>
        <v>40473.7942876544</v>
      </c>
      <c r="O674" s="70" t="n">
        <f aca="false">O57+O229+O314+O482</f>
        <v>37192.135291358</v>
      </c>
      <c r="P674" s="70" t="n">
        <f aca="false">P57+P229+P314+P482</f>
        <v>30628.8172987655</v>
      </c>
      <c r="Q674" s="70" t="n">
        <f aca="false">Q57+Q229+Q314+Q482</f>
        <v>20783.8403098765</v>
      </c>
      <c r="R674" s="70" t="n">
        <f aca="false">R57+R229+R314+R482</f>
        <v>7657.20432469137</v>
      </c>
      <c r="S674" s="70" t="n">
        <f aca="false">S57+S229+S314+S482</f>
        <v>12209.8765432099</v>
      </c>
      <c r="T674" s="70" t="n">
        <f aca="false">T57+T229+T314+T482</f>
        <v>32722.4691358025</v>
      </c>
      <c r="U674" s="70" t="n">
        <f aca="false">U57+U229+U314+U482</f>
        <v>47374.3209876543</v>
      </c>
      <c r="V674" s="70" t="n">
        <f aca="false">V57+V229+V314+V482</f>
        <v>56165.4320987654</v>
      </c>
      <c r="W674" s="70" t="n">
        <f aca="false">W57+W229+W314+W482</f>
        <v>59095.8024691358</v>
      </c>
      <c r="X674" s="70" t="n">
        <f aca="false">X57+X229+X314+X482</f>
        <v>56165.4320987654</v>
      </c>
      <c r="Y674" s="70" t="n">
        <f aca="false">Y57+Y229+Y314+Y482</f>
        <v>47374.3209876543</v>
      </c>
      <c r="Z674" s="70" t="n">
        <f aca="false">Z57+Z229+Z314+Z482</f>
        <v>40134.5785108025</v>
      </c>
      <c r="AA674" s="70" t="n">
        <f aca="false">AA57+AA229+AA314+AA482</f>
        <v>31750.8921682098</v>
      </c>
      <c r="AB674" s="70" t="n">
        <f aca="false">AB57+AB229+AB314+AB482</f>
        <v>27626.953125</v>
      </c>
    </row>
    <row r="675" customFormat="false" ht="15" hidden="false" customHeight="false" outlineLevel="0" collapsed="false">
      <c r="A675" s="27" t="s">
        <v>798</v>
      </c>
      <c r="B675" s="56" t="s">
        <v>793</v>
      </c>
      <c r="C675" s="57" t="n">
        <f aca="false">SUM(E675:P675)</f>
        <v>46019.8123259259</v>
      </c>
      <c r="D675" s="57" t="n">
        <f aca="false">SUM(Q675:AB675)</f>
        <v>57268.8420990741</v>
      </c>
      <c r="E675" s="70" t="n">
        <f aca="false">E58+E230+E315+E483</f>
        <v>5935.65</v>
      </c>
      <c r="F675" s="70" t="n">
        <f aca="false">F58+F230+F315+F483</f>
        <v>4596.24</v>
      </c>
      <c r="G675" s="70" t="n">
        <f aca="false">G58+G230+G315+G483</f>
        <v>2738.29</v>
      </c>
      <c r="H675" s="70" t="n">
        <f aca="false">H58+H230+H315+H483</f>
        <v>1192.81</v>
      </c>
      <c r="I675" s="70" t="n">
        <f aca="false">I58+I230+I315+I483</f>
        <v>914.62</v>
      </c>
      <c r="J675" s="70" t="n">
        <f aca="false">J58+J230+J315+J483</f>
        <v>2460.24</v>
      </c>
      <c r="K675" s="70" t="n">
        <f aca="false">K58+K230+K315+K483</f>
        <v>4183.21</v>
      </c>
      <c r="L675" s="70" t="n">
        <f aca="false">L58+L230+L315+L483</f>
        <v>4594.16</v>
      </c>
      <c r="M675" s="70" t="n">
        <f aca="false">M58+M230+M315+M483</f>
        <v>5279.19055925926</v>
      </c>
      <c r="N675" s="70" t="n">
        <f aca="false">N58+N230+N315+N483</f>
        <v>5279.19055925926</v>
      </c>
      <c r="O675" s="70" t="n">
        <f aca="false">O58+O230+O315+O483</f>
        <v>4851.14808148148</v>
      </c>
      <c r="P675" s="70" t="n">
        <f aca="false">P58+P230+P315+P483</f>
        <v>3995.06312592593</v>
      </c>
      <c r="Q675" s="70" t="n">
        <f aca="false">Q58+Q230+Q315+Q483</f>
        <v>2710.93569259259</v>
      </c>
      <c r="R675" s="70" t="n">
        <f aca="false">R58+R230+R315+R483</f>
        <v>998.765781481483</v>
      </c>
      <c r="S675" s="70" t="n">
        <f aca="false">S58+S230+S315+S483</f>
        <v>1592.59259259259</v>
      </c>
      <c r="T675" s="70" t="n">
        <f aca="false">T58+T230+T315+T483</f>
        <v>4268.14814814815</v>
      </c>
      <c r="U675" s="70" t="n">
        <f aca="false">U58+U230+U315+U483</f>
        <v>6179.25925925926</v>
      </c>
      <c r="V675" s="70" t="n">
        <f aca="false">V58+V230+V315+V483</f>
        <v>7325.92592592593</v>
      </c>
      <c r="W675" s="70" t="n">
        <f aca="false">W58+W230+W315+W483</f>
        <v>7708.14814814815</v>
      </c>
      <c r="X675" s="70" t="n">
        <f aca="false">X58+X230+X315+X483</f>
        <v>7325.92592592593</v>
      </c>
      <c r="Y675" s="70" t="n">
        <f aca="false">Y58+Y230+Y315+Y483</f>
        <v>6179.25925925926</v>
      </c>
      <c r="Z675" s="70" t="n">
        <f aca="false">Z58+Z230+Z315+Z483</f>
        <v>5234.94502314816</v>
      </c>
      <c r="AA675" s="70" t="n">
        <f aca="false">AA58+AA230+AA315+AA483</f>
        <v>4141.42071759258</v>
      </c>
      <c r="AB675" s="70" t="n">
        <f aca="false">AB58+AB230+AB315+AB483</f>
        <v>3603.515625</v>
      </c>
    </row>
    <row r="676" customFormat="false" ht="15" hidden="false" customHeight="false" outlineLevel="0" collapsed="false">
      <c r="A676" s="27" t="s">
        <v>799</v>
      </c>
      <c r="B676" s="56" t="s">
        <v>793</v>
      </c>
      <c r="C676" s="57" t="n">
        <f aca="false">SUM(E676:P676)</f>
        <v>77205.6072098765</v>
      </c>
      <c r="D676" s="57" t="n">
        <f aca="false">SUM(Q676:AB676)</f>
        <v>95448.0701651233</v>
      </c>
      <c r="E676" s="70" t="n">
        <f aca="false">E59+E231+E316+E484</f>
        <v>11112.56</v>
      </c>
      <c r="F676" s="70" t="n">
        <f aca="false">F59+F231+F316+F484</f>
        <v>7506.6</v>
      </c>
      <c r="G676" s="70" t="n">
        <f aca="false">G59+G231+G316+G484</f>
        <v>3978.11</v>
      </c>
      <c r="H676" s="70" t="n">
        <f aca="false">H59+H231+H316+H484</f>
        <v>1943.42</v>
      </c>
      <c r="I676" s="70" t="n">
        <f aca="false">I59+I231+I316+I484</f>
        <v>1585.13</v>
      </c>
      <c r="J676" s="70" t="n">
        <f aca="false">J59+J231+J316+J484</f>
        <v>4316.22</v>
      </c>
      <c r="K676" s="70" t="n">
        <f aca="false">K59+K231+K316+K484</f>
        <v>6663.73</v>
      </c>
      <c r="L676" s="70" t="n">
        <f aca="false">L59+L231+L316+L484</f>
        <v>7758.85</v>
      </c>
      <c r="M676" s="70" t="n">
        <f aca="false">M59+M231+M316+M484</f>
        <v>8798.65093209875</v>
      </c>
      <c r="N676" s="70" t="n">
        <f aca="false">N59+N231+N316+N484</f>
        <v>8798.65093209876</v>
      </c>
      <c r="O676" s="70" t="n">
        <f aca="false">O59+O231+O316+O484</f>
        <v>8085.24680246911</v>
      </c>
      <c r="P676" s="70" t="n">
        <f aca="false">P59+P231+P316+P484</f>
        <v>6658.43854320988</v>
      </c>
      <c r="Q676" s="70" t="n">
        <f aca="false">Q59+Q231+Q316+Q484</f>
        <v>4518.22615432097</v>
      </c>
      <c r="R676" s="70" t="n">
        <f aca="false">R59+R231+R316+R484</f>
        <v>1664.60963580247</v>
      </c>
      <c r="S676" s="70" t="n">
        <f aca="false">S59+S231+S316+S484</f>
        <v>2654.32098765432</v>
      </c>
      <c r="T676" s="70" t="n">
        <f aca="false">T59+T231+T316+T484</f>
        <v>7113.58024691357</v>
      </c>
      <c r="U676" s="70" t="n">
        <f aca="false">U59+U231+U316+U484</f>
        <v>10298.7654320988</v>
      </c>
      <c r="V676" s="70" t="n">
        <f aca="false">V59+V231+V316+V484</f>
        <v>12209.8765432099</v>
      </c>
      <c r="W676" s="70" t="n">
        <f aca="false">W59+W231+W316+W484</f>
        <v>12846.9135802469</v>
      </c>
      <c r="X676" s="70" t="n">
        <f aca="false">X59+X231+X316+X484</f>
        <v>12209.8765432099</v>
      </c>
      <c r="Y676" s="70" t="n">
        <f aca="false">Y59+Y231+Y316+Y484</f>
        <v>10298.7654320987</v>
      </c>
      <c r="Z676" s="70" t="n">
        <f aca="false">Z59+Z231+Z316+Z484</f>
        <v>8724.90837191359</v>
      </c>
      <c r="AA676" s="70" t="n">
        <f aca="false">AA59+AA231+AA316+AA484</f>
        <v>6902.3678626543</v>
      </c>
      <c r="AB676" s="70" t="n">
        <f aca="false">AB59+AB231+AB316+AB484</f>
        <v>6005.85937499999</v>
      </c>
    </row>
    <row r="677" customFormat="false" ht="15" hidden="false" customHeight="false" outlineLevel="0" collapsed="false">
      <c r="A677" s="27" t="s">
        <v>800</v>
      </c>
      <c r="B677" s="56" t="s">
        <v>793</v>
      </c>
      <c r="C677" s="57" t="n">
        <f aca="false">SUM(E677:P677)</f>
        <v>0</v>
      </c>
      <c r="D677" s="57" t="n">
        <f aca="false">SUM(Q677:AB677)</f>
        <v>0</v>
      </c>
      <c r="E677" s="70" t="n">
        <f aca="false">E71+E243+E328+E496</f>
        <v>-0</v>
      </c>
      <c r="F677" s="70" t="n">
        <f aca="false">F71+F243+F328+F496</f>
        <v>-0</v>
      </c>
      <c r="G677" s="70" t="n">
        <f aca="false">G71+G243+G328+G496</f>
        <v>-0</v>
      </c>
      <c r="H677" s="70" t="n">
        <f aca="false">H71+H243+H328+H496</f>
        <v>-0</v>
      </c>
      <c r="I677" s="70" t="n">
        <f aca="false">I71+I243+I328+I496</f>
        <v>-0</v>
      </c>
      <c r="J677" s="70" t="n">
        <f aca="false">J71+J243+J328+J496</f>
        <v>-0</v>
      </c>
      <c r="K677" s="70" t="n">
        <f aca="false">K71+K243+K328+K496</f>
        <v>-0</v>
      </c>
      <c r="L677" s="70" t="n">
        <f aca="false">L71+L243+L328+L496</f>
        <v>-0</v>
      </c>
      <c r="M677" s="70" t="n">
        <f aca="false">M71+M243+M328+M496</f>
        <v>-0</v>
      </c>
      <c r="N677" s="70" t="n">
        <f aca="false">N71+N243+N328+N496</f>
        <v>-0</v>
      </c>
      <c r="O677" s="70" t="n">
        <f aca="false">O71+O243+O328+O496</f>
        <v>-0</v>
      </c>
      <c r="P677" s="70" t="n">
        <f aca="false">P71+P243+P328+P496</f>
        <v>-0</v>
      </c>
      <c r="Q677" s="70" t="n">
        <f aca="false">Q71+Q243+Q328+Q496</f>
        <v>-0</v>
      </c>
      <c r="R677" s="70" t="n">
        <f aca="false">R71+R243+R328+R496</f>
        <v>-0</v>
      </c>
      <c r="S677" s="70" t="n">
        <f aca="false">S71+S243+S328+S496</f>
        <v>-0</v>
      </c>
      <c r="T677" s="70" t="n">
        <f aca="false">T71+T243+T328+T496</f>
        <v>-0</v>
      </c>
      <c r="U677" s="70" t="n">
        <f aca="false">U71+U243+U328+U496</f>
        <v>-0</v>
      </c>
      <c r="V677" s="70" t="n">
        <f aca="false">V71+V243+V328+V496</f>
        <v>-0</v>
      </c>
      <c r="W677" s="70" t="n">
        <f aca="false">W71+W243+W328+W496</f>
        <v>-0</v>
      </c>
      <c r="X677" s="70" t="n">
        <f aca="false">X71+X243+X328+X496</f>
        <v>-0</v>
      </c>
      <c r="Y677" s="70" t="n">
        <f aca="false">Y71+Y243+Y328+Y496</f>
        <v>-0</v>
      </c>
      <c r="Z677" s="70" t="n">
        <f aca="false">Z71+Z243+Z328+Z496</f>
        <v>-0</v>
      </c>
      <c r="AA677" s="70" t="n">
        <f aca="false">AA71+AA243+AA328+AA496</f>
        <v>-0</v>
      </c>
      <c r="AB677" s="70" t="n">
        <f aca="false">AB71+AB243+AB328+AB496</f>
        <v>-0</v>
      </c>
    </row>
    <row r="678" customFormat="false" ht="15" hidden="false" customHeight="false" outlineLevel="0" collapsed="false">
      <c r="A678" s="67" t="s">
        <v>801</v>
      </c>
      <c r="B678" s="68" t="s">
        <v>793</v>
      </c>
      <c r="C678" s="69" t="n">
        <f aca="false">SUM(E678:P678)</f>
        <v>262315.023752908</v>
      </c>
      <c r="D678" s="69" t="n">
        <f aca="false">SUM(Q678:AB678)</f>
        <v>263472.463747092</v>
      </c>
      <c r="E678" s="69" t="n">
        <f aca="false">E72+E244+E329+E497</f>
        <v>30614.98</v>
      </c>
      <c r="F678" s="69" t="n">
        <f aca="false">F72+F244+F329+F497</f>
        <v>35549.85</v>
      </c>
      <c r="G678" s="69" t="n">
        <f aca="false">G72+G244+G329+G497</f>
        <v>21666.95</v>
      </c>
      <c r="H678" s="69" t="n">
        <f aca="false">H72+H244+H329+H497</f>
        <v>12027.27</v>
      </c>
      <c r="I678" s="69" t="n">
        <f aca="false">I72+I244+I329+I497</f>
        <v>4092.7</v>
      </c>
      <c r="J678" s="69" t="n">
        <f aca="false">J72+J244+J329+J497</f>
        <v>13223.94</v>
      </c>
      <c r="K678" s="69" t="n">
        <f aca="false">K72+K244+K329+K497</f>
        <v>16950.56</v>
      </c>
      <c r="L678" s="69" t="n">
        <f aca="false">L72+L244+L329+L497</f>
        <v>27010.15</v>
      </c>
      <c r="M678" s="69" t="n">
        <f aca="false">M72+M244+M329+M497</f>
        <v>26990.0495284637</v>
      </c>
      <c r="N678" s="69" t="n">
        <f aca="false">N72+N244+N329+N497</f>
        <v>28406.2808659945</v>
      </c>
      <c r="O678" s="69" t="n">
        <f aca="false">O72+O244+O329+O497</f>
        <v>25106.4189385047</v>
      </c>
      <c r="P678" s="69" t="n">
        <f aca="false">P72+P244+P329+P497</f>
        <v>20675.8744199453</v>
      </c>
      <c r="Q678" s="69" t="n">
        <f aca="false">Q72+Q244+Q329+Q497</f>
        <v>14030.0576421055</v>
      </c>
      <c r="R678" s="69" t="n">
        <f aca="false">R72+R244+R329+R497</f>
        <v>5168.9686049864</v>
      </c>
      <c r="S678" s="69" t="n">
        <f aca="false">S72+S244+S329+S497</f>
        <v>7270.23319615913</v>
      </c>
      <c r="T678" s="69" t="n">
        <f aca="false">T72+T244+T329+T497</f>
        <v>19484.2249657065</v>
      </c>
      <c r="U678" s="69" t="n">
        <f aca="false">U72+U244+U329+U497</f>
        <v>28208.5048010974</v>
      </c>
      <c r="V678" s="69" t="n">
        <f aca="false">V72+V244+V329+V497</f>
        <v>33443.0727023319</v>
      </c>
      <c r="W678" s="69" t="n">
        <f aca="false">W72+W244+W329+W497</f>
        <v>35187.9286694102</v>
      </c>
      <c r="X678" s="69" t="n">
        <f aca="false">X72+X244+X329+X497</f>
        <v>33443.072702332</v>
      </c>
      <c r="Y678" s="69" t="n">
        <f aca="false">Y72+Y244+Y329+Y497</f>
        <v>28208.5048010972</v>
      </c>
      <c r="Z678" s="69" t="n">
        <f aca="false">Z72+Z244+Z329+Z497</f>
        <v>23867.0374657065</v>
      </c>
      <c r="AA678" s="69" t="n">
        <f aca="false">AA72+AA244+AA329+AA497</f>
        <v>18824.9206961591</v>
      </c>
      <c r="AB678" s="69" t="n">
        <f aca="false">AB72+AB244+AB329+AB497</f>
        <v>16335.9375</v>
      </c>
    </row>
    <row r="679" customFormat="false" ht="15" hidden="false" customHeight="false" outlineLevel="0" collapsed="false">
      <c r="A679" s="27" t="s">
        <v>321</v>
      </c>
      <c r="B679" s="56" t="s">
        <v>793</v>
      </c>
      <c r="C679" s="57" t="n">
        <f aca="false">P679</f>
        <v>153844.645284143</v>
      </c>
      <c r="D679" s="57" t="n">
        <f aca="false">AB679</f>
        <v>136453.125</v>
      </c>
      <c r="E679" s="70" t="n">
        <f aca="false">E84+E256+E341+E509</f>
        <v>240499.71</v>
      </c>
      <c r="F679" s="70" t="n">
        <f aca="false">F84+F256+F341+F509</f>
        <v>181604.54</v>
      </c>
      <c r="G679" s="70" t="n">
        <f aca="false">G84+G256+G341+G509</f>
        <v>110689.2</v>
      </c>
      <c r="H679" s="70" t="n">
        <f aca="false">H84+H256+H341+H509</f>
        <v>49111.8599999999</v>
      </c>
      <c r="I679" s="70" t="n">
        <f aca="false">I84+I256+I341+I509</f>
        <v>33347.91</v>
      </c>
      <c r="J679" s="70" t="n">
        <f aca="false">J84+J256+J341+J509</f>
        <v>99114.7</v>
      </c>
      <c r="K679" s="70" t="n">
        <f aca="false">K84+K256+K341+K509</f>
        <v>150269.14</v>
      </c>
      <c r="L679" s="70" t="n">
        <f aca="false">L84+L256+L341+L509</f>
        <v>177174.54</v>
      </c>
      <c r="M679" s="70" t="n">
        <f aca="false">M84+M256+M341+M509</f>
        <v>205472.895748217</v>
      </c>
      <c r="N679" s="70" t="n">
        <f aca="false">N84+N256+N341+N509</f>
        <v>203294.70983976</v>
      </c>
      <c r="O679" s="70" t="n">
        <f aca="false">O84+O256+O341+O509</f>
        <v>186811.354987887</v>
      </c>
      <c r="P679" s="70" t="n">
        <f aca="false">P84+P256+P341+P509</f>
        <v>153844.645284143</v>
      </c>
      <c r="Q679" s="70" t="n">
        <f aca="false">Q84+Q256+Q341+Q509</f>
        <v>104394.580728525</v>
      </c>
      <c r="R679" s="70" t="n">
        <f aca="false">R84+R256+R341+R509</f>
        <v>38461.1613210358</v>
      </c>
      <c r="S679" s="70" t="n">
        <f aca="false">S84+S256+S341+S509</f>
        <v>60356.6529492455</v>
      </c>
      <c r="T679" s="70" t="n">
        <f aca="false">T84+T256+T341+T509</f>
        <v>161755.829903978</v>
      </c>
      <c r="U679" s="70" t="n">
        <f aca="false">U84+U256+U341+U509</f>
        <v>234183.813443073</v>
      </c>
      <c r="V679" s="70" t="n">
        <f aca="false">V84+V256+V341+V509</f>
        <v>277640.603566529</v>
      </c>
      <c r="W679" s="70" t="n">
        <f aca="false">W84+W256+W341+W509</f>
        <v>292126.200274349</v>
      </c>
      <c r="X679" s="70" t="n">
        <f aca="false">X84+X256+X341+X509</f>
        <v>277640.60356653</v>
      </c>
      <c r="Y679" s="70" t="n">
        <f aca="false">Y84+Y256+Y341+Y509</f>
        <v>234183.813443072</v>
      </c>
      <c r="Z679" s="70" t="n">
        <f aca="false">Z84+Z256+Z341+Z509</f>
        <v>198365.204903978</v>
      </c>
      <c r="AA679" s="70" t="n">
        <f aca="false">AA84+AA256+AA341+AA509</f>
        <v>156872.277949245</v>
      </c>
      <c r="AB679" s="70" t="n">
        <f aca="false">AB84+AB256+AB341+AB509</f>
        <v>136453.125</v>
      </c>
    </row>
    <row r="680" customFormat="false" ht="15" hidden="false" customHeight="false" outlineLevel="0" collapsed="false">
      <c r="A680" s="27" t="s">
        <v>802</v>
      </c>
      <c r="B680" s="56" t="s">
        <v>793</v>
      </c>
      <c r="C680" s="57" t="n">
        <f aca="false">P680</f>
        <v>0</v>
      </c>
      <c r="D680" s="57" t="n">
        <f aca="false">AB680</f>
        <v>0</v>
      </c>
      <c r="E680" s="70" t="n">
        <f aca="false">E85+E257+E342+E510</f>
        <v>0</v>
      </c>
      <c r="F680" s="70" t="n">
        <f aca="false">F85+F257+F342+F510</f>
        <v>0</v>
      </c>
      <c r="G680" s="70" t="n">
        <f aca="false">G85+G257+G342+G510</f>
        <v>0</v>
      </c>
      <c r="H680" s="70" t="n">
        <f aca="false">H85+H257+H342+H510</f>
        <v>0</v>
      </c>
      <c r="I680" s="70" t="n">
        <f aca="false">I85+I257+I342+I510</f>
        <v>0</v>
      </c>
      <c r="J680" s="70" t="n">
        <f aca="false">J85+J257+J342+J510</f>
        <v>0</v>
      </c>
      <c r="K680" s="70" t="n">
        <f aca="false">K85+K257+K342+K510</f>
        <v>0</v>
      </c>
      <c r="L680" s="70" t="n">
        <f aca="false">L85+L257+L342+L510</f>
        <v>0</v>
      </c>
      <c r="M680" s="70" t="n">
        <f aca="false">M85+M257+M342+M510</f>
        <v>0</v>
      </c>
      <c r="N680" s="70" t="n">
        <f aca="false">N85+N257+N342+N510</f>
        <v>0</v>
      </c>
      <c r="O680" s="70" t="n">
        <f aca="false">O85+O257+O342+O510</f>
        <v>0</v>
      </c>
      <c r="P680" s="70" t="n">
        <f aca="false">P85+P257+P342+P510</f>
        <v>0</v>
      </c>
      <c r="Q680" s="70" t="n">
        <f aca="false">Q85+Q257+Q342+Q510</f>
        <v>0</v>
      </c>
      <c r="R680" s="70" t="n">
        <f aca="false">R85+R257+R342+R510</f>
        <v>0</v>
      </c>
      <c r="S680" s="70" t="n">
        <f aca="false">S85+S257+S342+S510</f>
        <v>0</v>
      </c>
      <c r="T680" s="70" t="n">
        <f aca="false">T85+T257+T342+T510</f>
        <v>0</v>
      </c>
      <c r="U680" s="70" t="n">
        <f aca="false">U85+U257+U342+U510</f>
        <v>0</v>
      </c>
      <c r="V680" s="70" t="n">
        <f aca="false">V85+V257+V342+V510</f>
        <v>0</v>
      </c>
      <c r="W680" s="70" t="n">
        <f aca="false">W85+W257+W342+W510</f>
        <v>0</v>
      </c>
      <c r="X680" s="70" t="n">
        <f aca="false">X85+X257+X342+X510</f>
        <v>0</v>
      </c>
      <c r="Y680" s="70" t="n">
        <f aca="false">Y85+Y257+Y342+Y510</f>
        <v>0</v>
      </c>
      <c r="Z680" s="70" t="n">
        <f aca="false">Z85+Z257+Z342+Z510</f>
        <v>0</v>
      </c>
      <c r="AA680" s="70" t="n">
        <f aca="false">AA85+AA257+AA342+AA510</f>
        <v>0</v>
      </c>
      <c r="AB680" s="70" t="n">
        <f aca="false">AB85+AB257+AB342+AB510</f>
        <v>0</v>
      </c>
    </row>
    <row r="681" customFormat="false" ht="15" hidden="false" customHeight="false" outlineLevel="0" collapsed="false">
      <c r="A681" s="27" t="s">
        <v>403</v>
      </c>
      <c r="B681" s="56" t="s">
        <v>793</v>
      </c>
      <c r="C681" s="57" t="n">
        <f aca="false">P681</f>
        <v>0</v>
      </c>
      <c r="D681" s="57" t="n">
        <f aca="false">AB681</f>
        <v>0</v>
      </c>
      <c r="E681" s="70" t="n">
        <f aca="false">E70+E242+E327+E495</f>
        <v>0</v>
      </c>
      <c r="F681" s="70" t="n">
        <f aca="false">F70+F242+F327+F495</f>
        <v>0</v>
      </c>
      <c r="G681" s="70" t="n">
        <f aca="false">G70+G242+G327+G495</f>
        <v>0</v>
      </c>
      <c r="H681" s="70" t="n">
        <f aca="false">H70+H242+H327+H495</f>
        <v>0</v>
      </c>
      <c r="I681" s="70" t="n">
        <f aca="false">I70+I242+I327+I495</f>
        <v>0</v>
      </c>
      <c r="J681" s="70" t="n">
        <f aca="false">J70+J242+J327+J495</f>
        <v>0</v>
      </c>
      <c r="K681" s="70" t="n">
        <f aca="false">K70+K242+K327+K495</f>
        <v>0</v>
      </c>
      <c r="L681" s="70" t="n">
        <f aca="false">L70+L242+L327+L495</f>
        <v>0</v>
      </c>
      <c r="M681" s="70" t="n">
        <f aca="false">M70+M242+M327+M495</f>
        <v>0</v>
      </c>
      <c r="N681" s="70" t="n">
        <f aca="false">N70+N242+N327+N495</f>
        <v>0</v>
      </c>
      <c r="O681" s="70" t="n">
        <f aca="false">O70+O242+O327+O495</f>
        <v>0</v>
      </c>
      <c r="P681" s="70" t="n">
        <f aca="false">P70+P242+P327+P495</f>
        <v>0</v>
      </c>
      <c r="Q681" s="70" t="n">
        <f aca="false">Q70+Q242+Q327+Q495</f>
        <v>0</v>
      </c>
      <c r="R681" s="70" t="n">
        <f aca="false">R70+R242+R327+R495</f>
        <v>0</v>
      </c>
      <c r="S681" s="70" t="n">
        <f aca="false">S70+S242+S327+S495</f>
        <v>0</v>
      </c>
      <c r="T681" s="70" t="n">
        <f aca="false">T70+T242+T327+T495</f>
        <v>0</v>
      </c>
      <c r="U681" s="70" t="n">
        <f aca="false">U70+U242+U327+U495</f>
        <v>0</v>
      </c>
      <c r="V681" s="70" t="n">
        <f aca="false">V70+V242+V327+V495</f>
        <v>0</v>
      </c>
      <c r="W681" s="70" t="n">
        <f aca="false">W70+W242+W327+W495</f>
        <v>0</v>
      </c>
      <c r="X681" s="70" t="n">
        <f aca="false">X70+X242+X327+X495</f>
        <v>0</v>
      </c>
      <c r="Y681" s="70" t="n">
        <f aca="false">Y70+Y242+Y327+Y495</f>
        <v>0</v>
      </c>
      <c r="Z681" s="70" t="n">
        <f aca="false">Z70+Z242+Z327+Z495</f>
        <v>0</v>
      </c>
      <c r="AA681" s="70" t="n">
        <f aca="false">AA70+AA242+AA327+AA495</f>
        <v>0</v>
      </c>
      <c r="AB681" s="70" t="n">
        <f aca="false">AB70+AB242+AB327+AB495</f>
        <v>0</v>
      </c>
    </row>
    <row r="682" customFormat="false" ht="15" hidden="false" customHeight="false" outlineLevel="0" collapsed="false">
      <c r="A682" s="27" t="s">
        <v>803</v>
      </c>
      <c r="B682" s="56" t="s">
        <v>793</v>
      </c>
      <c r="C682" s="57" t="n">
        <f aca="false">P682</f>
        <v>80472.7306333148</v>
      </c>
      <c r="D682" s="57" t="n">
        <f aca="false">AB682</f>
        <v>84447.625</v>
      </c>
      <c r="E682" s="70" t="n">
        <f aca="false">E76+E248+E333+E501</f>
        <v>26041.123</v>
      </c>
      <c r="F682" s="70" t="n">
        <f aca="false">F76+F248+F333+F501</f>
        <v>38391.1015</v>
      </c>
      <c r="G682" s="70" t="n">
        <f aca="false">G76+G248+G333+G501</f>
        <v>47230.5755</v>
      </c>
      <c r="H682" s="70" t="n">
        <f aca="false">H76+H248+H333+H501</f>
        <v>52994.407</v>
      </c>
      <c r="I682" s="70" t="n">
        <f aca="false">I76+I248+I333+I501</f>
        <v>27725</v>
      </c>
      <c r="J682" s="70" t="n">
        <f aca="false">J76+J248+J333+J501</f>
        <v>29392.3955</v>
      </c>
      <c r="K682" s="70" t="n">
        <f aca="false">K76+K248+K333+K501</f>
        <v>34287.7235</v>
      </c>
      <c r="L682" s="70" t="n">
        <f aca="false">L76+L248+L333+L501</f>
        <v>41906.3175</v>
      </c>
      <c r="M682" s="70" t="n">
        <f aca="false">M76+M248+M333+M501</f>
        <v>50639.5531211111</v>
      </c>
      <c r="N682" s="70" t="n">
        <f aca="false">N76+N248+N333+N501</f>
        <v>60967.4273919324</v>
      </c>
      <c r="O682" s="70" t="n">
        <f aca="false">O76+O248+O333+O501</f>
        <v>71132.1628839205</v>
      </c>
      <c r="P682" s="70" t="n">
        <f aca="false">P76+P248+P333+P501</f>
        <v>80472.7306333148</v>
      </c>
      <c r="Q682" s="70" t="n">
        <f aca="false">Q76+Q248+Q333+Q501</f>
        <v>88164.962897522</v>
      </c>
      <c r="R682" s="70" t="n">
        <f aca="false">R76+R248+R333+R501</f>
        <v>93384.6919339482</v>
      </c>
      <c r="S682" s="70" t="n">
        <f aca="false">S76+S248+S333+S501</f>
        <v>61516.375</v>
      </c>
      <c r="T682" s="70" t="n">
        <f aca="false">T76+T248+T333+T501</f>
        <v>64534.2076474623</v>
      </c>
      <c r="U682" s="70" t="n">
        <f aca="false">U76+U248+U333+U501</f>
        <v>44896.9991426612</v>
      </c>
      <c r="V682" s="70" t="n">
        <f aca="false">V76+V248+V333+V501</f>
        <v>56606.1898148148</v>
      </c>
      <c r="W682" s="70" t="n">
        <f aca="false">W76+W248+W333+W501</f>
        <v>70488.2199931413</v>
      </c>
      <c r="X682" s="70" t="n">
        <f aca="false">X76+X248+X333+X501</f>
        <v>85094.5300068587</v>
      </c>
      <c r="Y682" s="70" t="n">
        <f aca="false">Y76+Y248+Y333+Y501</f>
        <v>98976.5601851852</v>
      </c>
      <c r="Z682" s="70" t="n">
        <f aca="false">Z76+Z248+Z333+Z501</f>
        <v>110685.750857339</v>
      </c>
      <c r="AA682" s="70" t="n">
        <f aca="false">AA76+AA248+AA333+AA501</f>
        <v>120604.011102538</v>
      </c>
      <c r="AB682" s="70" t="n">
        <f aca="false">AB76+AB248+AB333+AB501</f>
        <v>84447.625</v>
      </c>
    </row>
    <row r="683" customFormat="false" ht="15" hidden="false" customHeight="false" outlineLevel="0" collapsed="false">
      <c r="A683" s="27" t="s">
        <v>804</v>
      </c>
      <c r="B683" s="56" t="s">
        <v>793</v>
      </c>
      <c r="C683" s="57" t="n">
        <f aca="false">SUM(E683:P683)</f>
        <v>63885.6371333148</v>
      </c>
      <c r="D683" s="57" t="n">
        <f aca="false">SUM(Q683:AB683)</f>
        <v>3974.89436668519</v>
      </c>
      <c r="E683" s="70" t="n">
        <f aca="false">E77+E249+E334+E502</f>
        <v>9454.0295</v>
      </c>
      <c r="F683" s="70" t="n">
        <f aca="false">F77+F249+F334+F502</f>
        <v>12349.9785</v>
      </c>
      <c r="G683" s="70" t="n">
        <f aca="false">G77+G249+G334+G502</f>
        <v>8839.474</v>
      </c>
      <c r="H683" s="70" t="n">
        <f aca="false">H77+H249+H334+H502</f>
        <v>5763.8315</v>
      </c>
      <c r="I683" s="70" t="n">
        <f aca="false">I77+I249+I334+I502</f>
        <v>-25269.407</v>
      </c>
      <c r="J683" s="70" t="n">
        <f aca="false">J77+J249+J334+J502</f>
        <v>1667.3955</v>
      </c>
      <c r="K683" s="70" t="n">
        <f aca="false">K77+K249+K334+K502</f>
        <v>4895.328</v>
      </c>
      <c r="L683" s="70" t="n">
        <f aca="false">L77+L249+L334+L502</f>
        <v>7618.594</v>
      </c>
      <c r="M683" s="70" t="n">
        <f aca="false">M77+M249+M334+M502</f>
        <v>8733.23562111111</v>
      </c>
      <c r="N683" s="70" t="n">
        <f aca="false">N77+N249+N334+N502</f>
        <v>10327.8742708213</v>
      </c>
      <c r="O683" s="70" t="n">
        <f aca="false">O77+O249+O334+O502</f>
        <v>10164.735491988</v>
      </c>
      <c r="P683" s="70" t="n">
        <f aca="false">P77+P249+P334+P502</f>
        <v>9340.56774939436</v>
      </c>
      <c r="Q683" s="70" t="n">
        <f aca="false">Q77+Q249+Q334+Q502</f>
        <v>7692.23226420715</v>
      </c>
      <c r="R683" s="70" t="n">
        <f aca="false">R77+R249+R334+R502</f>
        <v>5219.72903642625</v>
      </c>
      <c r="S683" s="70" t="n">
        <f aca="false">S77+S249+S334+S502</f>
        <v>-31868.3169339482</v>
      </c>
      <c r="T683" s="70" t="n">
        <f aca="false">T77+T249+T334+T502</f>
        <v>3017.83264746228</v>
      </c>
      <c r="U683" s="70" t="n">
        <f aca="false">U77+U249+U334+U502</f>
        <v>-19637.2085048011</v>
      </c>
      <c r="V683" s="70" t="n">
        <f aca="false">V77+V249+V334+V502</f>
        <v>11709.1906721536</v>
      </c>
      <c r="W683" s="70" t="n">
        <f aca="false">W77+W249+W334+W502</f>
        <v>13882.0301783265</v>
      </c>
      <c r="X683" s="70" t="n">
        <f aca="false">X77+X249+X334+X502</f>
        <v>14606.3100137174</v>
      </c>
      <c r="Y683" s="70" t="n">
        <f aca="false">Y77+Y249+Y334+Y502</f>
        <v>13882.0301783265</v>
      </c>
      <c r="Z683" s="70" t="n">
        <f aca="false">Z77+Z249+Z334+Z502</f>
        <v>11709.1906721536</v>
      </c>
      <c r="AA683" s="70" t="n">
        <f aca="false">AA77+AA249+AA334+AA502</f>
        <v>9918.26024519892</v>
      </c>
      <c r="AB683" s="70" t="n">
        <f aca="false">AB77+AB249+AB334+AB502</f>
        <v>-36156.3861025377</v>
      </c>
    </row>
    <row r="684" customFormat="false" ht="15" hidden="false" customHeight="false" outlineLevel="0" collapsed="false">
      <c r="A684" s="27" t="s">
        <v>805</v>
      </c>
      <c r="B684" s="56" t="s">
        <v>793</v>
      </c>
      <c r="C684" s="57" t="n">
        <f aca="false">P684</f>
        <v>42243.2848375309</v>
      </c>
      <c r="D684" s="57" t="n">
        <f aca="false">AB684</f>
        <v>44618.62544</v>
      </c>
      <c r="E684" s="70" t="n">
        <f aca="false">E87+E259+E344+E512</f>
        <v>18429.33</v>
      </c>
      <c r="F684" s="70" t="n">
        <f aca="false">F87+F259+F344+F512</f>
        <v>22778.5075</v>
      </c>
      <c r="G684" s="70" t="n">
        <f aca="false">G87+G259+G344+G512</f>
        <v>25078.258</v>
      </c>
      <c r="H684" s="70" t="n">
        <f aca="false">H87+H259+H344+H512</f>
        <v>26202.969</v>
      </c>
      <c r="I684" s="70" t="n">
        <f aca="false">I87+I259+I344+I512</f>
        <v>13927.4695</v>
      </c>
      <c r="J684" s="70" t="n">
        <f aca="false">J87+J259+J344+J512</f>
        <v>16241.7315</v>
      </c>
      <c r="K684" s="70" t="n">
        <f aca="false">K87+K259+K344+K512</f>
        <v>20027.5055</v>
      </c>
      <c r="L684" s="70" t="n">
        <f aca="false">L87+L259+L344+L512</f>
        <v>24132.332</v>
      </c>
      <c r="M684" s="70" t="n">
        <f aca="false">M87+M259+M344+M512</f>
        <v>29059.5765219753</v>
      </c>
      <c r="N684" s="70" t="n">
        <f aca="false">N87+N259+N344+N512</f>
        <v>33986.8210439506</v>
      </c>
      <c r="O684" s="70" t="n">
        <f aca="false">O87+O259+O344+O512</f>
        <v>38514.5592533333</v>
      </c>
      <c r="P684" s="70" t="n">
        <f aca="false">P87+P259+P344+P512</f>
        <v>42243.2848375309</v>
      </c>
      <c r="Q684" s="70" t="n">
        <f aca="false">Q87+Q259+Q344+Q512</f>
        <v>44773.4914839506</v>
      </c>
      <c r="R684" s="70" t="n">
        <f aca="false">R87+R259+R344+R512</f>
        <v>45705.67288</v>
      </c>
      <c r="S684" s="70" t="n">
        <f aca="false">S87+S259+S344+S512</f>
        <v>30889.9984430864</v>
      </c>
      <c r="T684" s="70" t="n">
        <f aca="false">T87+T259+T344+T512</f>
        <v>34873.603381358</v>
      </c>
      <c r="U684" s="70" t="n">
        <f aca="false">U87+U259+U344+U512</f>
        <v>27539.4275233333</v>
      </c>
      <c r="V684" s="70" t="n">
        <f aca="false">V87+V259+V344+V512</f>
        <v>34376.9583875309</v>
      </c>
      <c r="W684" s="70" t="n">
        <f aca="false">W87+W259+W344+W512</f>
        <v>41571.2299924691</v>
      </c>
      <c r="X684" s="70" t="n">
        <f aca="false">X87+X259+X344+X512</f>
        <v>48408.7608566667</v>
      </c>
      <c r="Y684" s="70" t="n">
        <f aca="false">Y87+Y259+Y344+Y512</f>
        <v>54176.069498642</v>
      </c>
      <c r="Z684" s="70" t="n">
        <f aca="false">Z87+Z259+Z344+Z512</f>
        <v>59062.0181869136</v>
      </c>
      <c r="AA684" s="70" t="n">
        <f aca="false">AA87+AA259+AA344+AA512</f>
        <v>62927.34419</v>
      </c>
      <c r="AB684" s="70" t="n">
        <f aca="false">AB87+AB259+AB344+AB512</f>
        <v>44618.62544</v>
      </c>
    </row>
    <row r="685" customFormat="false" ht="15" hidden="false" customHeight="false" outlineLevel="0" collapsed="false">
      <c r="A685" s="27" t="s">
        <v>771</v>
      </c>
      <c r="B685" s="56" t="s">
        <v>793</v>
      </c>
      <c r="C685" s="57" t="n">
        <f aca="false">SUM(E685:P685)</f>
        <v>29606.2833375309</v>
      </c>
      <c r="D685" s="57" t="n">
        <f aca="false">SUM(Q685:AB685)</f>
        <v>2375.34060246913</v>
      </c>
      <c r="E685" s="70" t="n">
        <f aca="false">E88+E260+E345+E513</f>
        <v>5792.3285</v>
      </c>
      <c r="F685" s="70" t="n">
        <f aca="false">F88+F260+F345+F513</f>
        <v>4349.1775</v>
      </c>
      <c r="G685" s="70" t="n">
        <f aca="false">G88+G260+G345+G513</f>
        <v>2299.7505</v>
      </c>
      <c r="H685" s="70" t="n">
        <f aca="false">H88+H260+H345+H513</f>
        <v>1124.711</v>
      </c>
      <c r="I685" s="70" t="n">
        <f aca="false">I88+I260+I345+I513</f>
        <v>-12275.4995</v>
      </c>
      <c r="J685" s="70" t="n">
        <f aca="false">J88+J260+J345+J513</f>
        <v>2314.262</v>
      </c>
      <c r="K685" s="70" t="n">
        <f aca="false">K88+K260+K345+K513</f>
        <v>3785.774</v>
      </c>
      <c r="L685" s="70" t="n">
        <f aca="false">L88+L260+L345+L513</f>
        <v>4104.8265</v>
      </c>
      <c r="M685" s="70" t="n">
        <f aca="false">M88+M260+M345+M513</f>
        <v>4927.24452197531</v>
      </c>
      <c r="N685" s="70" t="n">
        <f aca="false">N88+N260+N345+N513</f>
        <v>4927.24452197531</v>
      </c>
      <c r="O685" s="70" t="n">
        <f aca="false">O88+O260+O345+O513</f>
        <v>4527.73820938271</v>
      </c>
      <c r="P685" s="70" t="n">
        <f aca="false">P88+P260+P345+P513</f>
        <v>3728.72558419753</v>
      </c>
      <c r="Q685" s="70" t="n">
        <f aca="false">Q88+Q260+Q345+Q513</f>
        <v>2530.20664641975</v>
      </c>
      <c r="R685" s="70" t="n">
        <f aca="false">R88+R260+R345+R513</f>
        <v>932.181396049382</v>
      </c>
      <c r="S685" s="70" t="n">
        <f aca="false">S88+S260+S345+S513</f>
        <v>-14815.6744369136</v>
      </c>
      <c r="T685" s="70" t="n">
        <f aca="false">T88+T260+T345+T513</f>
        <v>3983.60493827161</v>
      </c>
      <c r="U685" s="70" t="n">
        <f aca="false">U88+U260+U345+U513</f>
        <v>-7334.17585802469</v>
      </c>
      <c r="V685" s="70" t="n">
        <f aca="false">V88+V260+V345+V513</f>
        <v>6837.53086419753</v>
      </c>
      <c r="W685" s="70" t="n">
        <f aca="false">W88+W260+W345+W513</f>
        <v>7194.27160493828</v>
      </c>
      <c r="X685" s="70" t="n">
        <f aca="false">X88+X260+X345+X513</f>
        <v>6837.53086419753</v>
      </c>
      <c r="Y685" s="70" t="n">
        <f aca="false">Y88+Y260+Y345+Y513</f>
        <v>5767.30864197531</v>
      </c>
      <c r="Z685" s="70" t="n">
        <f aca="false">Z88+Z260+Z345+Z513</f>
        <v>4885.94868827162</v>
      </c>
      <c r="AA685" s="70" t="n">
        <f aca="false">AA88+AA260+AA345+AA513</f>
        <v>3865.3260030864</v>
      </c>
      <c r="AB685" s="70" t="n">
        <f aca="false">AB88+AB260+AB345+AB513</f>
        <v>-18308.71875</v>
      </c>
    </row>
    <row r="686" customFormat="false" ht="15" hidden="false" customHeight="false" outlineLevel="0" collapsed="false">
      <c r="A686" s="27" t="s">
        <v>806</v>
      </c>
      <c r="B686" s="56" t="s">
        <v>793</v>
      </c>
      <c r="C686" s="57" t="n">
        <f aca="false">SUM(E686:P686)</f>
        <v>1768327.10553298</v>
      </c>
      <c r="D686" s="57" t="n">
        <f aca="false">SUM(Q686:AB686)</f>
        <v>2185850.49296702</v>
      </c>
      <c r="E686" s="70" t="n">
        <f aca="false">E78+E250+E335+E503</f>
        <v>179626.5605</v>
      </c>
      <c r="F686" s="70" t="n">
        <f aca="false">F78+F250+F335+F503</f>
        <v>234649.5915</v>
      </c>
      <c r="G686" s="70" t="n">
        <f aca="false">G78+G250+G335+G503</f>
        <v>167950.006</v>
      </c>
      <c r="H686" s="70" t="n">
        <f aca="false">H78+H250+H335+H503</f>
        <v>109512.7985</v>
      </c>
      <c r="I686" s="70" t="n">
        <f aca="false">I78+I250+I335+I503</f>
        <v>74381.2670000001</v>
      </c>
      <c r="J686" s="70" t="n">
        <f aca="false">J78+J250+J335+J503</f>
        <v>31680.5145</v>
      </c>
      <c r="K686" s="70" t="n">
        <f aca="false">K78+K250+K335+K503</f>
        <v>93011.232</v>
      </c>
      <c r="L686" s="70" t="n">
        <f aca="false">L78+L250+L335+L503</f>
        <v>144753.286</v>
      </c>
      <c r="M686" s="70" t="n">
        <f aca="false">M78+M250+M335+M503</f>
        <v>165931.476801111</v>
      </c>
      <c r="N686" s="70" t="n">
        <f aca="false">N78+N250+N335+N503</f>
        <v>196229.611145605</v>
      </c>
      <c r="O686" s="70" t="n">
        <f aca="false">O78+O250+O335+O503</f>
        <v>193129.974347772</v>
      </c>
      <c r="P686" s="70" t="n">
        <f aca="false">P78+P250+P335+P503</f>
        <v>177470.787238493</v>
      </c>
      <c r="Q686" s="70" t="n">
        <f aca="false">Q78+Q250+Q335+Q503</f>
        <v>146152.413019936</v>
      </c>
      <c r="R686" s="70" t="n">
        <f aca="false">R78+R250+R335+R503</f>
        <v>99174.8516920988</v>
      </c>
      <c r="S686" s="70" t="n">
        <f aca="false">S78+S250+S335+S503</f>
        <v>70329.478254984</v>
      </c>
      <c r="T686" s="70" t="n">
        <f aca="false">T78+T250+T335+T503</f>
        <v>57338.8203017833</v>
      </c>
      <c r="U686" s="70" t="n">
        <f aca="false">U78+U250+U335+U503</f>
        <v>181393.038408779</v>
      </c>
      <c r="V686" s="70" t="n">
        <f aca="false">V78+V250+V335+V503</f>
        <v>222474.622770919</v>
      </c>
      <c r="W686" s="70" t="n">
        <f aca="false">W78+W250+W335+W503</f>
        <v>263758.573388203</v>
      </c>
      <c r="X686" s="70" t="n">
        <f aca="false">X78+X250+X335+X503</f>
        <v>277519.890260631</v>
      </c>
      <c r="Y686" s="70" t="n">
        <f aca="false">Y78+Y250+Y335+Y503</f>
        <v>263758.573388203</v>
      </c>
      <c r="Z686" s="70" t="n">
        <f aca="false">Z78+Z250+Z335+Z503</f>
        <v>222474.622770919</v>
      </c>
      <c r="AA686" s="70" t="n">
        <f aca="false">AA78+AA250+AA335+AA503</f>
        <v>188446.944658779</v>
      </c>
      <c r="AB686" s="70" t="n">
        <f aca="false">AB78+AB250+AB335+AB503</f>
        <v>193028.664051783</v>
      </c>
    </row>
    <row r="687" customFormat="false" ht="15" hidden="false" customHeight="false" outlineLevel="0" collapsed="false">
      <c r="A687" s="27" t="s">
        <v>807</v>
      </c>
      <c r="B687" s="56" t="s">
        <v>793</v>
      </c>
      <c r="C687" s="57" t="n">
        <f aca="false">SUM(E687:P687)</f>
        <v>0</v>
      </c>
      <c r="D687" s="57" t="n">
        <f aca="false">SUM(Q687:AB687)</f>
        <v>0</v>
      </c>
      <c r="E687" s="70" t="n">
        <f aca="false">E79+E251+E336+E504</f>
        <v>0</v>
      </c>
      <c r="F687" s="70" t="n">
        <f aca="false">F79+F251+F336+F504</f>
        <v>0</v>
      </c>
      <c r="G687" s="70" t="n">
        <f aca="false">G79+G251+G336+G504</f>
        <v>0</v>
      </c>
      <c r="H687" s="70" t="n">
        <f aca="false">H79+H251+H336+H504</f>
        <v>0</v>
      </c>
      <c r="I687" s="70" t="n">
        <f aca="false">I79+I251+I336+I504</f>
        <v>0</v>
      </c>
      <c r="J687" s="70" t="n">
        <f aca="false">J79+J251+J336+J504</f>
        <v>0</v>
      </c>
      <c r="K687" s="70" t="n">
        <f aca="false">K79+K251+K336+K504</f>
        <v>0</v>
      </c>
      <c r="L687" s="70" t="n">
        <f aca="false">L79+L251+L336+L504</f>
        <v>0</v>
      </c>
      <c r="M687" s="70" t="n">
        <f aca="false">M79+M251+M336+M504</f>
        <v>0</v>
      </c>
      <c r="N687" s="70" t="n">
        <f aca="false">N79+N251+N336+N504</f>
        <v>0</v>
      </c>
      <c r="O687" s="70" t="n">
        <f aca="false">O79+O251+O336+O504</f>
        <v>0</v>
      </c>
      <c r="P687" s="70" t="n">
        <f aca="false">P79+P251+P336+P504</f>
        <v>0</v>
      </c>
      <c r="Q687" s="70" t="n">
        <f aca="false">Q79+Q251+Q336+Q504</f>
        <v>0</v>
      </c>
      <c r="R687" s="70" t="n">
        <f aca="false">R79+R251+R336+R504</f>
        <v>0</v>
      </c>
      <c r="S687" s="70" t="n">
        <f aca="false">S79+S251+S336+S504</f>
        <v>0</v>
      </c>
      <c r="T687" s="70" t="n">
        <f aca="false">T79+T251+T336+T504</f>
        <v>0</v>
      </c>
      <c r="U687" s="70" t="n">
        <f aca="false">U79+U251+U336+U504</f>
        <v>0</v>
      </c>
      <c r="V687" s="70" t="n">
        <f aca="false">V79+V251+V336+V504</f>
        <v>0</v>
      </c>
      <c r="W687" s="70" t="n">
        <f aca="false">W79+W251+W336+W504</f>
        <v>0</v>
      </c>
      <c r="X687" s="70" t="n">
        <f aca="false">X79+X251+X336+X504</f>
        <v>0</v>
      </c>
      <c r="Y687" s="70" t="n">
        <f aca="false">Y79+Y251+Y336+Y504</f>
        <v>0</v>
      </c>
      <c r="Z687" s="70" t="n">
        <f aca="false">Z79+Z251+Z336+Z504</f>
        <v>0</v>
      </c>
      <c r="AA687" s="70" t="n">
        <f aca="false">AA79+AA251+AA336+AA504</f>
        <v>0</v>
      </c>
      <c r="AB687" s="70" t="n">
        <f aca="false">AB79+AB251+AB336+AB504</f>
        <v>0</v>
      </c>
    </row>
    <row r="688" customFormat="false" ht="15" hidden="false" customHeight="false" outlineLevel="0" collapsed="false">
      <c r="A688" s="27" t="s">
        <v>760</v>
      </c>
      <c r="B688" s="56" t="s">
        <v>793</v>
      </c>
      <c r="C688" s="57" t="n">
        <f aca="false">SUM(E688:P688)</f>
        <v>1768327.10553298</v>
      </c>
      <c r="D688" s="57" t="n">
        <f aca="false">SUM(Q688:AB688)</f>
        <v>2185850.49296702</v>
      </c>
      <c r="E688" s="70" t="n">
        <f aca="false">E80+E252+E337+E505</f>
        <v>179626.5605</v>
      </c>
      <c r="F688" s="70" t="n">
        <f aca="false">F80+F252+F337+F505</f>
        <v>234649.5915</v>
      </c>
      <c r="G688" s="70" t="n">
        <f aca="false">G80+G252+G337+G505</f>
        <v>167950.006</v>
      </c>
      <c r="H688" s="70" t="n">
        <f aca="false">H80+H252+H337+H505</f>
        <v>109512.7985</v>
      </c>
      <c r="I688" s="70" t="n">
        <f aca="false">I80+I252+I337+I505</f>
        <v>74381.2670000001</v>
      </c>
      <c r="J688" s="70" t="n">
        <f aca="false">J80+J252+J337+J505</f>
        <v>31680.5145</v>
      </c>
      <c r="K688" s="70" t="n">
        <f aca="false">K80+K252+K337+K505</f>
        <v>93011.232</v>
      </c>
      <c r="L688" s="70" t="n">
        <f aca="false">L80+L252+L337+L505</f>
        <v>144753.286</v>
      </c>
      <c r="M688" s="70" t="n">
        <f aca="false">M80+M252+M337+M505</f>
        <v>165931.476801111</v>
      </c>
      <c r="N688" s="70" t="n">
        <f aca="false">N80+N252+N337+N505</f>
        <v>196229.611145605</v>
      </c>
      <c r="O688" s="70" t="n">
        <f aca="false">O80+O252+O337+O505</f>
        <v>193129.974347772</v>
      </c>
      <c r="P688" s="70" t="n">
        <f aca="false">P80+P252+P337+P505</f>
        <v>177470.787238493</v>
      </c>
      <c r="Q688" s="70" t="n">
        <f aca="false">Q80+Q252+Q337+Q505</f>
        <v>146152.413019936</v>
      </c>
      <c r="R688" s="70" t="n">
        <f aca="false">R80+R252+R337+R505</f>
        <v>99174.8516920988</v>
      </c>
      <c r="S688" s="70" t="n">
        <f aca="false">S80+S252+S337+S505</f>
        <v>70329.478254984</v>
      </c>
      <c r="T688" s="70" t="n">
        <f aca="false">T80+T252+T337+T505</f>
        <v>57338.8203017833</v>
      </c>
      <c r="U688" s="70" t="n">
        <f aca="false">U80+U252+U337+U505</f>
        <v>181393.038408779</v>
      </c>
      <c r="V688" s="70" t="n">
        <f aca="false">V80+V252+V337+V505</f>
        <v>222474.622770919</v>
      </c>
      <c r="W688" s="70" t="n">
        <f aca="false">W80+W252+W337+W505</f>
        <v>263758.573388203</v>
      </c>
      <c r="X688" s="70" t="n">
        <f aca="false">X80+X252+X337+X505</f>
        <v>277519.890260631</v>
      </c>
      <c r="Y688" s="70" t="n">
        <f aca="false">Y80+Y252+Y337+Y505</f>
        <v>263758.573388203</v>
      </c>
      <c r="Z688" s="70" t="n">
        <f aca="false">Z80+Z252+Z337+Z505</f>
        <v>222474.622770919</v>
      </c>
      <c r="AA688" s="70" t="n">
        <f aca="false">AA80+AA252+AA337+AA505</f>
        <v>188446.944658779</v>
      </c>
      <c r="AB688" s="70" t="n">
        <f aca="false">AB80+AB252+AB337+AB505</f>
        <v>193028.664051783</v>
      </c>
    </row>
    <row r="689" customFormat="false" ht="15" hidden="false" customHeight="false" outlineLevel="0" collapsed="false">
      <c r="A689" s="27" t="s">
        <v>808</v>
      </c>
      <c r="B689" s="56" t="s">
        <v>793</v>
      </c>
      <c r="C689" s="57" t="n">
        <f aca="false">SUM(E689:P689)</f>
        <v>1747053.52829449</v>
      </c>
      <c r="D689" s="57" t="n">
        <f aca="false">SUM(Q689:AB689)</f>
        <v>2170292.61615373</v>
      </c>
      <c r="E689" s="70" t="n">
        <f aca="false">E81+E253+E338+E506</f>
        <v>144766.1</v>
      </c>
      <c r="F689" s="70" t="n">
        <f aca="false">F81+F253+F338+F506</f>
        <v>163070.87</v>
      </c>
      <c r="G689" s="70" t="n">
        <f aca="false">G81+G253+G338+G506</f>
        <v>253854.78</v>
      </c>
      <c r="H689" s="70" t="n">
        <f aca="false">H81+H253+H338+H506</f>
        <v>178666.93</v>
      </c>
      <c r="I689" s="70" t="n">
        <f aca="false">I81+I253+I338+I506</f>
        <v>112812.06</v>
      </c>
      <c r="J689" s="70" t="n">
        <f aca="false">J81+J253+J338+J506</f>
        <v>68015.76</v>
      </c>
      <c r="K689" s="70" t="n">
        <f aca="false">K81+K253+K338+K506</f>
        <v>33354.11</v>
      </c>
      <c r="L689" s="70" t="n">
        <f aca="false">L81+L253+L338+L506</f>
        <v>89759.77</v>
      </c>
      <c r="M689" s="70" t="n">
        <f aca="false">M81+M253+M338+M506</f>
        <v>147462.086</v>
      </c>
      <c r="N689" s="70" t="n">
        <f aca="false">N81+N253+N338+N506</f>
        <v>165931.476801111</v>
      </c>
      <c r="O689" s="70" t="n">
        <f aca="false">O81+O253+O338+O506</f>
        <v>196229.611145605</v>
      </c>
      <c r="P689" s="70" t="n">
        <f aca="false">P81+P253+P338+P506</f>
        <v>193129.974347772</v>
      </c>
      <c r="Q689" s="70" t="n">
        <f aca="false">Q81+Q253+Q338+Q506</f>
        <v>177470.787238493</v>
      </c>
      <c r="R689" s="70" t="n">
        <f aca="false">R81+R253+R338+R506</f>
        <v>146152.413019936</v>
      </c>
      <c r="S689" s="70" t="n">
        <f aca="false">S81+S253+S338+S506</f>
        <v>99174.8516920988</v>
      </c>
      <c r="T689" s="70" t="n">
        <f aca="false">T81+T253+T338+T506</f>
        <v>70329.478254984</v>
      </c>
      <c r="U689" s="70" t="n">
        <f aca="false">U81+U253+U338+U506</f>
        <v>57338.8203017833</v>
      </c>
      <c r="V689" s="70" t="n">
        <f aca="false">V81+V253+V338+V506</f>
        <v>181393.038408779</v>
      </c>
      <c r="W689" s="70" t="n">
        <f aca="false">W81+W253+W338+W506</f>
        <v>222474.622770919</v>
      </c>
      <c r="X689" s="70" t="n">
        <f aca="false">X81+X253+X338+X506</f>
        <v>263758.573388203</v>
      </c>
      <c r="Y689" s="70" t="n">
        <f aca="false">Y81+Y253+Y338+Y506</f>
        <v>277519.890260631</v>
      </c>
      <c r="Z689" s="70" t="n">
        <f aca="false">Z81+Z253+Z338+Z506</f>
        <v>263758.573388203</v>
      </c>
      <c r="AA689" s="70" t="n">
        <f aca="false">AA81+AA253+AA338+AA506</f>
        <v>222474.622770919</v>
      </c>
      <c r="AB689" s="70" t="n">
        <f aca="false">AB81+AB253+AB338+AB506</f>
        <v>188446.944658779</v>
      </c>
    </row>
    <row r="690" customFormat="false" ht="15" hidden="false" customHeight="false" outlineLevel="0" collapsed="false">
      <c r="A690" s="27" t="s">
        <v>809</v>
      </c>
      <c r="B690" s="56" t="s">
        <v>793</v>
      </c>
      <c r="C690" s="57" t="n">
        <f aca="false">P690</f>
        <v>177470.787238493</v>
      </c>
      <c r="D690" s="57" t="n">
        <f aca="false">AB690</f>
        <v>193028.664051783</v>
      </c>
      <c r="E690" s="70" t="n">
        <f aca="false">E82+E254+E339+E507</f>
        <v>191057.6705</v>
      </c>
      <c r="F690" s="70" t="n">
        <f aca="false">F82+F254+F339+F507</f>
        <v>262636.392</v>
      </c>
      <c r="G690" s="70" t="n">
        <f aca="false">G82+G254+G339+G507</f>
        <v>176731.618</v>
      </c>
      <c r="H690" s="70" t="n">
        <f aca="false">H82+H254+H339+H507</f>
        <v>107577.4865</v>
      </c>
      <c r="I690" s="70" t="n">
        <f aca="false">I82+I254+I339+I507</f>
        <v>69146.6935000003</v>
      </c>
      <c r="J690" s="70" t="n">
        <f aca="false">J82+J254+J339+J507</f>
        <v>32811.4480000003</v>
      </c>
      <c r="K690" s="70" t="n">
        <f aca="false">K82+K254+K339+K507</f>
        <v>92468.5700000003</v>
      </c>
      <c r="L690" s="70" t="n">
        <f aca="false">L82+L254+L339+L507</f>
        <v>147462.086</v>
      </c>
      <c r="M690" s="70" t="n">
        <f aca="false">M82+M254+M339+M507</f>
        <v>165931.476801111</v>
      </c>
      <c r="N690" s="70" t="n">
        <f aca="false">N82+N254+N339+N507</f>
        <v>196229.611145605</v>
      </c>
      <c r="O690" s="70" t="n">
        <f aca="false">O82+O254+O339+O507</f>
        <v>193129.974347772</v>
      </c>
      <c r="P690" s="70" t="n">
        <f aca="false">P82+P254+P339+P507</f>
        <v>177470.787238493</v>
      </c>
      <c r="Q690" s="70" t="n">
        <f aca="false">Q82+Q254+Q339+Q507</f>
        <v>146152.413019936</v>
      </c>
      <c r="R690" s="70" t="n">
        <f aca="false">R82+R254+R339+R507</f>
        <v>99174.8516920988</v>
      </c>
      <c r="S690" s="70" t="n">
        <f aca="false">S82+S254+S339+S507</f>
        <v>70329.478254984</v>
      </c>
      <c r="T690" s="70" t="n">
        <f aca="false">T82+T254+T339+T507</f>
        <v>57338.8203017833</v>
      </c>
      <c r="U690" s="70" t="n">
        <f aca="false">U82+U254+U339+U507</f>
        <v>181393.038408779</v>
      </c>
      <c r="V690" s="70" t="n">
        <f aca="false">V82+V254+V339+V507</f>
        <v>222474.622770919</v>
      </c>
      <c r="W690" s="70" t="n">
        <f aca="false">W82+W254+W339+W507</f>
        <v>263758.573388203</v>
      </c>
      <c r="X690" s="70" t="n">
        <f aca="false">X82+X254+X339+X507</f>
        <v>277519.890260631</v>
      </c>
      <c r="Y690" s="70" t="n">
        <f aca="false">Y82+Y254+Y339+Y507</f>
        <v>263758.573388203</v>
      </c>
      <c r="Z690" s="70" t="n">
        <f aca="false">Z82+Z254+Z339+Z507</f>
        <v>222474.622770919</v>
      </c>
      <c r="AA690" s="70" t="n">
        <f aca="false">AA82+AA254+AA339+AA507</f>
        <v>188446.944658779</v>
      </c>
      <c r="AB690" s="70" t="n">
        <f aca="false">AB82+AB254+AB339+AB507</f>
        <v>193028.664051783</v>
      </c>
    </row>
    <row r="691" customFormat="false" ht="15" hidden="false" customHeight="false" outlineLevel="0" collapsed="false">
      <c r="A691" s="27" t="s">
        <v>810</v>
      </c>
      <c r="B691" s="56" t="s">
        <v>793</v>
      </c>
      <c r="C691" s="57" t="n">
        <f aca="false">P691</f>
        <v>308000</v>
      </c>
      <c r="D691" s="57" t="n">
        <f aca="false">AB691</f>
        <v>85200</v>
      </c>
      <c r="E691" s="70" t="n">
        <f aca="false">E89+E261+E346+E514</f>
        <v>108000</v>
      </c>
      <c r="F691" s="70" t="n">
        <f aca="false">F89+F261+F346+F514</f>
        <v>108000</v>
      </c>
      <c r="G691" s="70" t="n">
        <f aca="false">G89+G261+G346+G514</f>
        <v>108000</v>
      </c>
      <c r="H691" s="70" t="n">
        <f aca="false">H89+H261+H346+H514</f>
        <v>240000</v>
      </c>
      <c r="I691" s="70" t="n">
        <f aca="false">I89+I261+I346+I514</f>
        <v>132000</v>
      </c>
      <c r="J691" s="70" t="n">
        <f aca="false">J89+J261+J346+J514</f>
        <v>132000</v>
      </c>
      <c r="K691" s="70" t="n">
        <f aca="false">K89+K261+K346+K514</f>
        <v>132000</v>
      </c>
      <c r="L691" s="70" t="n">
        <f aca="false">L89+L261+L346+L514</f>
        <v>308000</v>
      </c>
      <c r="M691" s="70" t="n">
        <f aca="false">M89+M261+M346+M514</f>
        <v>308000</v>
      </c>
      <c r="N691" s="70" t="n">
        <f aca="false">N89+N261+N346+N514</f>
        <v>308000</v>
      </c>
      <c r="O691" s="70" t="n">
        <f aca="false">O89+O261+O346+O514</f>
        <v>308000</v>
      </c>
      <c r="P691" s="70" t="n">
        <f aca="false">P89+P261+P346+P514</f>
        <v>308000</v>
      </c>
      <c r="Q691" s="70" t="n">
        <f aca="false">Q89+Q261+Q346+Q514</f>
        <v>308000</v>
      </c>
      <c r="R691" s="70" t="n">
        <f aca="false">R89+R261+R346+R514</f>
        <v>308000</v>
      </c>
      <c r="S691" s="70" t="n">
        <f aca="false">S89+S261+S346+S514</f>
        <v>176000</v>
      </c>
      <c r="T691" s="70" t="n">
        <f aca="false">T89+T261+T346+T514</f>
        <v>176000</v>
      </c>
      <c r="U691" s="70" t="n">
        <f aca="false">U89+U261+U346+U514</f>
        <v>176000</v>
      </c>
      <c r="V691" s="70" t="n">
        <f aca="false">V89+V261+V346+V514</f>
        <v>176000</v>
      </c>
      <c r="W691" s="70" t="n">
        <f aca="false">W89+W261+W346+W514</f>
        <v>176000</v>
      </c>
      <c r="X691" s="70" t="n">
        <f aca="false">X89+X261+X346+X514</f>
        <v>176000</v>
      </c>
      <c r="Y691" s="70" t="n">
        <f aca="false">Y89+Y261+Y346+Y514</f>
        <v>261200</v>
      </c>
      <c r="Z691" s="70" t="n">
        <f aca="false">Z89+Z261+Z346+Z514</f>
        <v>261200</v>
      </c>
      <c r="AA691" s="70" t="n">
        <f aca="false">AA89+AA261+AA346+AA514</f>
        <v>261200</v>
      </c>
      <c r="AB691" s="70" t="n">
        <f aca="false">AB89+AB261+AB346+AB514</f>
        <v>85200</v>
      </c>
    </row>
    <row r="692" customFormat="false" ht="15" hidden="false" customHeight="false" outlineLevel="0" collapsed="false">
      <c r="A692" s="27" t="s">
        <v>811</v>
      </c>
      <c r="B692" s="56" t="s">
        <v>793</v>
      </c>
      <c r="C692" s="57" t="n">
        <f aca="false">P692</f>
        <v>2754855.74204956</v>
      </c>
      <c r="D692" s="57" t="n">
        <f aca="false">AB692</f>
        <v>582421.875</v>
      </c>
      <c r="E692" s="70" t="n">
        <f aca="false">E90+E262+E347+E515</f>
        <v>1179977.83</v>
      </c>
      <c r="F692" s="70" t="n">
        <f aca="false">F90+F262+F347+F515</f>
        <v>1006773.43</v>
      </c>
      <c r="G692" s="70" t="n">
        <f aca="false">G90+G262+G347+G515</f>
        <v>900899.29</v>
      </c>
      <c r="H692" s="70" t="n">
        <f aca="false">H90+H262+H347+H515</f>
        <v>2172000</v>
      </c>
      <c r="I692" s="70" t="n">
        <f aca="false">I90+I262+I347+I515</f>
        <v>2138652.09</v>
      </c>
      <c r="J692" s="70" t="n">
        <f aca="false">J90+J262+J347+J515</f>
        <v>2051687.39</v>
      </c>
      <c r="K692" s="70" t="n">
        <f aca="false">K90+K262+K347+K515</f>
        <v>1902626.39</v>
      </c>
      <c r="L692" s="70" t="n">
        <f aca="false">L90+L262+L347+L515</f>
        <v>3500649.11</v>
      </c>
      <c r="M692" s="70" t="n">
        <f aca="false">M90+M262+M347+M515</f>
        <v>3297686.04182956</v>
      </c>
      <c r="N692" s="70" t="n">
        <f aca="false">N90+N262+N347+N515</f>
        <v>3095511.74232159</v>
      </c>
      <c r="O692" s="70" t="n">
        <f aca="false">O90+O262+O347+O515</f>
        <v>2908700.3873337</v>
      </c>
      <c r="P692" s="70" t="n">
        <f aca="false">P90+P262+P347+P515</f>
        <v>2754855.74204956</v>
      </c>
      <c r="Q692" s="70" t="n">
        <f aca="false">Q90+Q262+Q347+Q515</f>
        <v>2650461.16132104</v>
      </c>
      <c r="R692" s="70" t="n">
        <f aca="false">R90+R262+R347+R515</f>
        <v>2612000</v>
      </c>
      <c r="S692" s="70" t="n">
        <f aca="false">S90+S262+S347+S515</f>
        <v>2551643.34705075</v>
      </c>
      <c r="T692" s="70" t="n">
        <f aca="false">T90+T262+T347+T515</f>
        <v>2389887.51714678</v>
      </c>
      <c r="U692" s="70" t="n">
        <f aca="false">U90+U262+U347+U515</f>
        <v>2155703.7037037</v>
      </c>
      <c r="V692" s="70" t="n">
        <f aca="false">V90+V262+V347+V515</f>
        <v>1878063.10013717</v>
      </c>
      <c r="W692" s="70" t="n">
        <f aca="false">W90+W262+W347+W515</f>
        <v>1585936.89986283</v>
      </c>
      <c r="X692" s="70" t="n">
        <f aca="false">X90+X262+X347+X515</f>
        <v>1308296.2962963</v>
      </c>
      <c r="Y692" s="70" t="n">
        <f aca="false">Y90+Y262+Y347+Y515</f>
        <v>1074112.48285322</v>
      </c>
      <c r="Z692" s="70" t="n">
        <f aca="false">Z90+Z262+Z347+Z515</f>
        <v>875747.277949245</v>
      </c>
      <c r="AA692" s="70" t="n">
        <f aca="false">AA90+AA262+AA347+AA515</f>
        <v>718875</v>
      </c>
      <c r="AB692" s="70" t="n">
        <f aca="false">AB90+AB262+AB347+AB515</f>
        <v>582421.875</v>
      </c>
    </row>
    <row r="693" customFormat="false" ht="15" hidden="false" customHeight="false" outlineLevel="0" collapsed="false">
      <c r="A693" s="27" t="s">
        <v>812</v>
      </c>
      <c r="B693" s="56" t="s">
        <v>793</v>
      </c>
      <c r="C693" s="57" t="n">
        <f aca="false">SUM(E693:P693)</f>
        <v>3080000</v>
      </c>
      <c r="D693" s="57" t="n">
        <f aca="false">SUM(Q693:AB693)</f>
        <v>852000</v>
      </c>
      <c r="E693" s="70" t="n">
        <f aca="false">E91+E263+E348+E516</f>
        <v>0</v>
      </c>
      <c r="F693" s="70" t="n">
        <f aca="false">F91+F263+F348+F516</f>
        <v>0</v>
      </c>
      <c r="G693" s="70" t="n">
        <f aca="false">G91+G263+G348+G516</f>
        <v>0</v>
      </c>
      <c r="H693" s="70" t="n">
        <f aca="false">H91+H263+H348+H516</f>
        <v>1320000</v>
      </c>
      <c r="I693" s="70" t="n">
        <f aca="false">I91+I263+I348+I516</f>
        <v>0</v>
      </c>
      <c r="J693" s="70" t="n">
        <f aca="false">J91+J263+J348+J516</f>
        <v>0</v>
      </c>
      <c r="K693" s="70" t="n">
        <f aca="false">K91+K263+K348+K516</f>
        <v>0</v>
      </c>
      <c r="L693" s="70" t="n">
        <f aca="false">L91+L263+L348+L516</f>
        <v>1760000</v>
      </c>
      <c r="M693" s="70" t="n">
        <f aca="false">M91+M263+M348+M516</f>
        <v>0</v>
      </c>
      <c r="N693" s="70" t="n">
        <f aca="false">N91+N263+N348+N516</f>
        <v>0</v>
      </c>
      <c r="O693" s="70" t="n">
        <f aca="false">O91+O263+O348+O516</f>
        <v>0</v>
      </c>
      <c r="P693" s="70" t="n">
        <f aca="false">P91+P263+P348+P516</f>
        <v>0</v>
      </c>
      <c r="Q693" s="70" t="n">
        <f aca="false">Q91+Q263+Q348+Q516</f>
        <v>0</v>
      </c>
      <c r="R693" s="70" t="n">
        <f aca="false">R91+R263+R348+R516</f>
        <v>0</v>
      </c>
      <c r="S693" s="70" t="n">
        <f aca="false">S91+S263+S348+S516</f>
        <v>0</v>
      </c>
      <c r="T693" s="70" t="n">
        <f aca="false">T91+T263+T348+T516</f>
        <v>0</v>
      </c>
      <c r="U693" s="70" t="n">
        <f aca="false">U91+U263+U348+U516</f>
        <v>0</v>
      </c>
      <c r="V693" s="70" t="n">
        <f aca="false">V91+V263+V348+V516</f>
        <v>0</v>
      </c>
      <c r="W693" s="70" t="n">
        <f aca="false">W91+W263+W348+W516</f>
        <v>0</v>
      </c>
      <c r="X693" s="70" t="n">
        <f aca="false">X91+X263+X348+X516</f>
        <v>0</v>
      </c>
      <c r="Y693" s="70" t="n">
        <f aca="false">Y91+Y263+Y348+Y516</f>
        <v>852000</v>
      </c>
      <c r="Z693" s="70" t="n">
        <f aca="false">Z91+Z263+Z348+Z516</f>
        <v>0</v>
      </c>
      <c r="AA693" s="70" t="n">
        <f aca="false">AA91+AA263+AA348+AA516</f>
        <v>0</v>
      </c>
      <c r="AB693" s="70" t="n">
        <f aca="false">AB91+AB263+AB348+AB516</f>
        <v>0</v>
      </c>
    </row>
    <row r="694" customFormat="false" ht="15" hidden="false" customHeight="false" outlineLevel="0" collapsed="false">
      <c r="A694" s="21" t="s">
        <v>814</v>
      </c>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row>
    <row r="695" customFormat="false" ht="15" hidden="false" customHeight="false" outlineLevel="0" collapsed="false">
      <c r="A695" s="67" t="s">
        <v>301</v>
      </c>
      <c r="B695" s="68" t="s">
        <v>815</v>
      </c>
      <c r="C695" s="69" t="n">
        <f aca="false">SUM(E695:P695)</f>
        <v>5082575.99157666</v>
      </c>
      <c r="D695" s="69" t="n">
        <f aca="false">SUM(Q695:AB695)</f>
        <v>4633579.97353995</v>
      </c>
      <c r="E695" s="69" t="n">
        <f aca="false">E645+E670</f>
        <v>394032.79</v>
      </c>
      <c r="F695" s="69" t="n">
        <f aca="false">F645+F670</f>
        <v>327418.46</v>
      </c>
      <c r="G695" s="69" t="n">
        <f aca="false">G645+G670</f>
        <v>219931.05</v>
      </c>
      <c r="H695" s="69" t="n">
        <f aca="false">H645+H670</f>
        <v>157143.46</v>
      </c>
      <c r="I695" s="69" t="n">
        <f aca="false">I645+I670</f>
        <v>169387.34</v>
      </c>
      <c r="J695" s="69" t="n">
        <f aca="false">J645+J670</f>
        <v>317844.9</v>
      </c>
      <c r="K695" s="69" t="n">
        <f aca="false">K645+K670</f>
        <v>492254.12</v>
      </c>
      <c r="L695" s="69" t="n">
        <f aca="false">L645+L670</f>
        <v>525757.41</v>
      </c>
      <c r="M695" s="69" t="n">
        <f aca="false">M645+M670</f>
        <v>644802.865379185</v>
      </c>
      <c r="N695" s="69" t="n">
        <f aca="false">N645+N670</f>
        <v>670954.746182411</v>
      </c>
      <c r="O695" s="69" t="n">
        <f aca="false">O645+O670</f>
        <v>615164.342893972</v>
      </c>
      <c r="P695" s="69" t="n">
        <f aca="false">P645+P670</f>
        <v>547884.507121096</v>
      </c>
      <c r="Q695" s="69" t="n">
        <f aca="false">Q645+Q670</f>
        <v>483353.941618284</v>
      </c>
      <c r="R695" s="69" t="n">
        <f aca="false">R645+R670</f>
        <v>352753.545022645</v>
      </c>
      <c r="S695" s="69" t="n">
        <f aca="false">S645+S670</f>
        <v>242051.169731653</v>
      </c>
      <c r="T695" s="69" t="n">
        <f aca="false">T645+T670</f>
        <v>294345.890667867</v>
      </c>
      <c r="U695" s="69" t="n">
        <f aca="false">U645+U670</f>
        <v>425282.988790295</v>
      </c>
      <c r="V695" s="69" t="n">
        <f aca="false">V645+V670</f>
        <v>509126.445580418</v>
      </c>
      <c r="W695" s="69" t="n">
        <f aca="false">W645+W670</f>
        <v>534356.261038238</v>
      </c>
      <c r="X695" s="69" t="n">
        <f aca="false">X645+X670</f>
        <v>497763.572189991</v>
      </c>
      <c r="Y695" s="69" t="n">
        <f aca="false">Y645+Y670</f>
        <v>404313.985814104</v>
      </c>
      <c r="Z695" s="69" t="n">
        <f aca="false">Z645+Z670</f>
        <v>328797.076259664</v>
      </c>
      <c r="AA695" s="69" t="n">
        <f aca="false">AA645+AA670</f>
        <v>290488.850471111</v>
      </c>
      <c r="AB695" s="69" t="n">
        <f aca="false">AB645+AB670</f>
        <v>270946.246355685</v>
      </c>
    </row>
    <row r="696" customFormat="false" ht="15" hidden="false" customHeight="false" outlineLevel="0" collapsed="false">
      <c r="A696" s="27" t="s">
        <v>794</v>
      </c>
      <c r="B696" s="56" t="s">
        <v>815</v>
      </c>
      <c r="C696" s="57" t="n">
        <f aca="false">SUM(E696:P696)</f>
        <v>4376325.42462346</v>
      </c>
      <c r="D696" s="57" t="n">
        <f aca="false">SUM(Q696:AB696)</f>
        <v>4029347.63089404</v>
      </c>
      <c r="E696" s="70" t="n">
        <f aca="false">E646+E671</f>
        <v>332126.01</v>
      </c>
      <c r="F696" s="70" t="n">
        <f aca="false">F646+F671</f>
        <v>257792.84</v>
      </c>
      <c r="G696" s="70" t="n">
        <f aca="false">G646+G671</f>
        <v>168963.27</v>
      </c>
      <c r="H696" s="70" t="n">
        <f aca="false">H646+H671</f>
        <v>130554.19</v>
      </c>
      <c r="I696" s="70" t="n">
        <f aca="false">I646+I671</f>
        <v>172578.88</v>
      </c>
      <c r="J696" s="70" t="n">
        <f aca="false">J646+J671</f>
        <v>297322.42</v>
      </c>
      <c r="K696" s="70" t="n">
        <f aca="false">K646+K671</f>
        <v>430854.11</v>
      </c>
      <c r="L696" s="70" t="n">
        <f aca="false">L646+L671</f>
        <v>465925.54</v>
      </c>
      <c r="M696" s="70" t="n">
        <f aca="false">M646+M671</f>
        <v>563405.704670414</v>
      </c>
      <c r="N696" s="70" t="n">
        <f aca="false">N646+N671</f>
        <v>573044.657579145</v>
      </c>
      <c r="O696" s="70" t="n">
        <f aca="false">O646+O671</f>
        <v>521459.884934964</v>
      </c>
      <c r="P696" s="70" t="n">
        <f aca="false">P646+P671</f>
        <v>462297.917438933</v>
      </c>
      <c r="Q696" s="70" t="n">
        <f aca="false">Q646+Q671</f>
        <v>413576.800067901</v>
      </c>
      <c r="R696" s="70" t="n">
        <f aca="false">R646+R671</f>
        <v>302548.406141975</v>
      </c>
      <c r="S696" s="70" t="n">
        <f aca="false">S646+S671</f>
        <v>209573.398919753</v>
      </c>
      <c r="T696" s="70" t="n">
        <f aca="false">T646+T671</f>
        <v>256922.067901235</v>
      </c>
      <c r="U696" s="70" t="n">
        <f aca="false">U646+U671</f>
        <v>371195.216049383</v>
      </c>
      <c r="V696" s="70" t="n">
        <f aca="false">V646+V671</f>
        <v>444311.660493827</v>
      </c>
      <c r="W696" s="70" t="n">
        <f aca="false">W646+W671</f>
        <v>466319.401234568</v>
      </c>
      <c r="X696" s="70" t="n">
        <f aca="false">X646+X671</f>
        <v>434461.108825541</v>
      </c>
      <c r="Y696" s="70" t="n">
        <f aca="false">Y646+Y671</f>
        <v>353046.07740851</v>
      </c>
      <c r="Z696" s="70" t="n">
        <f aca="false">Z646+Z671</f>
        <v>287296.870016625</v>
      </c>
      <c r="AA696" s="70" t="n">
        <f aca="false">AA646+AA671</f>
        <v>253630.077506366</v>
      </c>
      <c r="AB696" s="70" t="n">
        <f aca="false">AB646+AB671</f>
        <v>236466.546328353</v>
      </c>
    </row>
    <row r="697" customFormat="false" ht="15" hidden="false" customHeight="false" outlineLevel="0" collapsed="false">
      <c r="A697" s="27" t="s">
        <v>795</v>
      </c>
      <c r="B697" s="56" t="s">
        <v>815</v>
      </c>
      <c r="C697" s="57" t="n">
        <f aca="false">SUM(E697:P697)</f>
        <v>656208.234013827</v>
      </c>
      <c r="D697" s="57" t="n">
        <f aca="false">SUM(Q697:AB697)</f>
        <v>587426.778843972</v>
      </c>
      <c r="E697" s="70" t="n">
        <f aca="false">E647+E672</f>
        <v>46010.93</v>
      </c>
      <c r="F697" s="70" t="n">
        <f aca="false">F647+F672</f>
        <v>36989.83</v>
      </c>
      <c r="G697" s="70" t="n">
        <f aca="false">G647+G672</f>
        <v>24149.46</v>
      </c>
      <c r="H697" s="70" t="n">
        <f aca="false">H647+H672</f>
        <v>19400.21</v>
      </c>
      <c r="I697" s="70" t="n">
        <f aca="false">I647+I672</f>
        <v>27482.95</v>
      </c>
      <c r="J697" s="70" t="n">
        <f aca="false">J647+J672</f>
        <v>43654.86</v>
      </c>
      <c r="K697" s="70" t="n">
        <f aca="false">K647+K672</f>
        <v>63657.15</v>
      </c>
      <c r="L697" s="70" t="n">
        <f aca="false">L647+L672</f>
        <v>75034.13</v>
      </c>
      <c r="M697" s="70" t="n">
        <f aca="false">M647+M672</f>
        <v>84865.722188007</v>
      </c>
      <c r="N697" s="70" t="n">
        <f aca="false">N647+N672</f>
        <v>86407.954653404</v>
      </c>
      <c r="O697" s="70" t="n">
        <f aca="false">O647+O672</f>
        <v>78582.4335081128</v>
      </c>
      <c r="P697" s="70" t="n">
        <f aca="false">P647+P672</f>
        <v>69972.6036643034</v>
      </c>
      <c r="Q697" s="70" t="n">
        <f aca="false">Q647+Q672</f>
        <v>63461.3523182716</v>
      </c>
      <c r="R697" s="70" t="n">
        <f aca="false">R647+R672</f>
        <v>47408.9792012345</v>
      </c>
      <c r="S697" s="70" t="n">
        <f aca="false">S647+S672</f>
        <v>31939.1512345679</v>
      </c>
      <c r="T697" s="70" t="n">
        <f aca="false">T647+T672</f>
        <v>36839.3827160494</v>
      </c>
      <c r="U697" s="70" t="n">
        <f aca="false">U647+U672</f>
        <v>53211.975308642</v>
      </c>
      <c r="V697" s="70" t="n">
        <f aca="false">V647+V672</f>
        <v>63763.9397530864</v>
      </c>
      <c r="W697" s="70" t="n">
        <f aca="false">W647+W672</f>
        <v>66902.9560493827</v>
      </c>
      <c r="X697" s="70" t="n">
        <f aca="false">X647+X672</f>
        <v>62187.8514861606</v>
      </c>
      <c r="Y697" s="70" t="n">
        <f aca="false">Y647+Y672</f>
        <v>50308.1131261023</v>
      </c>
      <c r="Z697" s="70" t="n">
        <f aca="false">Z647+Z672</f>
        <v>40732.5541795118</v>
      </c>
      <c r="AA697" s="70" t="n">
        <f aca="false">AA647+AA672</f>
        <v>36439.391683426</v>
      </c>
      <c r="AB697" s="70" t="n">
        <f aca="false">AB647+AB672</f>
        <v>34231.1317875365</v>
      </c>
    </row>
    <row r="698" customFormat="false" ht="15" hidden="false" customHeight="false" outlineLevel="0" collapsed="false">
      <c r="A698" s="27" t="s">
        <v>796</v>
      </c>
      <c r="B698" s="56" t="s">
        <v>815</v>
      </c>
      <c r="C698" s="57" t="n">
        <f aca="false">SUM(E698:P698)</f>
        <v>2269804.19696358</v>
      </c>
      <c r="D698" s="57" t="n">
        <f aca="false">SUM(Q698:AB698)</f>
        <v>2129211.49964517</v>
      </c>
      <c r="E698" s="70" t="n">
        <f aca="false">E648+E673</f>
        <v>177797.83</v>
      </c>
      <c r="F698" s="70" t="n">
        <f aca="false">F648+F673</f>
        <v>139006.12</v>
      </c>
      <c r="G698" s="70" t="n">
        <f aca="false">G648+G673</f>
        <v>89576.76</v>
      </c>
      <c r="H698" s="70" t="n">
        <f aca="false">H648+H673</f>
        <v>67418.09</v>
      </c>
      <c r="I698" s="70" t="n">
        <f aca="false">I648+I673</f>
        <v>87160.66</v>
      </c>
      <c r="J698" s="70" t="n">
        <f aca="false">J648+J673</f>
        <v>149588.28</v>
      </c>
      <c r="K698" s="70" t="n">
        <f aca="false">K648+K673</f>
        <v>220482.6</v>
      </c>
      <c r="L698" s="70" t="n">
        <f aca="false">L648+L673</f>
        <v>239860.59</v>
      </c>
      <c r="M698" s="70" t="n">
        <f aca="false">M648+M673</f>
        <v>292261.233453726</v>
      </c>
      <c r="N698" s="70" t="n">
        <f aca="false">N648+N673</f>
        <v>297080.709908091</v>
      </c>
      <c r="O698" s="70" t="n">
        <f aca="false">O648+O673</f>
        <v>270432.238630445</v>
      </c>
      <c r="P698" s="70" t="n">
        <f aca="false">P648+P673</f>
        <v>239139.084971318</v>
      </c>
      <c r="Q698" s="70" t="n">
        <f aca="false">Q648+Q673</f>
        <v>212210.271419136</v>
      </c>
      <c r="R698" s="70" t="n">
        <f aca="false">R648+R673</f>
        <v>153271.734633951</v>
      </c>
      <c r="S698" s="70" t="n">
        <f aca="false">S648+S673</f>
        <v>107971.884645062</v>
      </c>
      <c r="T698" s="70" t="n">
        <f aca="false">T648+T673</f>
        <v>136997.330246914</v>
      </c>
      <c r="U698" s="70" t="n">
        <f aca="false">U648+U673</f>
        <v>197956.12654321</v>
      </c>
      <c r="V698" s="70" t="n">
        <f aca="false">V648+V673</f>
        <v>236807.682098765</v>
      </c>
      <c r="W698" s="70" t="n">
        <f aca="false">W648+W673</f>
        <v>248575.99691358</v>
      </c>
      <c r="X698" s="70" t="n">
        <f aca="false">X648+X673</f>
        <v>231882.406264622</v>
      </c>
      <c r="Y698" s="70" t="n">
        <f aca="false">Y648+Y673</f>
        <v>188881.557222773</v>
      </c>
      <c r="Z698" s="70" t="n">
        <f aca="false">Z648+Z673</f>
        <v>154118.325054609</v>
      </c>
      <c r="AA698" s="70" t="n">
        <f aca="false">AA648+AA673</f>
        <v>135097.880188368</v>
      </c>
      <c r="AB698" s="70" t="n">
        <f aca="false">AB648+AB673</f>
        <v>125440.304414176</v>
      </c>
    </row>
    <row r="699" customFormat="false" ht="15" hidden="false" customHeight="false" outlineLevel="0" collapsed="false">
      <c r="A699" s="27" t="s">
        <v>797</v>
      </c>
      <c r="B699" s="56" t="s">
        <v>815</v>
      </c>
      <c r="C699" s="57" t="n">
        <f aca="false">SUM(E699:P699)</f>
        <v>1040950.89206765</v>
      </c>
      <c r="D699" s="57" t="n">
        <f aca="false">SUM(Q699:AB699)</f>
        <v>947953.817381544</v>
      </c>
      <c r="E699" s="70" t="n">
        <f aca="false">E649+E674</f>
        <v>78735.16</v>
      </c>
      <c r="F699" s="70" t="n">
        <f aca="false">F649+F674</f>
        <v>59218.31</v>
      </c>
      <c r="G699" s="70" t="n">
        <f aca="false">G649+G674</f>
        <v>40067.79</v>
      </c>
      <c r="H699" s="70" t="n">
        <f aca="false">H649+H674</f>
        <v>31448.2</v>
      </c>
      <c r="I699" s="70" t="n">
        <f aca="false">I649+I674</f>
        <v>40591.28</v>
      </c>
      <c r="J699" s="70" t="n">
        <f aca="false">J649+J674</f>
        <v>75852.62</v>
      </c>
      <c r="K699" s="70" t="n">
        <f aca="false">K649+K674</f>
        <v>105622.14</v>
      </c>
      <c r="L699" s="70" t="n">
        <f aca="false">L649+L674</f>
        <v>107033.63</v>
      </c>
      <c r="M699" s="70" t="n">
        <f aca="false">M649+M674</f>
        <v>133457.63893448</v>
      </c>
      <c r="N699" s="70" t="n">
        <f aca="false">N649+N674</f>
        <v>135770.987632575</v>
      </c>
      <c r="O699" s="70" t="n">
        <f aca="false">O649+O674</f>
        <v>123533.323023898</v>
      </c>
      <c r="P699" s="70" t="n">
        <f aca="false">P649+P674</f>
        <v>109619.812476702</v>
      </c>
      <c r="Q699" s="70" t="n">
        <f aca="false">Q649+Q674</f>
        <v>98354.7867854321</v>
      </c>
      <c r="R699" s="70" t="n">
        <f aca="false">R649+R674</f>
        <v>72278.6955469135</v>
      </c>
      <c r="S699" s="70" t="n">
        <f aca="false">S649+S674</f>
        <v>49766.7515432099</v>
      </c>
      <c r="T699" s="70" t="n">
        <f aca="false">T649+T674</f>
        <v>60238.5802469136</v>
      </c>
      <c r="U699" s="70" t="n">
        <f aca="false">U649+U674</f>
        <v>87027.0987654321</v>
      </c>
      <c r="V699" s="70" t="n">
        <f aca="false">V649+V674</f>
        <v>104192.823209877</v>
      </c>
      <c r="W699" s="70" t="n">
        <f aca="false">W649+W674</f>
        <v>109347.273580247</v>
      </c>
      <c r="X699" s="70" t="n">
        <f aca="false">X649+X674</f>
        <v>101828.690809488</v>
      </c>
      <c r="Y699" s="70" t="n">
        <f aca="false">Y649+Y674</f>
        <v>82671.3054916225</v>
      </c>
      <c r="Z699" s="70" t="n">
        <f aca="false">Z649+Z674</f>
        <v>67206.2671296072</v>
      </c>
      <c r="AA699" s="70" t="n">
        <f aca="false">AA649+AA674</f>
        <v>59490.745028997</v>
      </c>
      <c r="AB699" s="70" t="n">
        <f aca="false">AB649+AB674</f>
        <v>55550.7992438047</v>
      </c>
    </row>
    <row r="700" customFormat="false" ht="15" hidden="false" customHeight="false" outlineLevel="0" collapsed="false">
      <c r="A700" s="27" t="s">
        <v>798</v>
      </c>
      <c r="B700" s="56" t="s">
        <v>815</v>
      </c>
      <c r="C700" s="57" t="n">
        <f aca="false">SUM(E700:P700)</f>
        <v>131323.494938704</v>
      </c>
      <c r="D700" s="57" t="n">
        <f aca="false">SUM(Q700:AB700)</f>
        <v>120880.428926821</v>
      </c>
      <c r="E700" s="70" t="n">
        <f aca="false">E650+E675</f>
        <v>9640.97</v>
      </c>
      <c r="F700" s="70" t="n">
        <f aca="false">F650+F675</f>
        <v>8000.83</v>
      </c>
      <c r="G700" s="70" t="n">
        <f aca="false">G650+G675</f>
        <v>5122.36</v>
      </c>
      <c r="H700" s="70" t="n">
        <f aca="false">H650+H675</f>
        <v>3766.88</v>
      </c>
      <c r="I700" s="70" t="n">
        <f aca="false">I650+I675</f>
        <v>5200.5</v>
      </c>
      <c r="J700" s="70" t="n">
        <f aca="false">J650+J675</f>
        <v>9132.95</v>
      </c>
      <c r="K700" s="70" t="n">
        <f aca="false">K650+K675</f>
        <v>13128.17</v>
      </c>
      <c r="L700" s="70" t="n">
        <f aca="false">L650+L675</f>
        <v>13724.59</v>
      </c>
      <c r="M700" s="70" t="n">
        <f aca="false">M650+M675</f>
        <v>16902.1711401124</v>
      </c>
      <c r="N700" s="70" t="n">
        <f aca="false">N650+N675</f>
        <v>17191.3397273744</v>
      </c>
      <c r="O700" s="70" t="n">
        <f aca="false">O650+O675</f>
        <v>15643.7965480489</v>
      </c>
      <c r="P700" s="70" t="n">
        <f aca="false">P650+P675</f>
        <v>13868.937523168</v>
      </c>
      <c r="Q700" s="70" t="n">
        <f aca="false">Q650+Q675</f>
        <v>12407.304002037</v>
      </c>
      <c r="R700" s="70" t="n">
        <f aca="false">R650+R675</f>
        <v>9076.45218425925</v>
      </c>
      <c r="S700" s="70" t="n">
        <f aca="false">S650+S675</f>
        <v>6287.2019675926</v>
      </c>
      <c r="T700" s="70" t="n">
        <f aca="false">T650+T675</f>
        <v>7707.66203703704</v>
      </c>
      <c r="U700" s="70" t="n">
        <f aca="false">U650+U675</f>
        <v>11135.8564814815</v>
      </c>
      <c r="V700" s="70" t="n">
        <f aca="false">V650+V675</f>
        <v>13329.3498148148</v>
      </c>
      <c r="W700" s="70" t="n">
        <f aca="false">W650+W675</f>
        <v>13989.582037037</v>
      </c>
      <c r="X700" s="70" t="n">
        <f aca="false">X650+X675</f>
        <v>13033.8332647662</v>
      </c>
      <c r="Y700" s="70" t="n">
        <f aca="false">Y650+Y675</f>
        <v>10591.3823222553</v>
      </c>
      <c r="Z700" s="70" t="n">
        <f aca="false">Z650+Z675</f>
        <v>8618.90610049874</v>
      </c>
      <c r="AA700" s="70" t="n">
        <f aca="false">AA650+AA675</f>
        <v>7608.90232519098</v>
      </c>
      <c r="AB700" s="70" t="n">
        <f aca="false">AB650+AB675</f>
        <v>7093.99638985058</v>
      </c>
    </row>
    <row r="701" customFormat="false" ht="15" hidden="false" customHeight="false" outlineLevel="0" collapsed="false">
      <c r="A701" s="27" t="s">
        <v>799</v>
      </c>
      <c r="B701" s="56" t="s">
        <v>815</v>
      </c>
      <c r="C701" s="57" t="n">
        <f aca="false">SUM(E701:P701)</f>
        <v>278038.606639691</v>
      </c>
      <c r="D701" s="57" t="n">
        <f aca="false">SUM(Q701:AB701)</f>
        <v>243875.106096533</v>
      </c>
      <c r="E701" s="70" t="n">
        <f aca="false">E651+E676</f>
        <v>19941.12</v>
      </c>
      <c r="F701" s="70" t="n">
        <f aca="false">F651+F676</f>
        <v>14577.75</v>
      </c>
      <c r="G701" s="70" t="n">
        <f aca="false">G651+G676</f>
        <v>10046.9</v>
      </c>
      <c r="H701" s="70" t="n">
        <f aca="false">H651+H676</f>
        <v>8520.81</v>
      </c>
      <c r="I701" s="70" t="n">
        <f aca="false">I651+I676</f>
        <v>12143.49</v>
      </c>
      <c r="J701" s="70" t="n">
        <f aca="false">J651+J676</f>
        <v>19093.71</v>
      </c>
      <c r="K701" s="70" t="n">
        <f aca="false">K651+K676</f>
        <v>27964.05</v>
      </c>
      <c r="L701" s="70" t="n">
        <f aca="false">L651+L676</f>
        <v>30272.6</v>
      </c>
      <c r="M701" s="70" t="n">
        <f aca="false">M651+M676</f>
        <v>35918.9389540895</v>
      </c>
      <c r="N701" s="70" t="n">
        <f aca="false">N651+N676</f>
        <v>36593.6656577006</v>
      </c>
      <c r="O701" s="70" t="n">
        <f aca="false">O651+O676</f>
        <v>33268.0932244598</v>
      </c>
      <c r="P701" s="70" t="n">
        <f aca="false">P651+P676</f>
        <v>29697.4788034414</v>
      </c>
      <c r="Q701" s="70" t="n">
        <f aca="false">Q651+Q676</f>
        <v>27143.0855430247</v>
      </c>
      <c r="R701" s="70" t="n">
        <f aca="false">R651+R676</f>
        <v>20512.5445756173</v>
      </c>
      <c r="S701" s="70" t="n">
        <f aca="false">S651+S676</f>
        <v>13608.409529321</v>
      </c>
      <c r="T701" s="70" t="n">
        <f aca="false">T651+T676</f>
        <v>15139.112654321</v>
      </c>
      <c r="U701" s="70" t="n">
        <f aca="false">U651+U676</f>
        <v>21864.1589506173</v>
      </c>
      <c r="V701" s="70" t="n">
        <f aca="false">V651+V676</f>
        <v>26217.8656172839</v>
      </c>
      <c r="W701" s="70" t="n">
        <f aca="false">W651+W676</f>
        <v>27503.592654321</v>
      </c>
      <c r="X701" s="70" t="n">
        <f aca="false">X651+X676</f>
        <v>25528.3270005039</v>
      </c>
      <c r="Y701" s="70" t="n">
        <f aca="false">Y651+Y676</f>
        <v>20593.7192457562</v>
      </c>
      <c r="Z701" s="70" t="n">
        <f aca="false">Z651+Z676</f>
        <v>16620.8175523983</v>
      </c>
      <c r="AA701" s="70" t="n">
        <f aca="false">AA651+AA676</f>
        <v>14993.1582803839</v>
      </c>
      <c r="AB701" s="70" t="n">
        <f aca="false">AB651+AB676</f>
        <v>14150.3144929847</v>
      </c>
    </row>
    <row r="702" customFormat="false" ht="15" hidden="false" customHeight="false" outlineLevel="0" collapsed="false">
      <c r="A702" s="27" t="s">
        <v>800</v>
      </c>
      <c r="B702" s="56" t="s">
        <v>815</v>
      </c>
      <c r="C702" s="57" t="n">
        <f aca="false">SUM(E702:P702)</f>
        <v>0</v>
      </c>
      <c r="D702" s="57" t="n">
        <f aca="false">SUM(Q702:AB702)</f>
        <v>0</v>
      </c>
      <c r="E702" s="70" t="n">
        <f aca="false">E652+E677</f>
        <v>-0</v>
      </c>
      <c r="F702" s="70" t="n">
        <f aca="false">F652+F677</f>
        <v>-0</v>
      </c>
      <c r="G702" s="70" t="n">
        <f aca="false">G652+G677</f>
        <v>-0</v>
      </c>
      <c r="H702" s="70" t="n">
        <f aca="false">H652+H677</f>
        <v>-0</v>
      </c>
      <c r="I702" s="70" t="n">
        <f aca="false">I652+I677</f>
        <v>-0</v>
      </c>
      <c r="J702" s="70" t="n">
        <f aca="false">J652+J677</f>
        <v>-0</v>
      </c>
      <c r="K702" s="70" t="n">
        <f aca="false">K652+K677</f>
        <v>-0</v>
      </c>
      <c r="L702" s="70" t="n">
        <f aca="false">L652+L677</f>
        <v>-0</v>
      </c>
      <c r="M702" s="70" t="n">
        <f aca="false">M652+M677</f>
        <v>-0</v>
      </c>
      <c r="N702" s="70" t="n">
        <f aca="false">N652+N677</f>
        <v>-0</v>
      </c>
      <c r="O702" s="70" t="n">
        <f aca="false">O652+O677</f>
        <v>-0</v>
      </c>
      <c r="P702" s="70" t="n">
        <f aca="false">P652+P677</f>
        <v>-0</v>
      </c>
      <c r="Q702" s="70" t="n">
        <f aca="false">Q652+Q677</f>
        <v>-0</v>
      </c>
      <c r="R702" s="70" t="n">
        <f aca="false">R652+R677</f>
        <v>-0</v>
      </c>
      <c r="S702" s="70" t="n">
        <f aca="false">S652+S677</f>
        <v>-0</v>
      </c>
      <c r="T702" s="70" t="n">
        <f aca="false">T652+T677</f>
        <v>-0</v>
      </c>
      <c r="U702" s="70" t="n">
        <f aca="false">U652+U677</f>
        <v>-0</v>
      </c>
      <c r="V702" s="70" t="n">
        <f aca="false">V652+V677</f>
        <v>-0</v>
      </c>
      <c r="W702" s="70" t="n">
        <f aca="false">W652+W677</f>
        <v>-0</v>
      </c>
      <c r="X702" s="70" t="n">
        <f aca="false">X652+X677</f>
        <v>-0</v>
      </c>
      <c r="Y702" s="70" t="n">
        <f aca="false">Y652+Y677</f>
        <v>-0</v>
      </c>
      <c r="Z702" s="70" t="n">
        <f aca="false">Z652+Z677</f>
        <v>-0</v>
      </c>
      <c r="AA702" s="70" t="n">
        <f aca="false">AA652+AA677</f>
        <v>-0</v>
      </c>
      <c r="AB702" s="70" t="n">
        <f aca="false">AB652+AB677</f>
        <v>-0</v>
      </c>
    </row>
    <row r="703" customFormat="false" ht="15" hidden="false" customHeight="false" outlineLevel="0" collapsed="false">
      <c r="A703" s="67" t="s">
        <v>801</v>
      </c>
      <c r="B703" s="68" t="s">
        <v>815</v>
      </c>
      <c r="C703" s="69" t="n">
        <f aca="false">SUM(E703:P703)</f>
        <v>706250.566953207</v>
      </c>
      <c r="D703" s="69" t="n">
        <f aca="false">SUM(Q703:AB703)</f>
        <v>604232.342645918</v>
      </c>
      <c r="E703" s="69" t="n">
        <f aca="false">E653+E678</f>
        <v>61906.7799999999</v>
      </c>
      <c r="F703" s="69" t="n">
        <f aca="false">F653+F678</f>
        <v>69625.6200000001</v>
      </c>
      <c r="G703" s="69" t="n">
        <f aca="false">G653+G678</f>
        <v>50967.78</v>
      </c>
      <c r="H703" s="69" t="n">
        <f aca="false">H653+H678</f>
        <v>26589.2700000001</v>
      </c>
      <c r="I703" s="69" t="n">
        <f aca="false">I653+I678</f>
        <v>-3191.53999999999</v>
      </c>
      <c r="J703" s="69" t="n">
        <f aca="false">J653+J678</f>
        <v>20522.48</v>
      </c>
      <c r="K703" s="69" t="n">
        <f aca="false">K653+K678</f>
        <v>61400.01</v>
      </c>
      <c r="L703" s="69" t="n">
        <f aca="false">L653+L678</f>
        <v>59831.87</v>
      </c>
      <c r="M703" s="69" t="n">
        <f aca="false">M653+M678</f>
        <v>81397.1607087707</v>
      </c>
      <c r="N703" s="69" t="n">
        <f aca="false">N653+N678</f>
        <v>97910.0886032659</v>
      </c>
      <c r="O703" s="69" t="n">
        <f aca="false">O653+O678</f>
        <v>93704.4579590074</v>
      </c>
      <c r="P703" s="69" t="n">
        <f aca="false">P653+P678</f>
        <v>85586.5896821628</v>
      </c>
      <c r="Q703" s="69" t="n">
        <f aca="false">Q653+Q678</f>
        <v>69777.1415503824</v>
      </c>
      <c r="R703" s="69" t="n">
        <f aca="false">R653+R678</f>
        <v>50205.1388806699</v>
      </c>
      <c r="S703" s="69" t="n">
        <f aca="false">S653+S678</f>
        <v>32477.7708118998</v>
      </c>
      <c r="T703" s="69" t="n">
        <f aca="false">T653+T678</f>
        <v>37423.8227666324</v>
      </c>
      <c r="U703" s="69" t="n">
        <f aca="false">U653+U678</f>
        <v>54087.7727409122</v>
      </c>
      <c r="V703" s="69" t="n">
        <f aca="false">V653+V678</f>
        <v>64814.7850865911</v>
      </c>
      <c r="W703" s="69" t="n">
        <f aca="false">W653+W678</f>
        <v>68036.8598036694</v>
      </c>
      <c r="X703" s="69" t="n">
        <f aca="false">X653+X678</f>
        <v>63302.4633644501</v>
      </c>
      <c r="Y703" s="69" t="n">
        <f aca="false">Y653+Y678</f>
        <v>51267.9084055945</v>
      </c>
      <c r="Z703" s="69" t="n">
        <f aca="false">Z653+Z678</f>
        <v>41500.2062430388</v>
      </c>
      <c r="AA703" s="69" t="n">
        <f aca="false">AA653+AA678</f>
        <v>36858.7729647451</v>
      </c>
      <c r="AB703" s="69" t="n">
        <f aca="false">AB653+AB678</f>
        <v>34479.7000273324</v>
      </c>
    </row>
    <row r="704" customFormat="false" ht="15" hidden="false" customHeight="false" outlineLevel="0" collapsed="false">
      <c r="A704" s="27" t="s">
        <v>321</v>
      </c>
      <c r="B704" s="56" t="s">
        <v>815</v>
      </c>
      <c r="C704" s="57" t="n">
        <f aca="false">P704</f>
        <v>542244.507121096</v>
      </c>
      <c r="D704" s="57" t="n">
        <f aca="false">AB704</f>
        <v>270946.246355685</v>
      </c>
      <c r="E704" s="70" t="n">
        <f aca="false">E654+E679</f>
        <v>401691.8</v>
      </c>
      <c r="F704" s="70" t="n">
        <f aca="false">F654+F679</f>
        <v>339998.43</v>
      </c>
      <c r="G704" s="70" t="n">
        <f aca="false">G654+G679</f>
        <v>232272.41</v>
      </c>
      <c r="H704" s="70" t="n">
        <f aca="false">H654+H679</f>
        <v>173256.03</v>
      </c>
      <c r="I704" s="70" t="n">
        <f aca="false">I654+I679</f>
        <v>177805.03</v>
      </c>
      <c r="J704" s="70" t="n">
        <f aca="false">J654+J679</f>
        <v>322798.26</v>
      </c>
      <c r="K704" s="70" t="n">
        <f aca="false">K654+K679</f>
        <v>495934.33</v>
      </c>
      <c r="L704" s="70" t="n">
        <f aca="false">L654+L679</f>
        <v>545448.61</v>
      </c>
      <c r="M704" s="70" t="n">
        <f aca="false">M654+M679</f>
        <v>691706.760714083</v>
      </c>
      <c r="N704" s="70" t="n">
        <f aca="false">N654+N679</f>
        <v>696073.834556153</v>
      </c>
      <c r="O704" s="70" t="n">
        <f aca="false">O654+O679</f>
        <v>627683.338373208</v>
      </c>
      <c r="P704" s="70" t="n">
        <f aca="false">P654+P679</f>
        <v>542244.507121096</v>
      </c>
      <c r="Q704" s="70" t="n">
        <f aca="false">Q654+Q679</f>
        <v>483353.941618284</v>
      </c>
      <c r="R704" s="70" t="n">
        <f aca="false">R654+R679</f>
        <v>352753.545022645</v>
      </c>
      <c r="S704" s="70" t="n">
        <f aca="false">S654+S679</f>
        <v>242051.169731653</v>
      </c>
      <c r="T704" s="70" t="n">
        <f aca="false">T654+T679</f>
        <v>294345.890667867</v>
      </c>
      <c r="U704" s="70" t="n">
        <f aca="false">U654+U679</f>
        <v>425282.988790295</v>
      </c>
      <c r="V704" s="70" t="n">
        <f aca="false">V654+V679</f>
        <v>509126.445580418</v>
      </c>
      <c r="W704" s="70" t="n">
        <f aca="false">W654+W679</f>
        <v>534356.261038238</v>
      </c>
      <c r="X704" s="70" t="n">
        <f aca="false">X654+X679</f>
        <v>497763.572189991</v>
      </c>
      <c r="Y704" s="70" t="n">
        <f aca="false">Y654+Y679</f>
        <v>404313.985814104</v>
      </c>
      <c r="Z704" s="70" t="n">
        <f aca="false">Z654+Z679</f>
        <v>328797.076259664</v>
      </c>
      <c r="AA704" s="70" t="n">
        <f aca="false">AA654+AA679</f>
        <v>290488.850471111</v>
      </c>
      <c r="AB704" s="70" t="n">
        <f aca="false">AB654+AB679</f>
        <v>270946.246355685</v>
      </c>
    </row>
    <row r="705" customFormat="false" ht="15" hidden="false" customHeight="false" outlineLevel="0" collapsed="false">
      <c r="A705" s="27" t="s">
        <v>802</v>
      </c>
      <c r="B705" s="56" t="s">
        <v>815</v>
      </c>
      <c r="C705" s="57" t="n">
        <f aca="false">P705</f>
        <v>0</v>
      </c>
      <c r="D705" s="57" t="n">
        <f aca="false">AB705</f>
        <v>0</v>
      </c>
      <c r="E705" s="70" t="n">
        <f aca="false">E655+E680</f>
        <v>0</v>
      </c>
      <c r="F705" s="70" t="n">
        <f aca="false">F655+F680</f>
        <v>0</v>
      </c>
      <c r="G705" s="70" t="n">
        <f aca="false">G655+G680</f>
        <v>0</v>
      </c>
      <c r="H705" s="70" t="n">
        <f aca="false">H655+H680</f>
        <v>0</v>
      </c>
      <c r="I705" s="70" t="n">
        <f aca="false">I655+I680</f>
        <v>0</v>
      </c>
      <c r="J705" s="70" t="n">
        <f aca="false">J655+J680</f>
        <v>0</v>
      </c>
      <c r="K705" s="70" t="n">
        <f aca="false">K655+K680</f>
        <v>0</v>
      </c>
      <c r="L705" s="70" t="n">
        <f aca="false">L655+L680</f>
        <v>0</v>
      </c>
      <c r="M705" s="70" t="n">
        <f aca="false">M655+M680</f>
        <v>0</v>
      </c>
      <c r="N705" s="70" t="n">
        <f aca="false">N655+N680</f>
        <v>0</v>
      </c>
      <c r="O705" s="70" t="n">
        <f aca="false">O655+O680</f>
        <v>0</v>
      </c>
      <c r="P705" s="70" t="n">
        <f aca="false">P655+P680</f>
        <v>0</v>
      </c>
      <c r="Q705" s="70" t="n">
        <f aca="false">Q655+Q680</f>
        <v>0</v>
      </c>
      <c r="R705" s="70" t="n">
        <f aca="false">R655+R680</f>
        <v>0</v>
      </c>
      <c r="S705" s="70" t="n">
        <f aca="false">S655+S680</f>
        <v>0</v>
      </c>
      <c r="T705" s="70" t="n">
        <f aca="false">T655+T680</f>
        <v>0</v>
      </c>
      <c r="U705" s="70" t="n">
        <f aca="false">U655+U680</f>
        <v>0</v>
      </c>
      <c r="V705" s="70" t="n">
        <f aca="false">V655+V680</f>
        <v>0</v>
      </c>
      <c r="W705" s="70" t="n">
        <f aca="false">W655+W680</f>
        <v>0</v>
      </c>
      <c r="X705" s="70" t="n">
        <f aca="false">X655+X680</f>
        <v>0</v>
      </c>
      <c r="Y705" s="70" t="n">
        <f aca="false">Y655+Y680</f>
        <v>0</v>
      </c>
      <c r="Z705" s="70" t="n">
        <f aca="false">Z655+Z680</f>
        <v>0</v>
      </c>
      <c r="AA705" s="70" t="n">
        <f aca="false">AA655+AA680</f>
        <v>0</v>
      </c>
      <c r="AB705" s="70" t="n">
        <f aca="false">AB655+AB680</f>
        <v>0</v>
      </c>
    </row>
    <row r="706" customFormat="false" ht="15" hidden="false" customHeight="false" outlineLevel="0" collapsed="false">
      <c r="A706" s="27" t="s">
        <v>403</v>
      </c>
      <c r="B706" s="56" t="s">
        <v>815</v>
      </c>
      <c r="C706" s="57" t="n">
        <f aca="false">P706</f>
        <v>0</v>
      </c>
      <c r="D706" s="57" t="n">
        <f aca="false">AB706</f>
        <v>0</v>
      </c>
      <c r="E706" s="70" t="n">
        <f aca="false">E656+E681</f>
        <v>0</v>
      </c>
      <c r="F706" s="70" t="n">
        <f aca="false">F656+F681</f>
        <v>0</v>
      </c>
      <c r="G706" s="70" t="n">
        <f aca="false">G656+G681</f>
        <v>0</v>
      </c>
      <c r="H706" s="70" t="n">
        <f aca="false">H656+H681</f>
        <v>0</v>
      </c>
      <c r="I706" s="70" t="n">
        <f aca="false">I656+I681</f>
        <v>0</v>
      </c>
      <c r="J706" s="70" t="n">
        <f aca="false">J656+J681</f>
        <v>0</v>
      </c>
      <c r="K706" s="70" t="n">
        <f aca="false">K656+K681</f>
        <v>0</v>
      </c>
      <c r="L706" s="70" t="n">
        <f aca="false">L656+L681</f>
        <v>0</v>
      </c>
      <c r="M706" s="70" t="n">
        <f aca="false">M656+M681</f>
        <v>0</v>
      </c>
      <c r="N706" s="70" t="n">
        <f aca="false">N656+N681</f>
        <v>0</v>
      </c>
      <c r="O706" s="70" t="n">
        <f aca="false">O656+O681</f>
        <v>0</v>
      </c>
      <c r="P706" s="70" t="n">
        <f aca="false">P656+P681</f>
        <v>0</v>
      </c>
      <c r="Q706" s="70" t="n">
        <f aca="false">Q656+Q681</f>
        <v>0</v>
      </c>
      <c r="R706" s="70" t="n">
        <f aca="false">R656+R681</f>
        <v>0</v>
      </c>
      <c r="S706" s="70" t="n">
        <f aca="false">S656+S681</f>
        <v>0</v>
      </c>
      <c r="T706" s="70" t="n">
        <f aca="false">T656+T681</f>
        <v>0</v>
      </c>
      <c r="U706" s="70" t="n">
        <f aca="false">U656+U681</f>
        <v>0</v>
      </c>
      <c r="V706" s="70" t="n">
        <f aca="false">V656+V681</f>
        <v>0</v>
      </c>
      <c r="W706" s="70" t="n">
        <f aca="false">W656+W681</f>
        <v>0</v>
      </c>
      <c r="X706" s="70" t="n">
        <f aca="false">X656+X681</f>
        <v>0</v>
      </c>
      <c r="Y706" s="70" t="n">
        <f aca="false">Y656+Y681</f>
        <v>0</v>
      </c>
      <c r="Z706" s="70" t="n">
        <f aca="false">Z656+Z681</f>
        <v>0</v>
      </c>
      <c r="AA706" s="70" t="n">
        <f aca="false">AA656+AA681</f>
        <v>0</v>
      </c>
      <c r="AB706" s="70" t="n">
        <f aca="false">AB656+AB681</f>
        <v>0</v>
      </c>
    </row>
    <row r="707" customFormat="false" ht="15" hidden="false" customHeight="false" outlineLevel="0" collapsed="false">
      <c r="A707" s="27" t="s">
        <v>803</v>
      </c>
      <c r="B707" s="56" t="s">
        <v>815</v>
      </c>
      <c r="C707" s="57" t="n">
        <f aca="false">P707</f>
        <v>186751.800075962</v>
      </c>
      <c r="D707" s="57" t="n">
        <f aca="false">AB707</f>
        <v>176168.117438047</v>
      </c>
      <c r="E707" s="70" t="n">
        <f aca="false">E657+E682</f>
        <v>59889.7435</v>
      </c>
      <c r="F707" s="70" t="n">
        <f aca="false">F657+F682</f>
        <v>79345.335</v>
      </c>
      <c r="G707" s="70" t="n">
        <f aca="false">G657+G682</f>
        <v>95728.1885</v>
      </c>
      <c r="H707" s="70" t="n">
        <f aca="false">H657+H682</f>
        <v>80761.1805</v>
      </c>
      <c r="I707" s="70" t="n">
        <f aca="false">I657+I682</f>
        <v>60960.5975</v>
      </c>
      <c r="J707" s="70" t="n">
        <f aca="false">J657+J682</f>
        <v>69603.181</v>
      </c>
      <c r="K707" s="70" t="n">
        <f aca="false">K657+K682</f>
        <v>84955.7665</v>
      </c>
      <c r="L707" s="70" t="n">
        <f aca="false">L657+L682</f>
        <v>106954.4872</v>
      </c>
      <c r="M707" s="70" t="n">
        <f aca="false">M657+M682</f>
        <v>129401.231075651</v>
      </c>
      <c r="N707" s="70" t="n">
        <f aca="false">N657+N682</f>
        <v>159548.653200023</v>
      </c>
      <c r="O707" s="70" t="n">
        <f aca="false">O657+O682</f>
        <v>190445.930316646</v>
      </c>
      <c r="P707" s="70" t="n">
        <f aca="false">P657+P682</f>
        <v>186751.800075962</v>
      </c>
      <c r="Q707" s="70" t="n">
        <f aca="false">Q657+Q682</f>
        <v>201220.981306309</v>
      </c>
      <c r="R707" s="70" t="n">
        <f aca="false">R657+R682</f>
        <v>223572.222650909</v>
      </c>
      <c r="S707" s="70" t="n">
        <f aca="false">S657+S682</f>
        <v>192039.61791088</v>
      </c>
      <c r="T707" s="70" t="n">
        <f aca="false">T657+T682</f>
        <v>152299.676397462</v>
      </c>
      <c r="U707" s="70" t="n">
        <f aca="false">U657+U682</f>
        <v>138714.193153078</v>
      </c>
      <c r="V707" s="70" t="n">
        <f aca="false">V657+V682</f>
        <v>158533.898148148</v>
      </c>
      <c r="W707" s="70" t="n">
        <f aca="false">W657+W682</f>
        <v>182112.442649391</v>
      </c>
      <c r="X707" s="70" t="n">
        <f aca="false">X657+X682</f>
        <v>206952.477923525</v>
      </c>
      <c r="Y707" s="70" t="n">
        <f aca="false">Y657+Y682</f>
        <v>230396.21208858</v>
      </c>
      <c r="Z707" s="70" t="n">
        <f aca="false">Z657+Z682</f>
        <v>227718.196101508</v>
      </c>
      <c r="AA707" s="70" t="n">
        <f aca="false">AA657+AA682</f>
        <v>238923.987414491</v>
      </c>
      <c r="AB707" s="70" t="n">
        <f aca="false">AB657+AB682</f>
        <v>176168.117438047</v>
      </c>
    </row>
    <row r="708" customFormat="false" ht="15" hidden="false" customHeight="false" outlineLevel="0" collapsed="false">
      <c r="A708" s="27" t="s">
        <v>804</v>
      </c>
      <c r="B708" s="56" t="s">
        <v>815</v>
      </c>
      <c r="C708" s="57" t="n">
        <f aca="false">SUM(E708:P708)</f>
        <v>145066.028575962</v>
      </c>
      <c r="D708" s="57" t="n">
        <f aca="false">SUM(Q708:AB708)</f>
        <v>-10583.6826379151</v>
      </c>
      <c r="E708" s="70" t="n">
        <f aca="false">E658+E683</f>
        <v>18203.972</v>
      </c>
      <c r="F708" s="70" t="n">
        <f aca="false">F658+F683</f>
        <v>19455.5915</v>
      </c>
      <c r="G708" s="70" t="n">
        <f aca="false">G658+G683</f>
        <v>16382.8535</v>
      </c>
      <c r="H708" s="70" t="n">
        <f aca="false">H658+H683</f>
        <v>-14967.008</v>
      </c>
      <c r="I708" s="70" t="n">
        <f aca="false">I658+I683</f>
        <v>-19800.583</v>
      </c>
      <c r="J708" s="70" t="n">
        <f aca="false">J658+J683</f>
        <v>8642.5835</v>
      </c>
      <c r="K708" s="70" t="n">
        <f aca="false">K658+K683</f>
        <v>15352.5855</v>
      </c>
      <c r="L708" s="70" t="n">
        <f aca="false">L658+L683</f>
        <v>21998.7207</v>
      </c>
      <c r="M708" s="70" t="n">
        <f aca="false">M658+M683</f>
        <v>22446.7438756512</v>
      </c>
      <c r="N708" s="70" t="n">
        <f aca="false">N658+N683</f>
        <v>30147.4221243719</v>
      </c>
      <c r="O708" s="70" t="n">
        <f aca="false">O658+O683</f>
        <v>30897.2771166226</v>
      </c>
      <c r="P708" s="70" t="n">
        <f aca="false">P658+P683</f>
        <v>-3694.13024068399</v>
      </c>
      <c r="Q708" s="70" t="n">
        <f aca="false">Q658+Q683</f>
        <v>14469.1812303469</v>
      </c>
      <c r="R708" s="70" t="n">
        <f aca="false">R658+R683</f>
        <v>22351.2413446005</v>
      </c>
      <c r="S708" s="70" t="n">
        <f aca="false">S658+S683</f>
        <v>-31532.6047400296</v>
      </c>
      <c r="T708" s="70" t="n">
        <f aca="false">T658+T683</f>
        <v>-39739.9415134174</v>
      </c>
      <c r="U708" s="70" t="n">
        <f aca="false">U658+U683</f>
        <v>-13585.4832443844</v>
      </c>
      <c r="V708" s="70" t="n">
        <f aca="false">V658+V683</f>
        <v>19819.7049950703</v>
      </c>
      <c r="W708" s="70" t="n">
        <f aca="false">W658+W683</f>
        <v>23578.5445012431</v>
      </c>
      <c r="X708" s="70" t="n">
        <f aca="false">X658+X683</f>
        <v>24840.0352741341</v>
      </c>
      <c r="Y708" s="70" t="n">
        <f aca="false">Y658+Y683</f>
        <v>23443.7341650551</v>
      </c>
      <c r="Z708" s="70" t="n">
        <f aca="false">Z658+Z683</f>
        <v>-2678.01598707257</v>
      </c>
      <c r="AA708" s="70" t="n">
        <f aca="false">AA658+AA683</f>
        <v>11205.7913129832</v>
      </c>
      <c r="AB708" s="70" t="n">
        <f aca="false">AB658+AB683</f>
        <v>-62755.8699764445</v>
      </c>
    </row>
    <row r="709" customFormat="false" ht="15" hidden="false" customHeight="false" outlineLevel="0" collapsed="false">
      <c r="A709" s="27" t="s">
        <v>805</v>
      </c>
      <c r="B709" s="56" t="s">
        <v>815</v>
      </c>
      <c r="C709" s="57" t="n">
        <f aca="false">P709</f>
        <v>101607.393348179</v>
      </c>
      <c r="D709" s="57" t="n">
        <f aca="false">AB709</f>
        <v>93286.5735154373</v>
      </c>
      <c r="E709" s="70" t="n">
        <f aca="false">E659+E684</f>
        <v>35307.1965</v>
      </c>
      <c r="F709" s="70" t="n">
        <f aca="false">F659+F684</f>
        <v>42257.5025</v>
      </c>
      <c r="G709" s="70" t="n">
        <f aca="false">G659+G684</f>
        <v>46736.3405</v>
      </c>
      <c r="H709" s="70" t="n">
        <f aca="false">H659+H684</f>
        <v>39731.0295</v>
      </c>
      <c r="I709" s="70" t="n">
        <f aca="false">I659+I684</f>
        <v>30987.578</v>
      </c>
      <c r="J709" s="70" t="n">
        <f aca="false">J659+J684</f>
        <v>38466.992</v>
      </c>
      <c r="K709" s="70" t="n">
        <f aca="false">K659+K684</f>
        <v>49491.122</v>
      </c>
      <c r="L709" s="70" t="n">
        <f aca="false">L659+L684</f>
        <v>61484.1515</v>
      </c>
      <c r="M709" s="70" t="n">
        <f aca="false">M659+M684</f>
        <v>76097.2131726863</v>
      </c>
      <c r="N709" s="70" t="n">
        <f aca="false">N659+N684</f>
        <v>90951.2486680909</v>
      </c>
      <c r="O709" s="70" t="n">
        <f aca="false">O659+O684</f>
        <v>104472.860599613</v>
      </c>
      <c r="P709" s="70" t="n">
        <f aca="false">P659+P684</f>
        <v>101607.393348179</v>
      </c>
      <c r="Q709" s="70" t="n">
        <f aca="false">Q659+Q684</f>
        <v>108063.131794136</v>
      </c>
      <c r="R709" s="70" t="n">
        <f aca="false">R659+R684</f>
        <v>115726.718525833</v>
      </c>
      <c r="S709" s="70" t="n">
        <f aca="false">S659+S684</f>
        <v>94680.1895680864</v>
      </c>
      <c r="T709" s="70" t="n">
        <f aca="false">T659+T684</f>
        <v>80100.7155804321</v>
      </c>
      <c r="U709" s="70" t="n">
        <f aca="false">U659+U684</f>
        <v>76897.0374075926</v>
      </c>
      <c r="V709" s="70" t="n">
        <f aca="false">V659+V684</f>
        <v>88737.4215125309</v>
      </c>
      <c r="W709" s="70" t="n">
        <f aca="false">W659+W684</f>
        <v>101166.22135821</v>
      </c>
      <c r="X709" s="70" t="n">
        <f aca="false">X659+X684</f>
        <v>112760.341671441</v>
      </c>
      <c r="Y709" s="70" t="n">
        <f aca="false">Y659+Y684</f>
        <v>122204.41953258</v>
      </c>
      <c r="Z709" s="70" t="n">
        <f aca="false">Z659+Z684</f>
        <v>118697.83578531</v>
      </c>
      <c r="AA709" s="70" t="n">
        <f aca="false">AA659+AA684</f>
        <v>123508.979794729</v>
      </c>
      <c r="AB709" s="70" t="n">
        <f aca="false">AB659+AB684</f>
        <v>93286.5735154373</v>
      </c>
    </row>
    <row r="710" customFormat="false" ht="15" hidden="false" customHeight="false" outlineLevel="0" collapsed="false">
      <c r="A710" s="27" t="s">
        <v>771</v>
      </c>
      <c r="B710" s="56" t="s">
        <v>815</v>
      </c>
      <c r="C710" s="57" t="n">
        <f aca="false">SUM(E710:P710)</f>
        <v>75190.088348179</v>
      </c>
      <c r="D710" s="57" t="n">
        <f aca="false">SUM(Q710:AB710)</f>
        <v>-8320.81983274169</v>
      </c>
      <c r="E710" s="70" t="n">
        <f aca="false">E660+E685</f>
        <v>8889.8915</v>
      </c>
      <c r="F710" s="70" t="n">
        <f aca="false">F660+F685</f>
        <v>6950.306</v>
      </c>
      <c r="G710" s="70" t="n">
        <f aca="false">G660+G685</f>
        <v>4478.838</v>
      </c>
      <c r="H710" s="70" t="n">
        <f aca="false">H660+H685</f>
        <v>-7005.311</v>
      </c>
      <c r="I710" s="70" t="n">
        <f aca="false">I660+I685</f>
        <v>-8743.4515</v>
      </c>
      <c r="J710" s="70" t="n">
        <f aca="false">J660+J685</f>
        <v>7479.414</v>
      </c>
      <c r="K710" s="70" t="n">
        <f aca="false">K660+K685</f>
        <v>11024.13</v>
      </c>
      <c r="L710" s="70" t="n">
        <f aca="false">L660+L685</f>
        <v>11993.0295</v>
      </c>
      <c r="M710" s="70" t="n">
        <f aca="false">M660+M685</f>
        <v>14613.0616726863</v>
      </c>
      <c r="N710" s="70" t="n">
        <f aca="false">N660+N685</f>
        <v>14854.0354954046</v>
      </c>
      <c r="O710" s="70" t="n">
        <f aca="false">O660+O685</f>
        <v>13521.6119315223</v>
      </c>
      <c r="P710" s="70" t="n">
        <f aca="false">P660+P685</f>
        <v>-2865.46725143408</v>
      </c>
      <c r="Q710" s="70" t="n">
        <f aca="false">Q660+Q685</f>
        <v>6455.73844595679</v>
      </c>
      <c r="R710" s="70" t="n">
        <f aca="false">R660+R685</f>
        <v>7663.58673169752</v>
      </c>
      <c r="S710" s="70" t="n">
        <f aca="false">S660+S685</f>
        <v>-21046.5289577469</v>
      </c>
      <c r="T710" s="70" t="n">
        <f aca="false">T660+T685</f>
        <v>-14579.4739876543</v>
      </c>
      <c r="U710" s="70" t="n">
        <f aca="false">U660+U685</f>
        <v>-3203.67817283951</v>
      </c>
      <c r="V710" s="70" t="n">
        <f aca="false">V660+V685</f>
        <v>11840.3841049383</v>
      </c>
      <c r="W710" s="70" t="n">
        <f aca="false">W660+W685</f>
        <v>12428.799845679</v>
      </c>
      <c r="X710" s="70" t="n">
        <f aca="false">X660+X685</f>
        <v>11594.1203132311</v>
      </c>
      <c r="Y710" s="70" t="n">
        <f aca="false">Y660+Y685</f>
        <v>9444.07786113867</v>
      </c>
      <c r="Z710" s="70" t="n">
        <f aca="false">Z660+Z685</f>
        <v>-3506.58374726957</v>
      </c>
      <c r="AA710" s="70" t="n">
        <f aca="false">AA660+AA685</f>
        <v>4811.1440094184</v>
      </c>
      <c r="AB710" s="70" t="n">
        <f aca="false">AB660+AB685</f>
        <v>-30222.4062792912</v>
      </c>
    </row>
    <row r="711" customFormat="false" ht="15" hidden="false" customHeight="false" outlineLevel="0" collapsed="false">
      <c r="A711" s="27" t="s">
        <v>806</v>
      </c>
      <c r="B711" s="56" t="s">
        <v>815</v>
      </c>
      <c r="C711" s="57" t="n">
        <f aca="false">SUM(E711:P711)</f>
        <v>4767003.90587961</v>
      </c>
      <c r="D711" s="57" t="n">
        <f aca="false">SUM(Q711:AB711)</f>
        <v>4915461.91694328</v>
      </c>
      <c r="E711" s="70" t="n">
        <f aca="false">E661+E686</f>
        <v>345875.468</v>
      </c>
      <c r="F711" s="70" t="n">
        <f aca="false">F661+F686</f>
        <v>369656.2385</v>
      </c>
      <c r="G711" s="70" t="n">
        <f aca="false">G661+G686</f>
        <v>311274.2165</v>
      </c>
      <c r="H711" s="70" t="n">
        <f aca="false">H661+H686</f>
        <v>231126.848</v>
      </c>
      <c r="I711" s="70" t="n">
        <f aca="false">I661+I686</f>
        <v>184638.923</v>
      </c>
      <c r="J711" s="70" t="n">
        <f aca="false">J661+J686</f>
        <v>164209.0865</v>
      </c>
      <c r="K711" s="70" t="n">
        <f aca="false">K661+K686</f>
        <v>303765.4645</v>
      </c>
      <c r="L711" s="70" t="n">
        <f aca="false">L661+L686</f>
        <v>454244.4093</v>
      </c>
      <c r="M711" s="70" t="n">
        <f aca="false">M661+M686</f>
        <v>476097.970789451</v>
      </c>
      <c r="N711" s="70" t="n">
        <f aca="false">N661+N686</f>
        <v>636440.250215969</v>
      </c>
      <c r="O711" s="70" t="n">
        <f aca="false">O661+O686</f>
        <v>652657.561960294</v>
      </c>
      <c r="P711" s="70" t="n">
        <f aca="false">P661+P686</f>
        <v>637017.468613892</v>
      </c>
      <c r="Q711" s="70" t="n">
        <f aca="false">Q661+Q686</f>
        <v>527775.325890749</v>
      </c>
      <c r="R711" s="70" t="n">
        <f aca="false">R661+R686</f>
        <v>461002.700273683</v>
      </c>
      <c r="S711" s="70" t="n">
        <f aca="false">S661+S686</f>
        <v>384286.149762675</v>
      </c>
      <c r="T711" s="70" t="n">
        <f aca="false">T661+T686</f>
        <v>281791.11124507</v>
      </c>
      <c r="U711" s="70" t="n">
        <f aca="false">U661+U686</f>
        <v>307931.373912251</v>
      </c>
      <c r="V711" s="70" t="n">
        <f aca="false">V661+V686</f>
        <v>405463.283795225</v>
      </c>
      <c r="W711" s="70" t="n">
        <f aca="false">W661+W686</f>
        <v>485547.901079175</v>
      </c>
      <c r="X711" s="70" t="n">
        <f aca="false">X661+X686</f>
        <v>509516.225764103</v>
      </c>
      <c r="Y711" s="70" t="n">
        <f aca="false">Y661+Y686</f>
        <v>474319.838024936</v>
      </c>
      <c r="Z711" s="70" t="n">
        <f aca="false">Z661+Z686</f>
        <v>406992.001801177</v>
      </c>
      <c r="AA711" s="70" t="n">
        <f aca="false">AA661+AA686</f>
        <v>317591.28494668</v>
      </c>
      <c r="AB711" s="70" t="n">
        <f aca="false">AB661+AB686</f>
        <v>353244.720447556</v>
      </c>
    </row>
    <row r="712" customFormat="false" ht="15" hidden="false" customHeight="false" outlineLevel="0" collapsed="false">
      <c r="A712" s="27" t="s">
        <v>807</v>
      </c>
      <c r="B712" s="56" t="s">
        <v>815</v>
      </c>
      <c r="C712" s="57" t="n">
        <f aca="false">SUM(E712:P712)</f>
        <v>404821.368046794</v>
      </c>
      <c r="D712" s="57" t="n">
        <f aca="false">SUM(Q712:AB712)</f>
        <v>368497.542236795</v>
      </c>
      <c r="E712" s="70" t="n">
        <f aca="false">E662+E687</f>
        <v>22443.6025125</v>
      </c>
      <c r="F712" s="70" t="n">
        <f aca="false">F662+F687</f>
        <v>18225.897345</v>
      </c>
      <c r="G712" s="70" t="n">
        <f aca="false">G662+G687</f>
        <v>19348.7684175</v>
      </c>
      <c r="H712" s="70" t="n">
        <f aca="false">H662+H687</f>
        <v>16417.8966825</v>
      </c>
      <c r="I712" s="70" t="n">
        <f aca="false">I662+I687</f>
        <v>14884.78356</v>
      </c>
      <c r="J712" s="70" t="n">
        <f aca="false">J662+J687</f>
        <v>17891.35722</v>
      </c>
      <c r="K712" s="70" t="n">
        <f aca="false">K662+K687</f>
        <v>28451.8213875</v>
      </c>
      <c r="L712" s="70" t="n">
        <f aca="false">L662+L687</f>
        <v>41781.3016455</v>
      </c>
      <c r="M712" s="70" t="n">
        <f aca="false">M662+M687</f>
        <v>41872.4766884259</v>
      </c>
      <c r="N712" s="70" t="n">
        <f aca="false">N662+N687</f>
        <v>59428.4362744991</v>
      </c>
      <c r="O712" s="70" t="n">
        <f aca="false">O662+O687</f>
        <v>62036.2243276905</v>
      </c>
      <c r="P712" s="70" t="n">
        <f aca="false">P662+P687</f>
        <v>62038.8019856789</v>
      </c>
      <c r="Q712" s="70" t="n">
        <f aca="false">Q662+Q687</f>
        <v>51519.0932375598</v>
      </c>
      <c r="R712" s="70" t="n">
        <f aca="false">R662+R687</f>
        <v>48846.7595585139</v>
      </c>
      <c r="S712" s="70" t="n">
        <f aca="false">S662+S687</f>
        <v>42384.1506535382</v>
      </c>
      <c r="T712" s="70" t="n">
        <f aca="false">T662+T687</f>
        <v>30301.0592773438</v>
      </c>
      <c r="U712" s="70" t="n">
        <f aca="false">U662+U687</f>
        <v>17082.6752929688</v>
      </c>
      <c r="V712" s="70" t="n">
        <f aca="false">V662+V687</f>
        <v>24703.4692382813</v>
      </c>
      <c r="W712" s="70" t="n">
        <f aca="false">W662+W687</f>
        <v>29941.5592382813</v>
      </c>
      <c r="X712" s="70" t="n">
        <f aca="false">X662+X687</f>
        <v>31319.5052929688</v>
      </c>
      <c r="Y712" s="70" t="n">
        <f aca="false">Y662+Y687</f>
        <v>28425.7707259589</v>
      </c>
      <c r="Z712" s="70" t="n">
        <f aca="false">Z662+Z687</f>
        <v>24909.8461690848</v>
      </c>
      <c r="AA712" s="70" t="n">
        <f aca="false">AA662+AA687</f>
        <v>17434.4859388666</v>
      </c>
      <c r="AB712" s="70" t="n">
        <f aca="false">AB662+AB687</f>
        <v>21629.1676134293</v>
      </c>
    </row>
    <row r="713" customFormat="false" ht="15" hidden="false" customHeight="false" outlineLevel="0" collapsed="false">
      <c r="A713" s="27" t="s">
        <v>760</v>
      </c>
      <c r="B713" s="56" t="s">
        <v>815</v>
      </c>
      <c r="C713" s="57" t="n">
        <f aca="false">SUM(E713:P713)</f>
        <v>5171825.2739264</v>
      </c>
      <c r="D713" s="57" t="n">
        <f aca="false">SUM(Q713:AB713)</f>
        <v>5283959.45918008</v>
      </c>
      <c r="E713" s="70" t="n">
        <f aca="false">E663+E688</f>
        <v>368319.0705125</v>
      </c>
      <c r="F713" s="70" t="n">
        <f aca="false">F663+F688</f>
        <v>387882.135845</v>
      </c>
      <c r="G713" s="70" t="n">
        <f aca="false">G663+G688</f>
        <v>330622.9849175</v>
      </c>
      <c r="H713" s="70" t="n">
        <f aca="false">H663+H688</f>
        <v>247544.7446825</v>
      </c>
      <c r="I713" s="70" t="n">
        <f aca="false">I663+I688</f>
        <v>199523.70656</v>
      </c>
      <c r="J713" s="70" t="n">
        <f aca="false">J663+J688</f>
        <v>182100.44372</v>
      </c>
      <c r="K713" s="70" t="n">
        <f aca="false">K663+K688</f>
        <v>332217.2858875</v>
      </c>
      <c r="L713" s="70" t="n">
        <f aca="false">L663+L688</f>
        <v>496025.7109455</v>
      </c>
      <c r="M713" s="70" t="n">
        <f aca="false">M663+M688</f>
        <v>517970.447477877</v>
      </c>
      <c r="N713" s="70" t="n">
        <f aca="false">N663+N688</f>
        <v>695868.686490468</v>
      </c>
      <c r="O713" s="70" t="n">
        <f aca="false">O663+O688</f>
        <v>714693.786287985</v>
      </c>
      <c r="P713" s="70" t="n">
        <f aca="false">P663+P688</f>
        <v>699056.270599571</v>
      </c>
      <c r="Q713" s="70" t="n">
        <f aca="false">Q663+Q688</f>
        <v>579294.419128309</v>
      </c>
      <c r="R713" s="70" t="n">
        <f aca="false">R663+R688</f>
        <v>509849.459832197</v>
      </c>
      <c r="S713" s="70" t="n">
        <f aca="false">S663+S688</f>
        <v>426670.300416213</v>
      </c>
      <c r="T713" s="70" t="n">
        <f aca="false">T663+T688</f>
        <v>312092.170522414</v>
      </c>
      <c r="U713" s="70" t="n">
        <f aca="false">U663+U688</f>
        <v>325014.04920522</v>
      </c>
      <c r="V713" s="70" t="n">
        <f aca="false">V663+V688</f>
        <v>430166.753033506</v>
      </c>
      <c r="W713" s="70" t="n">
        <f aca="false">W663+W688</f>
        <v>515489.460317456</v>
      </c>
      <c r="X713" s="70" t="n">
        <f aca="false">X663+X688</f>
        <v>540835.731057072</v>
      </c>
      <c r="Y713" s="70" t="n">
        <f aca="false">Y663+Y688</f>
        <v>502745.608750895</v>
      </c>
      <c r="Z713" s="70" t="n">
        <f aca="false">Z663+Z688</f>
        <v>431901.847970262</v>
      </c>
      <c r="AA713" s="70" t="n">
        <f aca="false">AA663+AA688</f>
        <v>335025.770885547</v>
      </c>
      <c r="AB713" s="70" t="n">
        <f aca="false">AB663+AB688</f>
        <v>374873.888060985</v>
      </c>
    </row>
    <row r="714" customFormat="false" ht="15" hidden="false" customHeight="false" outlineLevel="0" collapsed="false">
      <c r="A714" s="27" t="s">
        <v>808</v>
      </c>
      <c r="B714" s="56" t="s">
        <v>815</v>
      </c>
      <c r="C714" s="57" t="n">
        <f aca="false">SUM(E714:P714)</f>
        <v>4759072.25926331</v>
      </c>
      <c r="D714" s="57" t="n">
        <f aca="false">SUM(Q714:AB714)</f>
        <v>5678228.38304781</v>
      </c>
      <c r="E714" s="70" t="n">
        <f aca="false">E664+E689</f>
        <v>362364</v>
      </c>
      <c r="F714" s="70" t="n">
        <f aca="false">F664+F689</f>
        <v>368938.45</v>
      </c>
      <c r="G714" s="70" t="n">
        <f aca="false">G664+G689</f>
        <v>379748.23</v>
      </c>
      <c r="H714" s="70" t="n">
        <f aca="false">H664+H689</f>
        <v>338181.56</v>
      </c>
      <c r="I714" s="70" t="n">
        <f aca="false">I664+I689</f>
        <v>268609.34</v>
      </c>
      <c r="J714" s="70" t="n">
        <f aca="false">J664+J689</f>
        <v>205054.33</v>
      </c>
      <c r="K714" s="70" t="n">
        <f aca="false">K664+K689</f>
        <v>163404.84</v>
      </c>
      <c r="L714" s="70" t="n">
        <f aca="false">L664+L689</f>
        <v>337464.58</v>
      </c>
      <c r="M714" s="70" t="n">
        <f aca="false">M664+M689</f>
        <v>447152.14947025</v>
      </c>
      <c r="N714" s="70" t="n">
        <f aca="false">N664+N689</f>
        <v>499610.563312401</v>
      </c>
      <c r="O714" s="70" t="n">
        <f aca="false">O664+O689</f>
        <v>676561.611623003</v>
      </c>
      <c r="P714" s="70" t="n">
        <f aca="false">P664+P689</f>
        <v>711982.604857653</v>
      </c>
      <c r="Q714" s="70" t="n">
        <f aca="false">Q664+Q689</f>
        <v>703533.495098589</v>
      </c>
      <c r="R714" s="70" t="n">
        <f aca="false">R664+R689</f>
        <v>592726.092625362</v>
      </c>
      <c r="S714" s="70" t="n">
        <f aca="false">S664+S689</f>
        <v>532235.582327285</v>
      </c>
      <c r="T714" s="70" t="n">
        <f aca="false">T664+T689</f>
        <v>449667.983471837</v>
      </c>
      <c r="U714" s="70" t="n">
        <f aca="false">U664+U689</f>
        <v>339090.161039154</v>
      </c>
      <c r="V714" s="70" t="n">
        <f aca="false">V664+V689</f>
        <v>309111.438094109</v>
      </c>
      <c r="W714" s="70" t="n">
        <f aca="false">W664+W689</f>
        <v>406312.836366839</v>
      </c>
      <c r="X714" s="70" t="n">
        <f aca="false">X664+X689</f>
        <v>503562.501984123</v>
      </c>
      <c r="Y714" s="70" t="n">
        <f aca="false">Y664+Y689</f>
        <v>540835.731057072</v>
      </c>
      <c r="Z714" s="70" t="n">
        <f aca="false">Z664+Z689</f>
        <v>514672.567084228</v>
      </c>
      <c r="AA714" s="70" t="n">
        <f aca="false">AA664+AA689</f>
        <v>444772.245496303</v>
      </c>
      <c r="AB714" s="70" t="n">
        <f aca="false">AB664+AB689</f>
        <v>341707.748402908</v>
      </c>
    </row>
    <row r="715" customFormat="false" ht="15" hidden="false" customHeight="false" outlineLevel="0" collapsed="false">
      <c r="A715" s="27" t="s">
        <v>809</v>
      </c>
      <c r="B715" s="56" t="s">
        <v>815</v>
      </c>
      <c r="C715" s="57" t="n">
        <f aca="false">P715</f>
        <v>789346.964663093</v>
      </c>
      <c r="D715" s="57" t="n">
        <f aca="false">AB715</f>
        <v>395078.04079536</v>
      </c>
      <c r="E715" s="70" t="n">
        <f aca="false">E665+E690</f>
        <v>382549.0205125</v>
      </c>
      <c r="F715" s="70" t="n">
        <f aca="false">F665+F690</f>
        <v>401492.7063575</v>
      </c>
      <c r="G715" s="70" t="n">
        <f aca="false">G665+G690</f>
        <v>352367.461275</v>
      </c>
      <c r="H715" s="70" t="n">
        <f aca="false">H665+H690</f>
        <v>261730.6459575</v>
      </c>
      <c r="I715" s="70" t="n">
        <f aca="false">I665+I690</f>
        <v>192645.0125175</v>
      </c>
      <c r="J715" s="70" t="n">
        <f aca="false">J665+J690</f>
        <v>169691.1262375</v>
      </c>
      <c r="K715" s="70" t="n">
        <f aca="false">K665+K690</f>
        <v>338503.572125</v>
      </c>
      <c r="L715" s="70" t="n">
        <f aca="false">L665+L690</f>
        <v>497064.7030705</v>
      </c>
      <c r="M715" s="70" t="n">
        <f aca="false">M665+M690</f>
        <v>567883.001078127</v>
      </c>
      <c r="N715" s="70" t="n">
        <f aca="false">N665+N690</f>
        <v>764141.124256194</v>
      </c>
      <c r="O715" s="70" t="n">
        <f aca="false">O665+O690</f>
        <v>802273.298921175</v>
      </c>
      <c r="P715" s="70" t="n">
        <f aca="false">P665+P690</f>
        <v>789346.964663093</v>
      </c>
      <c r="Q715" s="70" t="n">
        <f aca="false">Q665+Q690</f>
        <v>665107.888692814</v>
      </c>
      <c r="R715" s="70" t="n">
        <f aca="false">R665+R690</f>
        <v>582231.255899649</v>
      </c>
      <c r="S715" s="70" t="n">
        <f aca="false">S665+S690</f>
        <v>476665.973988577</v>
      </c>
      <c r="T715" s="70" t="n">
        <f aca="false">T665+T690</f>
        <v>339090.161039154</v>
      </c>
      <c r="U715" s="70" t="n">
        <f aca="false">U665+U690</f>
        <v>325014.04920522</v>
      </c>
      <c r="V715" s="70" t="n">
        <f aca="false">V665+V690</f>
        <v>446069.364144617</v>
      </c>
      <c r="W715" s="70" t="n">
        <f aca="false">W665+W690</f>
        <v>555245.988095234</v>
      </c>
      <c r="X715" s="70" t="n">
        <f aca="false">X665+X690</f>
        <v>592519.217168183</v>
      </c>
      <c r="Y715" s="70" t="n">
        <f aca="false">Y665+Y690</f>
        <v>554429.094862006</v>
      </c>
      <c r="Z715" s="70" t="n">
        <f aca="false">Z665+Z690</f>
        <v>471658.375748039</v>
      </c>
      <c r="AA715" s="70" t="n">
        <f aca="false">AA665+AA690</f>
        <v>361911.901137283</v>
      </c>
      <c r="AB715" s="70" t="n">
        <f aca="false">AB665+AB690</f>
        <v>395078.04079536</v>
      </c>
    </row>
    <row r="716" customFormat="false" ht="15" hidden="false" customHeight="false" outlineLevel="0" collapsed="false">
      <c r="A716" s="27" t="s">
        <v>810</v>
      </c>
      <c r="B716" s="56" t="s">
        <v>815</v>
      </c>
      <c r="C716" s="57" t="n">
        <f aca="false">P716</f>
        <v>544000</v>
      </c>
      <c r="D716" s="57" t="n">
        <f aca="false">AB716</f>
        <v>156000</v>
      </c>
      <c r="E716" s="70" t="n">
        <f aca="false">E666+E691</f>
        <v>206000</v>
      </c>
      <c r="F716" s="70" t="n">
        <f aca="false">F666+F691</f>
        <v>324000</v>
      </c>
      <c r="G716" s="70" t="n">
        <f aca="false">G666+G691</f>
        <v>324000</v>
      </c>
      <c r="H716" s="70" t="n">
        <f aca="false">H666+H691</f>
        <v>358000</v>
      </c>
      <c r="I716" s="70" t="n">
        <f aca="false">I666+I691</f>
        <v>344000</v>
      </c>
      <c r="J716" s="70" t="n">
        <f aca="false">J666+J691</f>
        <v>344000</v>
      </c>
      <c r="K716" s="70" t="n">
        <f aca="false">K666+K691</f>
        <v>383000</v>
      </c>
      <c r="L716" s="70" t="n">
        <f aca="false">L666+L691</f>
        <v>623000</v>
      </c>
      <c r="M716" s="70" t="n">
        <f aca="false">M666+M691</f>
        <v>623000</v>
      </c>
      <c r="N716" s="70" t="n">
        <f aca="false">N666+N691</f>
        <v>623000</v>
      </c>
      <c r="O716" s="70" t="n">
        <f aca="false">O666+O691</f>
        <v>662000</v>
      </c>
      <c r="P716" s="70" t="n">
        <f aca="false">P666+P691</f>
        <v>544000</v>
      </c>
      <c r="Q716" s="70" t="n">
        <f aca="false">Q666+Q691</f>
        <v>569750</v>
      </c>
      <c r="R716" s="70" t="n">
        <f aca="false">R666+R691</f>
        <v>569750</v>
      </c>
      <c r="S716" s="70" t="n">
        <f aca="false">S666+S691</f>
        <v>382750</v>
      </c>
      <c r="T716" s="70" t="n">
        <f aca="false">T666+T691</f>
        <v>279750</v>
      </c>
      <c r="U716" s="70" t="n">
        <f aca="false">U666+U691</f>
        <v>297750</v>
      </c>
      <c r="V716" s="70" t="n">
        <f aca="false">V666+V691</f>
        <v>297750</v>
      </c>
      <c r="W716" s="70" t="n">
        <f aca="false">W666+W691</f>
        <v>336150</v>
      </c>
      <c r="X716" s="70" t="n">
        <f aca="false">X666+X691</f>
        <v>368550</v>
      </c>
      <c r="Y716" s="70" t="n">
        <f aca="false">Y666+Y691</f>
        <v>453750</v>
      </c>
      <c r="Z716" s="70" t="n">
        <f aca="false">Z666+Z691</f>
        <v>350000</v>
      </c>
      <c r="AA716" s="70" t="n">
        <f aca="false">AA666+AA691</f>
        <v>332000</v>
      </c>
      <c r="AB716" s="70" t="n">
        <f aca="false">AB666+AB691</f>
        <v>156000</v>
      </c>
    </row>
    <row r="717" customFormat="false" ht="15" hidden="false" customHeight="false" outlineLevel="0" collapsed="false">
      <c r="A717" s="27" t="s">
        <v>811</v>
      </c>
      <c r="B717" s="56" t="s">
        <v>815</v>
      </c>
      <c r="C717" s="57" t="n">
        <f aca="false">P717</f>
        <v>5454130.12842334</v>
      </c>
      <c r="D717" s="57" t="n">
        <f aca="false">AB717</f>
        <v>820550.154883382</v>
      </c>
      <c r="E717" s="70" t="n">
        <f aca="false">E667+E692</f>
        <v>3683063.33</v>
      </c>
      <c r="F717" s="70" t="n">
        <f aca="false">F667+F692</f>
        <v>4563794.87</v>
      </c>
      <c r="G717" s="70" t="n">
        <f aca="false">G667+G692</f>
        <v>4356563.82</v>
      </c>
      <c r="H717" s="70" t="n">
        <f aca="false">H667+H692</f>
        <v>5527670.36</v>
      </c>
      <c r="I717" s="70" t="n">
        <f aca="false">I667+I692</f>
        <v>6307533.02</v>
      </c>
      <c r="J717" s="70" t="n">
        <f aca="false">J667+J692</f>
        <v>6033688.12</v>
      </c>
      <c r="K717" s="70" t="n">
        <f aca="false">K667+K692</f>
        <v>5966484</v>
      </c>
      <c r="L717" s="70" t="n">
        <f aca="false">L667+L692</f>
        <v>7907676.59</v>
      </c>
      <c r="M717" s="70" t="n">
        <f aca="false">M667+M692</f>
        <v>7265303.72462082</v>
      </c>
      <c r="N717" s="70" t="n">
        <f aca="false">N667+N692</f>
        <v>6605748.9784384</v>
      </c>
      <c r="O717" s="70" t="n">
        <f aca="false">O667+O692</f>
        <v>5996374.63554443</v>
      </c>
      <c r="P717" s="70" t="n">
        <f aca="false">P667+P692</f>
        <v>5454130.12842334</v>
      </c>
      <c r="Q717" s="70" t="n">
        <f aca="false">Q667+Q692</f>
        <v>4970776.18680505</v>
      </c>
      <c r="R717" s="70" t="n">
        <f aca="false">R667+R692</f>
        <v>4618022.64178241</v>
      </c>
      <c r="S717" s="70" t="n">
        <f aca="false">S667+S692</f>
        <v>4375971.47205075</v>
      </c>
      <c r="T717" s="70" t="n">
        <f aca="false">T667+T692</f>
        <v>4081625.58138289</v>
      </c>
      <c r="U717" s="70" t="n">
        <f aca="false">U667+U692</f>
        <v>3656342.59259259</v>
      </c>
      <c r="V717" s="70" t="n">
        <f aca="false">V667+V692</f>
        <v>3147216.14701217</v>
      </c>
      <c r="W717" s="70" t="n">
        <f aca="false">W667+W692</f>
        <v>2612859.88597394</v>
      </c>
      <c r="X717" s="70" t="n">
        <f aca="false">X667+X692</f>
        <v>2115096.31378395</v>
      </c>
      <c r="Y717" s="70" t="n">
        <f aca="false">Y667+Y692</f>
        <v>1710782.32796984</v>
      </c>
      <c r="Z717" s="70" t="n">
        <f aca="false">Z667+Z692</f>
        <v>1381985.25171018</v>
      </c>
      <c r="AA717" s="70" t="n">
        <f aca="false">AA667+AA692</f>
        <v>1091496.40123907</v>
      </c>
      <c r="AB717" s="70" t="n">
        <f aca="false">AB667+AB692</f>
        <v>820550.154883382</v>
      </c>
    </row>
    <row r="718" customFormat="false" ht="15" hidden="false" customHeight="false" outlineLevel="0" collapsed="false">
      <c r="A718" s="27" t="s">
        <v>812</v>
      </c>
      <c r="B718" s="56" t="s">
        <v>815</v>
      </c>
      <c r="C718" s="57" t="n">
        <f aca="false">SUM(E718:P718)</f>
        <v>6620000</v>
      </c>
      <c r="D718" s="57" t="n">
        <f aca="false">SUM(Q718:AB718)</f>
        <v>2777500</v>
      </c>
      <c r="E718" s="70" t="n">
        <f aca="false">E668+E693</f>
        <v>0</v>
      </c>
      <c r="F718" s="70" t="n">
        <f aca="false">F668+F693</f>
        <v>1180000</v>
      </c>
      <c r="G718" s="70" t="n">
        <f aca="false">G668+G693</f>
        <v>0</v>
      </c>
      <c r="H718" s="70" t="n">
        <f aca="false">H668+H693</f>
        <v>1320000</v>
      </c>
      <c r="I718" s="70" t="n">
        <f aca="false">I668+I693</f>
        <v>940000</v>
      </c>
      <c r="J718" s="70" t="n">
        <f aca="false">J668+J693</f>
        <v>0</v>
      </c>
      <c r="K718" s="70" t="n">
        <f aca="false">K668+K693</f>
        <v>390000</v>
      </c>
      <c r="L718" s="70" t="n">
        <f aca="false">L668+L693</f>
        <v>2400000</v>
      </c>
      <c r="M718" s="70" t="n">
        <f aca="false">M668+M693</f>
        <v>0</v>
      </c>
      <c r="N718" s="70" t="n">
        <f aca="false">N668+N693</f>
        <v>0</v>
      </c>
      <c r="O718" s="70" t="n">
        <f aca="false">O668+O693</f>
        <v>390000</v>
      </c>
      <c r="P718" s="70" t="n">
        <f aca="false">P668+P693</f>
        <v>0</v>
      </c>
      <c r="Q718" s="70" t="n">
        <f aca="false">Q668+Q693</f>
        <v>647500</v>
      </c>
      <c r="R718" s="70" t="n">
        <f aca="false">R668+R693</f>
        <v>0</v>
      </c>
      <c r="S718" s="70" t="n">
        <f aca="false">S668+S693</f>
        <v>390000</v>
      </c>
      <c r="T718" s="70" t="n">
        <f aca="false">T668+T693</f>
        <v>0</v>
      </c>
      <c r="U718" s="70" t="n">
        <f aca="false">U668+U693</f>
        <v>180000</v>
      </c>
      <c r="V718" s="70" t="n">
        <f aca="false">V668+V693</f>
        <v>0</v>
      </c>
      <c r="W718" s="70" t="n">
        <f aca="false">W668+W693</f>
        <v>384000</v>
      </c>
      <c r="X718" s="70" t="n">
        <f aca="false">X668+X693</f>
        <v>324000</v>
      </c>
      <c r="Y718" s="70" t="n">
        <f aca="false">Y668+Y693</f>
        <v>852000</v>
      </c>
      <c r="Z718" s="70" t="n">
        <f aca="false">Z668+Z693</f>
        <v>0</v>
      </c>
      <c r="AA718" s="70" t="n">
        <f aca="false">AA668+AA693</f>
        <v>0</v>
      </c>
      <c r="AB718" s="70" t="n">
        <f aca="false">AB668+AB693</f>
        <v>0</v>
      </c>
    </row>
    <row r="719" customFormat="false" ht="15" hidden="false" customHeight="false" outlineLevel="0" collapsed="false">
      <c r="A719" s="67" t="s">
        <v>816</v>
      </c>
      <c r="B719" s="68"/>
      <c r="C719" s="69" t="n">
        <f aca="false">P719</f>
        <v>2347567.62842334</v>
      </c>
      <c r="D719" s="69" t="n">
        <f aca="false">AB719</f>
        <v>0</v>
      </c>
      <c r="E719" s="69" t="n">
        <f aca="false">E47+E90+E133+E176+E219+E262+E305+E347</f>
        <v>515563.33</v>
      </c>
      <c r="F719" s="69" t="n">
        <f aca="false">F47+F90+F133+F176+F219+F262+F305+F347</f>
        <v>1396294.87</v>
      </c>
      <c r="G719" s="69" t="n">
        <f aca="false">G47+G90+G133+G176+G219+G262+G305+G347</f>
        <v>1189063.82</v>
      </c>
      <c r="H719" s="69" t="n">
        <f aca="false">H47+H90+H133+H176+H219+H262+H305+H347</f>
        <v>2360170.36</v>
      </c>
      <c r="I719" s="69" t="n">
        <f aca="false">I47+I90+I133+I176+I219+I262+I305+I347</f>
        <v>3140033.02</v>
      </c>
      <c r="J719" s="69" t="n">
        <f aca="false">J47+J90+J133+J176+J219+J262+J305+J347</f>
        <v>2866188.12</v>
      </c>
      <c r="K719" s="69" t="n">
        <f aca="false">K47+K90+K133+K176+K219+K262+K305+K347</f>
        <v>2798984</v>
      </c>
      <c r="L719" s="69" t="n">
        <f aca="false">L47+L90+L133+L176+L219+L262+L305+L347</f>
        <v>4740176.59</v>
      </c>
      <c r="M719" s="69" t="n">
        <f aca="false">M47+M90+M133+M176+M219+M262+M305+M347</f>
        <v>4097803.72462082</v>
      </c>
      <c r="N719" s="69" t="n">
        <f aca="false">N47+N90+N133+N176+N219+N262+N305+N347</f>
        <v>3438248.9784384</v>
      </c>
      <c r="O719" s="69" t="n">
        <f aca="false">O47+O90+O133+O176+O219+O262+O305+O347</f>
        <v>2828874.63554443</v>
      </c>
      <c r="P719" s="69" t="n">
        <f aca="false">P47+P90+P133+P176+P219+P262+P305+P347</f>
        <v>2347567.62842334</v>
      </c>
      <c r="Q719" s="69" t="n">
        <f aca="false">Q47+Q90+Q133+Q176+Q219+Q262+Q305+Q347</f>
        <v>1998276.18680505</v>
      </c>
      <c r="R719" s="69" t="n">
        <f aca="false">R47+R90+R133+R176+R219+R262+R305+R347</f>
        <v>1807407.40740741</v>
      </c>
      <c r="S719" s="69" t="n">
        <f aca="false">S47+S90+S133+S176+S219+S262+S305+S347</f>
        <v>1699643.34705075</v>
      </c>
      <c r="T719" s="69" t="n">
        <f aca="false">T47+T90+T133+T176+T219+T262+T305+T347</f>
        <v>1537887.51714678</v>
      </c>
      <c r="U719" s="69" t="n">
        <f aca="false">U47+U90+U133+U176+U219+U262+U305+U347</f>
        <v>1303703.7037037</v>
      </c>
      <c r="V719" s="69" t="n">
        <f aca="false">V47+V90+V133+V176+V219+V262+V305+V347</f>
        <v>1026063.10013717</v>
      </c>
      <c r="W719" s="69" t="n">
        <f aca="false">W47+W90+W133+W176+W219+W262+W305+W347</f>
        <v>733936.899862826</v>
      </c>
      <c r="X719" s="69" t="n">
        <f aca="false">X47+X90+X133+X176+X219+X262+X305+X347</f>
        <v>456296.296296296</v>
      </c>
      <c r="Y719" s="69" t="n">
        <f aca="false">Y47+Y90+Y133+Y176+Y219+Y262+Y305+Y347</f>
        <v>222112.482853224</v>
      </c>
      <c r="Z719" s="69" t="n">
        <f aca="false">Z47+Z90+Z133+Z176+Z219+Z262+Z305+Z347</f>
        <v>60356.6529492454</v>
      </c>
      <c r="AA719" s="69" t="n">
        <f aca="false">AA47+AA90+AA133+AA176+AA219+AA262+AA305+AA347</f>
        <v>0</v>
      </c>
      <c r="AB719" s="69" t="n">
        <f aca="false">AB47+AB90+AB133+AB176+AB219+AB262+AB305+AB347</f>
        <v>0</v>
      </c>
    </row>
    <row r="720" customFormat="false" ht="15" hidden="false" customHeight="false" outlineLevel="0" collapsed="false">
      <c r="A720" s="27" t="s">
        <v>817</v>
      </c>
      <c r="B720" s="56"/>
      <c r="C720" s="57" t="n">
        <f aca="false">P720</f>
        <v>3106562.5</v>
      </c>
      <c r="D720" s="57" t="n">
        <f aca="false">AB720</f>
        <v>820550.154883382</v>
      </c>
      <c r="E720" s="70" t="n">
        <f aca="false">E389+E431+E473+E515+E557+E599+E641</f>
        <v>3167500</v>
      </c>
      <c r="F720" s="70" t="n">
        <f aca="false">F389+F431+F473+F515+F557+F599+F641</f>
        <v>3167500</v>
      </c>
      <c r="G720" s="70" t="n">
        <f aca="false">G389+G431+G473+G515+G557+G599+G641</f>
        <v>3167500</v>
      </c>
      <c r="H720" s="70" t="n">
        <f aca="false">H389+H431+H473+H515+H557+H599+H641</f>
        <v>3167500</v>
      </c>
      <c r="I720" s="70" t="n">
        <f aca="false">I389+I431+I473+I515+I557+I599+I641</f>
        <v>3167500</v>
      </c>
      <c r="J720" s="70" t="n">
        <f aca="false">J389+J431+J473+J515+J557+J599+J641</f>
        <v>3167500</v>
      </c>
      <c r="K720" s="70" t="n">
        <f aca="false">K389+K431+K473+K515+K557+K599+K641</f>
        <v>3167500</v>
      </c>
      <c r="L720" s="70" t="n">
        <f aca="false">L389+L431+L473+L515+L557+L599+L641</f>
        <v>3167500</v>
      </c>
      <c r="M720" s="70" t="n">
        <f aca="false">M389+M431+M473+M515+M557+M599+M641</f>
        <v>3167500</v>
      </c>
      <c r="N720" s="70" t="n">
        <f aca="false">N389+N431+N473+N515+N557+N599+N641</f>
        <v>3167500</v>
      </c>
      <c r="O720" s="70" t="n">
        <f aca="false">O389+O431+O473+O515+O557+O599+O641</f>
        <v>3167500</v>
      </c>
      <c r="P720" s="70" t="n">
        <f aca="false">P389+P431+P473+P515+P557+P599+P641</f>
        <v>3106562.5</v>
      </c>
      <c r="Q720" s="70" t="n">
        <f aca="false">Q389+Q431+Q473+Q515+Q557+Q599+Q641</f>
        <v>2972500</v>
      </c>
      <c r="R720" s="70" t="n">
        <f aca="false">R389+R431+R473+R515+R557+R599+R641</f>
        <v>2810615.234375</v>
      </c>
      <c r="S720" s="70" t="n">
        <f aca="false">S389+S431+S473+S515+S557+S599+S641</f>
        <v>2676328.125</v>
      </c>
      <c r="T720" s="70" t="n">
        <f aca="false">T389+T431+T473+T515+T557+T599+T641</f>
        <v>2543738.06423611</v>
      </c>
      <c r="U720" s="70" t="n">
        <f aca="false">U389+U431+U473+U515+U557+U599+U641</f>
        <v>2352638.88888889</v>
      </c>
      <c r="V720" s="70" t="n">
        <f aca="false">V389+V431+V473+V515+V557+V599+V641</f>
        <v>2121153.046875</v>
      </c>
      <c r="W720" s="70" t="n">
        <f aca="false">W389+W431+W473+W515+W557+W599+W641</f>
        <v>1878922.98611111</v>
      </c>
      <c r="X720" s="70" t="n">
        <f aca="false">X389+X431+X473+X515+X557+X599+X641</f>
        <v>1658800.01748765</v>
      </c>
      <c r="Y720" s="70" t="n">
        <f aca="false">Y389+Y431+Y473+Y515+Y557+Y599+Y641</f>
        <v>1488669.84511662</v>
      </c>
      <c r="Z720" s="70" t="n">
        <f aca="false">Z389+Z431+Z473+Z515+Z557+Z599+Z641</f>
        <v>1321628.59876093</v>
      </c>
      <c r="AA720" s="70" t="n">
        <f aca="false">AA389+AA431+AA473+AA515+AA557+AA599+AA641</f>
        <v>1091496.40123907</v>
      </c>
      <c r="AB720" s="70" t="n">
        <f aca="false">AB389+AB431+AB473+AB515+AB557+AB599+AB641</f>
        <v>820550.154883382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8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818</v>
      </c>
    </row>
    <row r="3" customFormat="false" ht="15" hidden="false" customHeight="false" outlineLevel="0" collapsed="false">
      <c r="A3" s="47" t="s">
        <v>819</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820</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821</v>
      </c>
      <c r="B9" s="56" t="s">
        <v>822</v>
      </c>
      <c r="C9" s="106" t="n">
        <f aca="false">IFERROR(SUMIFS(Inputs_Actuals!$E$64:$AB$64,Assumptions!$E$96:$AB$96,"&gt;"&amp;(Assumptions!$C$10-Assumptions!$C$44),Assumptions!$E$96:$AB$96,"&lt;="&amp;Assumptions!$C$10)/SUMIFS(Assumptions!$E$102:$AB$102,Assumptions!$E$96:$AB$96,"&gt;"&amp;(Assumptions!$C$10-Assumptions!$C$44),Assumptions!$E$96:$AB$96,"&lt;="&amp;Assumptions!$C$10),0)</f>
        <v>3.33333333333333</v>
      </c>
    </row>
    <row r="10" customFormat="false" ht="15" hidden="false" customHeight="false" outlineLevel="0" collapsed="false">
      <c r="A10" s="27" t="s">
        <v>823</v>
      </c>
      <c r="B10" s="56" t="s">
        <v>822</v>
      </c>
      <c r="C10" s="107" t="n">
        <f aca="false">IFERROR(SUMPRODUCT((Assumptions!$E$96:$AB$96&gt;Assumptions!$C$10-3)*(Assumptions!$E$96:$AB$96&lt;=Assumptions!$C$10)*Inputs_Actuals!$E$64:$AB$64*Inputs_Actuals!$E$65:$AB$65)/SUMPRODUCT((Assumptions!$E$96:$AB$96&gt;Assumptions!$C$10-3)*(Assumptions!$E$96:$AB$96&lt;=Assumptions!$C$10)*Inputs_Actuals!$E$64:$AB$64),0)</f>
        <v>60993.8181818182</v>
      </c>
    </row>
    <row r="11" customFormat="false" ht="15" hidden="false" customHeight="false" outlineLevel="0" collapsed="false">
      <c r="A11" s="27" t="s">
        <v>824</v>
      </c>
      <c r="B11" s="56" t="s">
        <v>822</v>
      </c>
      <c r="C11" s="107" t="n">
        <f aca="false">IFERROR(SUMPRODUCT((Assumptions!$E$96:$AB$96&gt;Assumptions!$C$10-3)*(Assumptions!$E$96:$AB$96&lt;=Assumptions!$C$10)*Inputs_Actuals!$E$64:$AB$64*Inputs_Actuals!$E$66:$AB$66)/SUMPRODUCT((Assumptions!$E$96:$AB$96&gt;Assumptions!$C$10-3)*(Assumptions!$E$96:$AB$96&lt;=Assumptions!$C$10)*Inputs_Actuals!$E$64:$AB$64),0)</f>
        <v>23764.1818181818</v>
      </c>
    </row>
    <row r="12" customFormat="false" ht="15" hidden="false" customHeight="false" outlineLevel="0" collapsed="false">
      <c r="A12" s="27" t="s">
        <v>825</v>
      </c>
      <c r="B12" s="56" t="s">
        <v>826</v>
      </c>
      <c r="C12" s="108" t="n">
        <f aca="false">SUM(E12:P12)</f>
        <v>35.4788888074969</v>
      </c>
      <c r="D12" s="108" t="n">
        <f aca="false">SUM(Q12:AB12)</f>
        <v>47.0348827353468</v>
      </c>
      <c r="E12" s="90" t="n">
        <f aca="false">IF(E$5="A",Inputs_Actuals!E64,Residential!$C$9*Assumptions!E$102*(1+Assumptions!$F$111)^(Assumptions!E$101/12))</f>
        <v>2</v>
      </c>
      <c r="F12" s="90" t="n">
        <f aca="false">IF(F$5="A",Inputs_Actuals!F64,Residential!$C$9*Assumptions!F$102*(1+Assumptions!$F$111)^(Assumptions!F$101/12))</f>
        <v>2</v>
      </c>
      <c r="G12" s="90" t="n">
        <f aca="false">IF(G$5="A",Inputs_Actuals!G64,Residential!$C$9*Assumptions!G$102*(1+Assumptions!$F$111)^(Assumptions!G$101/12))</f>
        <v>3</v>
      </c>
      <c r="H12" s="90" t="n">
        <f aca="false">IF(H$5="A",Inputs_Actuals!H64,Residential!$C$9*Assumptions!H$102*(1+Assumptions!$F$111)^(Assumptions!H$101/12))</f>
        <v>2</v>
      </c>
      <c r="I12" s="90" t="n">
        <f aca="false">IF(I$5="A",Inputs_Actuals!I64,Residential!$C$9*Assumptions!I$102*(1+Assumptions!$F$111)^(Assumptions!I$101/12))</f>
        <v>2</v>
      </c>
      <c r="J12" s="90" t="n">
        <f aca="false">IF(J$5="A",Inputs_Actuals!J64,Residential!$C$9*Assumptions!J$102*(1+Assumptions!$F$111)^(Assumptions!J$101/12))</f>
        <v>3</v>
      </c>
      <c r="K12" s="90" t="n">
        <f aca="false">IF(K$5="A",Inputs_Actuals!K64,Residential!$C$9*Assumptions!K$102*(1+Assumptions!$F$111)^(Assumptions!K$101/12))</f>
        <v>4</v>
      </c>
      <c r="L12" s="90" t="n">
        <f aca="false">IF(L$5="A",Inputs_Actuals!L64,Residential!$C$9*Assumptions!L$102*(1+Assumptions!$F$111)^(Assumptions!L$101/12))</f>
        <v>4</v>
      </c>
      <c r="M12" s="90" t="n">
        <f aca="false">IF(M$5="A",Inputs_Actuals!M64,Residential!$C$9*Assumptions!M$102*(1+Assumptions!$F$111)^(Assumptions!M$101/12))</f>
        <v>3.72280139183235</v>
      </c>
      <c r="N12" s="90" t="n">
        <f aca="false">IF(N$5="A",Inputs_Actuals!N64,Residential!$C$9*Assumptions!N$102*(1+Assumptions!$F$111)^(Assumptions!N$101/12))</f>
        <v>3.60798662310256</v>
      </c>
      <c r="O12" s="90" t="n">
        <f aca="false">IF(O$5="A",Inputs_Actuals!O64,Residential!$C$9*Assumptions!O$102*(1+Assumptions!$F$111)^(Assumptions!O$101/12))</f>
        <v>3.314344608075</v>
      </c>
      <c r="P12" s="90" t="n">
        <f aca="false">IF(P$5="A",Inputs_Actuals!P64,Residential!$C$9*Assumptions!P$102*(1+Assumptions!$F$111)^(Assumptions!P$101/12))</f>
        <v>2.83375618448696</v>
      </c>
      <c r="Q12" s="90" t="n">
        <f aca="false">IF(Q$5="A",Inputs_Actuals!Q64,Residential!$C$9*Assumptions!Q$102*(1+Assumptions!$F$111)^(Assumptions!Q$101/12))</f>
        <v>2.5174970547972</v>
      </c>
      <c r="R12" s="90" t="n">
        <f aca="false">IF(R$5="A",Inputs_Actuals!R64,Residential!$C$9*Assumptions!R$102*(1+Assumptions!$F$111)^(Assumptions!R$101/12))</f>
        <v>3.10376115919594</v>
      </c>
      <c r="S12" s="90" t="n">
        <f aca="false">IF(S$5="A",Inputs_Actuals!S64,Residential!$C$9*Assumptions!S$102*(1+Assumptions!$F$111)^(Assumptions!S$101/12))</f>
        <v>3.70738599894219</v>
      </c>
      <c r="T12" s="90" t="n">
        <f aca="false">IF(T$5="A",Inputs_Actuals!T64,Residential!$C$9*Assumptions!T$102*(1+Assumptions!$F$111)^(Assumptions!T$101/12))</f>
        <v>4.14055852707653</v>
      </c>
      <c r="U12" s="90" t="n">
        <f aca="false">IF(U$5="A",Inputs_Actuals!U64,Residential!$C$9*Assumptions!U$102*(1+Assumptions!$F$111)^(Assumptions!U$101/12))</f>
        <v>4.39503684414009</v>
      </c>
      <c r="V12" s="90" t="n">
        <f aca="false">IF(V$5="A",Inputs_Actuals!V64,Residential!$C$9*Assumptions!V$102*(1+Assumptions!$F$111)^(Assumptions!V$101/12))</f>
        <v>4.46232253105068</v>
      </c>
      <c r="W12" s="90" t="n">
        <f aca="false">IF(W$5="A",Inputs_Actuals!W64,Residential!$C$9*Assumptions!W$102*(1+Assumptions!$F$111)^(Assumptions!W$101/12))</f>
        <v>4.33365405114791</v>
      </c>
      <c r="X12" s="90" t="n">
        <f aca="false">IF(X$5="A",Inputs_Actuals!X64,Residential!$C$9*Assumptions!X$102*(1+Assumptions!$F$111)^(Assumptions!X$101/12))</f>
        <v>4.2</v>
      </c>
      <c r="Y12" s="90" t="n">
        <f aca="false">IF(Y$5="A",Inputs_Actuals!Y64,Residential!$C$9*Assumptions!Y$102*(1+Assumptions!$F$111)^(Assumptions!Y$101/12))</f>
        <v>4.46736167019882</v>
      </c>
      <c r="Z12" s="90" t="n">
        <f aca="false">IF(Z$5="A",Inputs_Actuals!Z64,Residential!$C$9*Assumptions!Z$102*(1+Assumptions!$F$111)^(Assumptions!Z$101/12))</f>
        <v>4.32958394772307</v>
      </c>
      <c r="AA12" s="90" t="n">
        <f aca="false">IF(AA$5="A",Inputs_Actuals!AA64,Residential!$C$9*Assumptions!AA$102*(1+Assumptions!$F$111)^(Assumptions!AA$101/12))</f>
        <v>3.97721352969</v>
      </c>
      <c r="AB12" s="90" t="n">
        <f aca="false">IF(AB$5="A",Inputs_Actuals!AB64,Residential!$C$9*Assumptions!AB$102*(1+Assumptions!$F$111)^(Assumptions!AB$101/12))</f>
        <v>3.40050742138436</v>
      </c>
    </row>
    <row r="13" customFormat="false" ht="15" hidden="false" customHeight="false" outlineLevel="0" collapsed="false">
      <c r="A13" s="27" t="s">
        <v>827</v>
      </c>
      <c r="B13" s="56" t="s">
        <v>828</v>
      </c>
      <c r="C13" s="57" t="n">
        <f aca="false">AVERAGE(E13:P13)</f>
        <v>61288.8549454992</v>
      </c>
      <c r="D13" s="57" t="n">
        <f aca="false">AVERAGE(Q13:AB13)</f>
        <v>62594.1999811644</v>
      </c>
      <c r="E13" s="58" t="n">
        <f aca="false">IF(E$5="A",Inputs_Actuals!E65,Residential!$C$10*(1+Assumptions!$F$113)^(Assumptions!E$101/12))</f>
        <v>60550</v>
      </c>
      <c r="F13" s="58" t="n">
        <f aca="false">IF(F$5="A",Inputs_Actuals!F65,Residential!$C$10*(1+Assumptions!$F$113)^(Assumptions!F$101/12))</f>
        <v>64205</v>
      </c>
      <c r="G13" s="58" t="n">
        <f aca="false">IF(G$5="A",Inputs_Actuals!G65,Residential!$C$10*(1+Assumptions!$F$113)^(Assumptions!G$101/12))</f>
        <v>60211</v>
      </c>
      <c r="H13" s="58" t="n">
        <f aca="false">IF(H$5="A",Inputs_Actuals!H65,Residential!$C$10*(1+Assumptions!$F$113)^(Assumptions!H$101/12))</f>
        <v>62861</v>
      </c>
      <c r="I13" s="58" t="n">
        <f aca="false">IF(I$5="A",Inputs_Actuals!I65,Residential!$C$10*(1+Assumptions!$F$113)^(Assumptions!I$101/12))</f>
        <v>59224</v>
      </c>
      <c r="J13" s="58" t="n">
        <f aca="false">IF(J$5="A",Inputs_Actuals!J65,Residential!$C$10*(1+Assumptions!$F$113)^(Assumptions!J$101/12))</f>
        <v>60796</v>
      </c>
      <c r="K13" s="58" t="n">
        <f aca="false">IF(K$5="A",Inputs_Actuals!K65,Residential!$C$10*(1+Assumptions!$F$113)^(Assumptions!K$101/12))</f>
        <v>61317</v>
      </c>
      <c r="L13" s="58" t="n">
        <f aca="false">IF(L$5="A",Inputs_Actuals!L65,Residential!$C$10*(1+Assumptions!$F$113)^(Assumptions!L$101/12))</f>
        <v>60819</v>
      </c>
      <c r="M13" s="58" t="n">
        <f aca="false">IF(M$5="A",Inputs_Actuals!M65,Residential!$C$10*(1+Assumptions!$F$113)^(Assumptions!M$101/12))</f>
        <v>61144.2453918974</v>
      </c>
      <c r="N13" s="58" t="n">
        <f aca="false">IF(N$5="A",Inputs_Actuals!N65,Residential!$C$10*(1+Assumptions!$F$113)^(Assumptions!N$101/12))</f>
        <v>61295.0435960577</v>
      </c>
      <c r="O13" s="58" t="n">
        <f aca="false">IF(O$5="A",Inputs_Actuals!O65,Residential!$C$10*(1+Assumptions!$F$113)^(Assumptions!O$101/12))</f>
        <v>61446.2137092707</v>
      </c>
      <c r="P13" s="58" t="n">
        <f aca="false">IF(P$5="A",Inputs_Actuals!P65,Residential!$C$10*(1+Assumptions!$F$113)^(Assumptions!P$101/12))</f>
        <v>61597.7566487644</v>
      </c>
      <c r="Q13" s="58" t="n">
        <f aca="false">IF(Q$5="A",Inputs_Actuals!Q65,Residential!$C$10*(1+Assumptions!$F$113)^(Assumptions!Q$101/12))</f>
        <v>61749.673334029</v>
      </c>
      <c r="R13" s="58" t="n">
        <f aca="false">IF(R$5="A",Inputs_Actuals!R65,Residential!$C$10*(1+Assumptions!$F$113)^(Assumptions!R$101/12))</f>
        <v>61901.9646868223</v>
      </c>
      <c r="S13" s="58" t="n">
        <f aca="false">IF(S$5="A",Inputs_Actuals!S65,Residential!$C$10*(1+Assumptions!$F$113)^(Assumptions!S$101/12))</f>
        <v>62054.6316311756</v>
      </c>
      <c r="T13" s="58" t="n">
        <f aca="false">IF(T$5="A",Inputs_Actuals!T65,Residential!$C$10*(1+Assumptions!$F$113)^(Assumptions!T$101/12))</f>
        <v>62207.675093399</v>
      </c>
      <c r="U13" s="58" t="n">
        <f aca="false">IF(U$5="A",Inputs_Actuals!U65,Residential!$C$10*(1+Assumptions!$F$113)^(Assumptions!U$101/12))</f>
        <v>62361.0960020872</v>
      </c>
      <c r="V13" s="58" t="n">
        <f aca="false">IF(V$5="A",Inputs_Actuals!V65,Residential!$C$10*(1+Assumptions!$F$113)^(Assumptions!V$101/12))</f>
        <v>62514.8952881248</v>
      </c>
      <c r="W13" s="58" t="n">
        <f aca="false">IF(W$5="A",Inputs_Actuals!W65,Residential!$C$10*(1+Assumptions!$F$113)^(Assumptions!W$101/12))</f>
        <v>62669.0738846927</v>
      </c>
      <c r="X13" s="58" t="n">
        <f aca="false">IF(X$5="A",Inputs_Actuals!X65,Residential!$C$10*(1+Assumptions!$F$113)^(Assumptions!X$101/12))</f>
        <v>62823.6327272727</v>
      </c>
      <c r="Y13" s="58" t="n">
        <f aca="false">IF(Y$5="A",Inputs_Actuals!Y65,Residential!$C$10*(1+Assumptions!$F$113)^(Assumptions!Y$101/12))</f>
        <v>62978.5727536543</v>
      </c>
      <c r="Z13" s="58" t="n">
        <f aca="false">IF(Z$5="A",Inputs_Actuals!Z65,Residential!$C$10*(1+Assumptions!$F$113)^(Assumptions!Z$101/12))</f>
        <v>63133.8949039395</v>
      </c>
      <c r="AA13" s="58" t="n">
        <f aca="false">IF(AA$5="A",Inputs_Actuals!AA65,Residential!$C$10*(1+Assumptions!$F$113)^(Assumptions!AA$101/12))</f>
        <v>63289.6001205489</v>
      </c>
      <c r="AB13" s="58" t="n">
        <f aca="false">IF(AB$5="A",Inputs_Actuals!AB65,Residential!$C$10*(1+Assumptions!$F$113)^(Assumptions!AB$101/12))</f>
        <v>63445.6893482273</v>
      </c>
    </row>
    <row r="14" customFormat="false" ht="15" hidden="false" customHeight="false" outlineLevel="0" collapsed="false">
      <c r="A14" s="27" t="s">
        <v>829</v>
      </c>
      <c r="B14" s="56" t="s">
        <v>830</v>
      </c>
      <c r="C14" s="57" t="n">
        <f aca="false">SUM(E14:P14)</f>
        <v>2172231.53015246</v>
      </c>
      <c r="D14" s="57" t="n">
        <f aca="false">SUM(Q14:AB14)</f>
        <v>2945860.16144818</v>
      </c>
      <c r="E14" s="70" t="n">
        <f aca="false">E12*E13</f>
        <v>121100</v>
      </c>
      <c r="F14" s="70" t="n">
        <f aca="false">F12*F13</f>
        <v>128410</v>
      </c>
      <c r="G14" s="70" t="n">
        <f aca="false">G12*G13</f>
        <v>180633</v>
      </c>
      <c r="H14" s="70" t="n">
        <f aca="false">H12*H13</f>
        <v>125722</v>
      </c>
      <c r="I14" s="70" t="n">
        <f aca="false">I12*I13</f>
        <v>118448</v>
      </c>
      <c r="J14" s="70" t="n">
        <f aca="false">J12*J13</f>
        <v>182388</v>
      </c>
      <c r="K14" s="70" t="n">
        <f aca="false">K12*K13</f>
        <v>245268</v>
      </c>
      <c r="L14" s="70" t="n">
        <f aca="false">L12*L13</f>
        <v>243276</v>
      </c>
      <c r="M14" s="70" t="n">
        <f aca="false">M12*M13</f>
        <v>227627.881847494</v>
      </c>
      <c r="N14" s="70" t="n">
        <f aca="false">N12*N13</f>
        <v>221151.697357064</v>
      </c>
      <c r="O14" s="70" t="n">
        <f aca="false">O12*O13</f>
        <v>203653.927093946</v>
      </c>
      <c r="P14" s="70" t="n">
        <f aca="false">P12*P13</f>
        <v>174553.023853959</v>
      </c>
      <c r="Q14" s="70" t="n">
        <f aca="false">Q12*Q13</f>
        <v>155454.620753107</v>
      </c>
      <c r="R14" s="70" t="n">
        <f aca="false">R12*R13</f>
        <v>192128.913672878</v>
      </c>
      <c r="S14" s="70" t="n">
        <f aca="false">S12*S13</f>
        <v>230060.472478936</v>
      </c>
      <c r="T14" s="70" t="n">
        <f aca="false">T12*T13</f>
        <v>257574.519557579</v>
      </c>
      <c r="U14" s="70" t="n">
        <f aca="false">U12*U13</f>
        <v>274079.31457013</v>
      </c>
      <c r="V14" s="70" t="n">
        <f aca="false">V12*V13</f>
        <v>278961.625770474</v>
      </c>
      <c r="W14" s="70" t="n">
        <f aca="false">W12*W13</f>
        <v>271586.085922086</v>
      </c>
      <c r="X14" s="70" t="n">
        <f aca="false">X12*X13</f>
        <v>263859.257454545</v>
      </c>
      <c r="Y14" s="70" t="n">
        <f aca="false">Y12*Y13</f>
        <v>281348.061963503</v>
      </c>
      <c r="Z14" s="70" t="n">
        <f aca="false">Z12*Z13</f>
        <v>273343.497933331</v>
      </c>
      <c r="AA14" s="70" t="n">
        <f aca="false">AA12*AA13</f>
        <v>251716.253888117</v>
      </c>
      <c r="AB14" s="70" t="n">
        <f aca="false">AB12*AB13</f>
        <v>215747.537483493</v>
      </c>
    </row>
    <row r="15" customFormat="false" ht="15" hidden="false" customHeight="false" outlineLevel="0" collapsed="false">
      <c r="A15" s="27" t="s">
        <v>831</v>
      </c>
      <c r="B15" s="56" t="s">
        <v>832</v>
      </c>
      <c r="C15" s="57" t="n">
        <f aca="false">AVERAGE(E15:P15)</f>
        <v>23842.8939393939</v>
      </c>
      <c r="D15" s="57" t="n">
        <f aca="false">AVERAGE(Q15:AB15)</f>
        <v>23764.1818181818</v>
      </c>
      <c r="E15" s="58" t="n">
        <f aca="false">IF(E$5="A",Inputs_Actuals!E66,Residential!$C$11)</f>
        <v>24548</v>
      </c>
      <c r="F15" s="58" t="n">
        <f aca="false">IF(F$5="A",Inputs_Actuals!F66,Residential!$C$11)</f>
        <v>26586</v>
      </c>
      <c r="G15" s="58" t="n">
        <f aca="false">IF(G$5="A",Inputs_Actuals!G66,Residential!$C$11)</f>
        <v>24288</v>
      </c>
      <c r="H15" s="58" t="n">
        <f aca="false">IF(H$5="A",Inputs_Actuals!H66,Residential!$C$11)</f>
        <v>22206</v>
      </c>
      <c r="I15" s="58" t="n">
        <f aca="false">IF(I$5="A",Inputs_Actuals!I66,Residential!$C$11)</f>
        <v>22057</v>
      </c>
      <c r="J15" s="58" t="n">
        <f aca="false">IF(J$5="A",Inputs_Actuals!J66,Residential!$C$11)</f>
        <v>24086</v>
      </c>
      <c r="K15" s="58" t="n">
        <f aca="false">IF(K$5="A",Inputs_Actuals!K66,Residential!$C$11)</f>
        <v>24171</v>
      </c>
      <c r="L15" s="58" t="n">
        <f aca="false">IF(L$5="A",Inputs_Actuals!L66,Residential!$C$11)</f>
        <v>23116</v>
      </c>
      <c r="M15" s="58" t="n">
        <f aca="false">IF(M$5="A",Inputs_Actuals!M66,Residential!$C$11)</f>
        <v>23764.1818181818</v>
      </c>
      <c r="N15" s="58" t="n">
        <f aca="false">IF(N$5="A",Inputs_Actuals!N66,Residential!$C$11)</f>
        <v>23764.1818181818</v>
      </c>
      <c r="O15" s="58" t="n">
        <f aca="false">IF(O$5="A",Inputs_Actuals!O66,Residential!$C$11)</f>
        <v>23764.1818181818</v>
      </c>
      <c r="P15" s="58" t="n">
        <f aca="false">IF(P$5="A",Inputs_Actuals!P66,Residential!$C$11)</f>
        <v>23764.1818181818</v>
      </c>
      <c r="Q15" s="58" t="n">
        <f aca="false">IF(Q$5="A",Inputs_Actuals!Q66,Residential!$C$11)</f>
        <v>23764.1818181818</v>
      </c>
      <c r="R15" s="58" t="n">
        <f aca="false">IF(R$5="A",Inputs_Actuals!R66,Residential!$C$11)</f>
        <v>23764.1818181818</v>
      </c>
      <c r="S15" s="58" t="n">
        <f aca="false">IF(S$5="A",Inputs_Actuals!S66,Residential!$C$11)</f>
        <v>23764.1818181818</v>
      </c>
      <c r="T15" s="58" t="n">
        <f aca="false">IF(T$5="A",Inputs_Actuals!T66,Residential!$C$11)</f>
        <v>23764.1818181818</v>
      </c>
      <c r="U15" s="58" t="n">
        <f aca="false">IF(U$5="A",Inputs_Actuals!U66,Residential!$C$11)</f>
        <v>23764.1818181818</v>
      </c>
      <c r="V15" s="58" t="n">
        <f aca="false">IF(V$5="A",Inputs_Actuals!V66,Residential!$C$11)</f>
        <v>23764.1818181818</v>
      </c>
      <c r="W15" s="58" t="n">
        <f aca="false">IF(W$5="A",Inputs_Actuals!W66,Residential!$C$11)</f>
        <v>23764.1818181818</v>
      </c>
      <c r="X15" s="58" t="n">
        <f aca="false">IF(X$5="A",Inputs_Actuals!X66,Residential!$C$11)</f>
        <v>23764.1818181818</v>
      </c>
      <c r="Y15" s="58" t="n">
        <f aca="false">IF(Y$5="A",Inputs_Actuals!Y66,Residential!$C$11)</f>
        <v>23764.1818181818</v>
      </c>
      <c r="Z15" s="58" t="n">
        <f aca="false">IF(Z$5="A",Inputs_Actuals!Z66,Residential!$C$11)</f>
        <v>23764.1818181818</v>
      </c>
      <c r="AA15" s="58" t="n">
        <f aca="false">IF(AA$5="A",Inputs_Actuals!AA66,Residential!$C$11)</f>
        <v>23764.1818181818</v>
      </c>
      <c r="AB15" s="58" t="n">
        <f aca="false">IF(AB$5="A",Inputs_Actuals!AB66,Residential!$C$11)</f>
        <v>23764.1818181818</v>
      </c>
    </row>
    <row r="16" customFormat="false" ht="15" hidden="false" customHeight="false" outlineLevel="0" collapsed="false">
      <c r="A16" s="67" t="s">
        <v>833</v>
      </c>
      <c r="B16" s="68" t="s">
        <v>834</v>
      </c>
      <c r="C16" s="69" t="n">
        <f aca="false">SUM(E16:P16)</f>
        <v>2132818.98168121</v>
      </c>
      <c r="D16" s="69" t="n">
        <f aca="false">SUM(Q16:AB16)</f>
        <v>2905008.42020896</v>
      </c>
      <c r="E16" s="74" t="n">
        <f aca="false">IF(E$5="A",Inputs_Actuals!E67,Assumptions!$C$46*IF(Assumptions!E$96-(0)&lt;1,0,INDEX(Residential!$E$14:$AB$14,Assumptions!E$96-(0)))+Assumptions!$C$47*IF(Assumptions!E$96-(1)&lt;1,0,INDEX(Residential!$E$14:$AB$14,Assumptions!E$96-(1)))+Assumptions!$C$48*IF(Assumptions!E$96-(2)&lt;1,0,INDEX(Residential!$E$14:$AB$14,Assumptions!E$96-(2))))</f>
        <v>138592.05</v>
      </c>
      <c r="F16" s="74" t="n">
        <f aca="false">IF(F$5="A",Inputs_Actuals!F67,Assumptions!$C$46*IF(Assumptions!F$96-(0)&lt;1,0,INDEX(Residential!$E$14:$AB$14,Assumptions!F$96-(0)))+Assumptions!$C$47*IF(Assumptions!F$96-(1)&lt;1,0,INDEX(Residential!$E$14:$AB$14,Assumptions!F$96-(1)))+Assumptions!$C$48*IF(Assumptions!F$96-(2)&lt;1,0,INDEX(Residential!$E$14:$AB$14,Assumptions!F$96-(2))))</f>
        <v>124444</v>
      </c>
      <c r="G16" s="74" t="n">
        <f aca="false">IF(G$5="A",Inputs_Actuals!G67,Assumptions!$C$46*IF(Assumptions!G$96-(0)&lt;1,0,INDEX(Residential!$E$14:$AB$14,Assumptions!G$96-(0)))+Assumptions!$C$47*IF(Assumptions!G$96-(1)&lt;1,0,INDEX(Residential!$E$14:$AB$14,Assumptions!G$96-(1)))+Assumptions!$C$48*IF(Assumptions!G$96-(2)&lt;1,0,INDEX(Residential!$E$14:$AB$14,Assumptions!G$96-(2))))</f>
        <v>142249.4</v>
      </c>
      <c r="H16" s="74" t="n">
        <f aca="false">IF(H$5="A",Inputs_Actuals!H67,Assumptions!$C$46*IF(Assumptions!H$96-(0)&lt;1,0,INDEX(Residential!$E$14:$AB$14,Assumptions!H$96-(0)))+Assumptions!$C$47*IF(Assumptions!H$96-(1)&lt;1,0,INDEX(Residential!$E$14:$AB$14,Assumptions!H$96-(1)))+Assumptions!$C$48*IF(Assumptions!H$96-(2)&lt;1,0,INDEX(Residential!$E$14:$AB$14,Assumptions!H$96-(2))))</f>
        <v>151103.95</v>
      </c>
      <c r="I16" s="74" t="n">
        <f aca="false">IF(I$5="A",Inputs_Actuals!I67,Assumptions!$C$46*IF(Assumptions!I$96-(0)&lt;1,0,INDEX(Residential!$E$14:$AB$14,Assumptions!I$96-(0)))+Assumptions!$C$47*IF(Assumptions!I$96-(1)&lt;1,0,INDEX(Residential!$E$14:$AB$14,Assumptions!I$96-(1)))+Assumptions!$C$48*IF(Assumptions!I$96-(2)&lt;1,0,INDEX(Residential!$E$14:$AB$14,Assumptions!I$96-(2))))</f>
        <v>137267.55</v>
      </c>
      <c r="J16" s="74" t="n">
        <f aca="false">IF(J$5="A",Inputs_Actuals!J67,Assumptions!$C$46*IF(Assumptions!J$96-(0)&lt;1,0,INDEX(Residential!$E$14:$AB$14,Assumptions!J$96-(0)))+Assumptions!$C$47*IF(Assumptions!J$96-(1)&lt;1,0,INDEX(Residential!$E$14:$AB$14,Assumptions!J$96-(1)))+Assumptions!$C$48*IF(Assumptions!J$96-(2)&lt;1,0,INDEX(Residential!$E$14:$AB$14,Assumptions!J$96-(2))))</f>
        <v>139448.5</v>
      </c>
      <c r="K16" s="74" t="n">
        <f aca="false">IF(K$5="A",Inputs_Actuals!K67,Assumptions!$C$46*IF(Assumptions!K$96-(0)&lt;1,0,INDEX(Residential!$E$14:$AB$14,Assumptions!K$96-(0)))+Assumptions!$C$47*IF(Assumptions!K$96-(1)&lt;1,0,INDEX(Residential!$E$14:$AB$14,Assumptions!K$96-(1)))+Assumptions!$C$48*IF(Assumptions!K$96-(2)&lt;1,0,INDEX(Residential!$E$14:$AB$14,Assumptions!K$96-(2))))</f>
        <v>185267</v>
      </c>
      <c r="L16" s="74" t="n">
        <f aca="false">IF(L$5="A",Inputs_Actuals!L67,Assumptions!$C$46*IF(Assumptions!L$96-(0)&lt;1,0,INDEX(Residential!$E$14:$AB$14,Assumptions!L$96-(0)))+Assumptions!$C$47*IF(Assumptions!L$96-(1)&lt;1,0,INDEX(Residential!$E$14:$AB$14,Assumptions!L$96-(1)))+Assumptions!$C$48*IF(Assumptions!L$96-(2)&lt;1,0,INDEX(Residential!$E$14:$AB$14,Assumptions!L$96-(2))))</f>
        <v>228950.4</v>
      </c>
      <c r="M16" s="74" t="n">
        <f aca="false">IF(M$5="A",Inputs_Actuals!M67,Assumptions!$C$46*IF(Assumptions!M$96-(0)&lt;1,0,INDEX(Residential!$E$14:$AB$14,Assumptions!M$96-(0)))+Assumptions!$C$47*IF(Assumptions!M$96-(1)&lt;1,0,INDEX(Residential!$E$14:$AB$14,Assumptions!M$96-(1)))+Assumptions!$C$48*IF(Assumptions!M$96-(2)&lt;1,0,INDEX(Residential!$E$14:$AB$14,Assumptions!M$96-(2))))</f>
        <v>239079.564554248</v>
      </c>
      <c r="N16" s="74" t="n">
        <f aca="false">IF(N$5="A",Inputs_Actuals!N67,Assumptions!$C$46*IF(Assumptions!N$96-(0)&lt;1,0,INDEX(Residential!$E$14:$AB$14,Assumptions!N$96-(0)))+Assumptions!$C$47*IF(Assumptions!N$96-(1)&lt;1,0,INDEX(Residential!$E$14:$AB$14,Assumptions!N$96-(1)))+Assumptions!$C$48*IF(Assumptions!N$96-(2)&lt;1,0,INDEX(Residential!$E$14:$AB$14,Assumptions!N$96-(2))))</f>
        <v>229597.056038492</v>
      </c>
      <c r="O16" s="74" t="n">
        <f aca="false">IF(O$5="A",Inputs_Actuals!O67,Assumptions!$C$46*IF(Assumptions!O$96-(0)&lt;1,0,INDEX(Residential!$E$14:$AB$14,Assumptions!O$96-(0)))+Assumptions!$C$47*IF(Assumptions!O$96-(1)&lt;1,0,INDEX(Residential!$E$14:$AB$14,Assumptions!O$96-(1)))+Assumptions!$C$48*IF(Assumptions!O$96-(2)&lt;1,0,INDEX(Residential!$E$14:$AB$14,Assumptions!O$96-(2))))</f>
        <v>217521.412400736</v>
      </c>
      <c r="P16" s="74" t="n">
        <f aca="false">IF(P$5="A",Inputs_Actuals!P67,Assumptions!$C$46*IF(Assumptions!P$96-(0)&lt;1,0,INDEX(Residential!$E$14:$AB$14,Assumptions!P$96-(0)))+Assumptions!$C$47*IF(Assumptions!P$96-(1)&lt;1,0,INDEX(Residential!$E$14:$AB$14,Assumptions!P$96-(1)))+Assumptions!$C$48*IF(Assumptions!P$96-(2)&lt;1,0,INDEX(Residential!$E$14:$AB$14,Assumptions!P$96-(2))))</f>
        <v>199298.098687729</v>
      </c>
      <c r="Q16" s="74" t="n">
        <f aca="false">IF(Q$5="A",Inputs_Actuals!Q67,Assumptions!$C$46*IF(Assumptions!Q$96-(0)&lt;1,0,INDEX(Residential!$E$14:$AB$14,Assumptions!Q$96-(0)))+Assumptions!$C$47*IF(Assumptions!Q$96-(1)&lt;1,0,INDEX(Residential!$E$14:$AB$14,Assumptions!Q$96-(1)))+Assumptions!$C$48*IF(Assumptions!Q$96-(2)&lt;1,0,INDEX(Residential!$E$14:$AB$14,Assumptions!Q$96-(2))))</f>
        <v>176098.7287337</v>
      </c>
      <c r="R16" s="74" t="n">
        <f aca="false">IF(R$5="A",Inputs_Actuals!R67,Assumptions!$C$46*IF(Assumptions!R$96-(0)&lt;1,0,INDEX(Residential!$E$14:$AB$14,Assumptions!R$96-(0)))+Assumptions!$C$47*IF(Assumptions!R$96-(1)&lt;1,0,INDEX(Residential!$E$14:$AB$14,Assumptions!R$96-(1)))+Assumptions!$C$48*IF(Assumptions!R$96-(2)&lt;1,0,INDEX(Residential!$E$14:$AB$14,Assumptions!R$96-(2))))</f>
        <v>171231.509404251</v>
      </c>
      <c r="S16" s="74" t="n">
        <f aca="false">IF(S$5="A",Inputs_Actuals!S67,Assumptions!$C$46*IF(Assumptions!S$96-(0)&lt;1,0,INDEX(Residential!$E$14:$AB$14,Assumptions!S$96-(0)))+Assumptions!$C$47*IF(Assumptions!S$96-(1)&lt;1,0,INDEX(Residential!$E$14:$AB$14,Assumptions!S$96-(1)))+Assumptions!$C$48*IF(Assumptions!S$96-(2)&lt;1,0,INDEX(Residential!$E$14:$AB$14,Assumptions!S$96-(2))))</f>
        <v>194339.808084752</v>
      </c>
      <c r="T16" s="74" t="n">
        <f aca="false">IF(T$5="A",Inputs_Actuals!T67,Assumptions!$C$46*IF(Assumptions!T$96-(0)&lt;1,0,INDEX(Residential!$E$14:$AB$14,Assumptions!T$96-(0)))+Assumptions!$C$47*IF(Assumptions!T$96-(1)&lt;1,0,INDEX(Residential!$E$14:$AB$14,Assumptions!T$96-(1)))+Assumptions!$C$48*IF(Assumptions!T$96-(2)&lt;1,0,INDEX(Residential!$E$14:$AB$14,Assumptions!T$96-(2))))</f>
        <v>228831.796901014</v>
      </c>
      <c r="U16" s="74" t="n">
        <f aca="false">IF(U$5="A",Inputs_Actuals!U67,Assumptions!$C$46*IF(Assumptions!U$96-(0)&lt;1,0,INDEX(Residential!$E$14:$AB$14,Assumptions!U$96-(0)))+Assumptions!$C$47*IF(Assumptions!U$96-(1)&lt;1,0,INDEX(Residential!$E$14:$AB$14,Assumptions!U$96-(1)))+Assumptions!$C$48*IF(Assumptions!U$96-(2)&lt;1,0,INDEX(Residential!$E$14:$AB$14,Assumptions!U$96-(2))))</f>
        <v>255647.446291684</v>
      </c>
      <c r="V16" s="74" t="n">
        <f aca="false">IF(V$5="A",Inputs_Actuals!V67,Assumptions!$C$46*IF(Assumptions!V$96-(0)&lt;1,0,INDEX(Residential!$E$14:$AB$14,Assumptions!V$96-(0)))+Assumptions!$C$47*IF(Assumptions!V$96-(1)&lt;1,0,INDEX(Residential!$E$14:$AB$14,Assumptions!V$96-(1)))+Assumptions!$C$48*IF(Assumptions!V$96-(2)&lt;1,0,INDEX(Residential!$E$14:$AB$14,Assumptions!V$96-(2))))</f>
        <v>271417.809177095</v>
      </c>
      <c r="W16" s="74" t="n">
        <f aca="false">IF(W$5="A",Inputs_Actuals!W67,Assumptions!$C$46*IF(Assumptions!W$96-(0)&lt;1,0,INDEX(Residential!$E$14:$AB$14,Assumptions!W$96-(0)))+Assumptions!$C$47*IF(Assumptions!W$96-(1)&lt;1,0,INDEX(Residential!$E$14:$AB$14,Assumptions!W$96-(1)))+Assumptions!$C$48*IF(Assumptions!W$96-(2)&lt;1,0,INDEX(Residential!$E$14:$AB$14,Assumptions!W$96-(2))))</f>
        <v>275528.386015871</v>
      </c>
      <c r="X16" s="74" t="n">
        <f aca="false">IF(X$5="A",Inputs_Actuals!X67,Assumptions!$C$46*IF(Assumptions!X$96-(0)&lt;1,0,INDEX(Residential!$E$14:$AB$14,Assumptions!X$96-(0)))+Assumptions!$C$47*IF(Assumptions!X$96-(1)&lt;1,0,INDEX(Residential!$E$14:$AB$14,Assumptions!X$96-(1)))+Assumptions!$C$48*IF(Assumptions!X$96-(2)&lt;1,0,INDEX(Residential!$E$14:$AB$14,Assumptions!X$96-(2))))</f>
        <v>271111.922343921</v>
      </c>
      <c r="Y16" s="74" t="n">
        <f aca="false">IF(Y$5="A",Inputs_Actuals!Y67,Assumptions!$C$46*IF(Assumptions!Y$96-(0)&lt;1,0,INDEX(Residential!$E$14:$AB$14,Assumptions!Y$96-(0)))+Assumptions!$C$47*IF(Assumptions!Y$96-(1)&lt;1,0,INDEX(Residential!$E$14:$AB$14,Assumptions!Y$96-(1)))+Assumptions!$C$48*IF(Assumptions!Y$96-(2)&lt;1,0,INDEX(Residential!$E$14:$AB$14,Assumptions!Y$96-(2))))</f>
        <v>271037.605924118</v>
      </c>
      <c r="Z16" s="74" t="n">
        <f aca="false">IF(Z$5="A",Inputs_Actuals!Z67,Assumptions!$C$46*IF(Assumptions!Z$96-(0)&lt;1,0,INDEX(Residential!$E$14:$AB$14,Assumptions!Z$96-(0)))+Assumptions!$C$47*IF(Assumptions!Z$96-(1)&lt;1,0,INDEX(Residential!$E$14:$AB$14,Assumptions!Z$96-(1)))+Assumptions!$C$48*IF(Assumptions!Z$96-(2)&lt;1,0,INDEX(Residential!$E$14:$AB$14,Assumptions!Z$96-(2))))</f>
        <v>274574.491627212</v>
      </c>
      <c r="AA16" s="74" t="n">
        <f aca="false">IF(AA$5="A",Inputs_Actuals!AA67,Assumptions!$C$46*IF(Assumptions!AA$96-(0)&lt;1,0,INDEX(Residential!$E$14:$AB$14,Assumptions!AA$96-(0)))+Assumptions!$C$47*IF(Assumptions!AA$96-(1)&lt;1,0,INDEX(Residential!$E$14:$AB$14,Assumptions!AA$96-(1)))+Assumptions!$C$48*IF(Assumptions!AA$96-(2)&lt;1,0,INDEX(Residential!$E$14:$AB$14,Assumptions!AA$96-(2))))</f>
        <v>268856.46572731</v>
      </c>
      <c r="AB16" s="74" t="n">
        <f aca="false">IF(AB$5="A",Inputs_Actuals!AB67,Assumptions!$C$46*IF(Assumptions!AB$96-(0)&lt;1,0,INDEX(Residential!$E$14:$AB$14,Assumptions!AB$96-(0)))+Assumptions!$C$47*IF(Assumptions!AB$96-(1)&lt;1,0,INDEX(Residential!$E$14:$AB$14,Assumptions!AB$96-(1)))+Assumptions!$C$48*IF(Assumptions!AB$96-(2)&lt;1,0,INDEX(Residential!$E$14:$AB$14,Assumptions!AB$96-(2))))</f>
        <v>246332.449978033</v>
      </c>
    </row>
    <row r="17" customFormat="false" ht="15" hidden="false" customHeight="false" outlineLevel="0" collapsed="false">
      <c r="A17" s="27" t="s">
        <v>721</v>
      </c>
      <c r="B17" s="56" t="s">
        <v>835</v>
      </c>
      <c r="C17" s="57" t="n">
        <f aca="false">SUM(E17:P17)</f>
        <v>522239.093035559</v>
      </c>
      <c r="D17" s="57" t="n">
        <f aca="false">SUM(Q17:AB17)</f>
        <v>711146.061267154</v>
      </c>
      <c r="E17" s="58" t="n">
        <f aca="false">IF(E$5="A",Inputs_Actuals!E68,E16*(1-Assumptions!$F$115)*Assumptions!$C$62)</f>
        <v>34952.94</v>
      </c>
      <c r="F17" s="58" t="n">
        <f aca="false">IF(F$5="A",Inputs_Actuals!F68,F16*(1-Assumptions!$F$115)*Assumptions!$C$62)</f>
        <v>30901.58</v>
      </c>
      <c r="G17" s="58" t="n">
        <f aca="false">IF(G$5="A",Inputs_Actuals!G68,G16*(1-Assumptions!$F$115)*Assumptions!$C$62)</f>
        <v>35804.15</v>
      </c>
      <c r="H17" s="58" t="n">
        <f aca="false">IF(H$5="A",Inputs_Actuals!H68,H16*(1-Assumptions!$F$115)*Assumptions!$C$62)</f>
        <v>34793.39</v>
      </c>
      <c r="I17" s="58" t="n">
        <f aca="false">IF(I$5="A",Inputs_Actuals!I68,I16*(1-Assumptions!$F$115)*Assumptions!$C$62)</f>
        <v>34189.05</v>
      </c>
      <c r="J17" s="58" t="n">
        <f aca="false">IF(J$5="A",Inputs_Actuals!J68,J16*(1-Assumptions!$F$115)*Assumptions!$C$62)</f>
        <v>34966.75</v>
      </c>
      <c r="K17" s="58" t="n">
        <f aca="false">IF(K$5="A",Inputs_Actuals!K68,K16*(1-Assumptions!$F$115)*Assumptions!$C$62)</f>
        <v>46331.62</v>
      </c>
      <c r="L17" s="58" t="n">
        <f aca="false">IF(L$5="A",Inputs_Actuals!L68,L16*(1-Assumptions!$F$115)*Assumptions!$C$62)</f>
        <v>53530.16</v>
      </c>
      <c r="M17" s="58" t="n">
        <f aca="false">IF(M$5="A",Inputs_Actuals!M68,M16*(1-Assumptions!$F$115)*Assumptions!$C$62)</f>
        <v>58526.67740288</v>
      </c>
      <c r="N17" s="58" t="n">
        <f aca="false">IF(N$5="A",Inputs_Actuals!N68,N16*(1-Assumptions!$F$115)*Assumptions!$C$62)</f>
        <v>56205.3593182228</v>
      </c>
      <c r="O17" s="58" t="n">
        <f aca="false">IF(O$5="A",Inputs_Actuals!O68,O16*(1-Assumptions!$F$115)*Assumptions!$C$62)</f>
        <v>53249.2417557002</v>
      </c>
      <c r="P17" s="58" t="n">
        <f aca="false">IF(P$5="A",Inputs_Actuals!P68,P16*(1-Assumptions!$F$115)*Assumptions!$C$62)</f>
        <v>48788.1745587561</v>
      </c>
      <c r="Q17" s="58" t="n">
        <f aca="false">IF(Q$5="A",Inputs_Actuals!Q68,Q16*(1-Assumptions!$F$115)*Assumptions!$C$62)</f>
        <v>43108.9687940098</v>
      </c>
      <c r="R17" s="58" t="n">
        <f aca="false">IF(R$5="A",Inputs_Actuals!R68,R16*(1-Assumptions!$F$115)*Assumptions!$C$62)</f>
        <v>41917.4735021607</v>
      </c>
      <c r="S17" s="58" t="n">
        <f aca="false">IF(S$5="A",Inputs_Actuals!S68,S16*(1-Assumptions!$F$115)*Assumptions!$C$62)</f>
        <v>47574.3850191474</v>
      </c>
      <c r="T17" s="58" t="n">
        <f aca="false">IF(T$5="A",Inputs_Actuals!T68,T16*(1-Assumptions!$F$115)*Assumptions!$C$62)</f>
        <v>56018.0238813683</v>
      </c>
      <c r="U17" s="58" t="n">
        <f aca="false">IF(U$5="A",Inputs_Actuals!U68,U16*(1-Assumptions!$F$115)*Assumptions!$C$62)</f>
        <v>62582.4948522042</v>
      </c>
      <c r="V17" s="58" t="n">
        <f aca="false">IF(V$5="A",Inputs_Actuals!V68,V16*(1-Assumptions!$F$115)*Assumptions!$C$62)</f>
        <v>66443.079686553</v>
      </c>
      <c r="W17" s="58" t="n">
        <f aca="false">IF(W$5="A",Inputs_Actuals!W68,W16*(1-Assumptions!$F$115)*Assumptions!$C$62)</f>
        <v>67449.3488966853</v>
      </c>
      <c r="X17" s="58" t="n">
        <f aca="false">IF(X$5="A",Inputs_Actuals!X68,X16*(1-Assumptions!$F$115)*Assumptions!$C$62)</f>
        <v>66368.1985897918</v>
      </c>
      <c r="Y17" s="58" t="n">
        <f aca="false">IF(Y$5="A",Inputs_Actuals!Y68,Y16*(1-Assumptions!$F$115)*Assumptions!$C$62)</f>
        <v>66350.0059302241</v>
      </c>
      <c r="Z17" s="58" t="n">
        <f aca="false">IF(Z$5="A",Inputs_Actuals!Z68,Z16*(1-Assumptions!$F$115)*Assumptions!$C$62)</f>
        <v>67215.8355503415</v>
      </c>
      <c r="AA17" s="58" t="n">
        <f aca="false">IF(AA$5="A",Inputs_Actuals!AA68,AA16*(1-Assumptions!$F$115)*Assumptions!$C$62)</f>
        <v>65816.0628100455</v>
      </c>
      <c r="AB17" s="58" t="n">
        <f aca="false">IF(AB$5="A",Inputs_Actuals!AB68,AB16*(1-Assumptions!$F$115)*Assumptions!$C$62)</f>
        <v>60302.1837546226</v>
      </c>
    </row>
    <row r="18" customFormat="false" ht="15" hidden="false" customHeight="false" outlineLevel="0" collapsed="false">
      <c r="A18" s="27" t="s">
        <v>723</v>
      </c>
      <c r="B18" s="56" t="s">
        <v>835</v>
      </c>
      <c r="C18" s="57" t="n">
        <f aca="false">SUM(E18:P18)</f>
        <v>496388.272220837</v>
      </c>
      <c r="D18" s="57" t="n">
        <f aca="false">SUM(Q18:AB18)</f>
        <v>666699.432437957</v>
      </c>
      <c r="E18" s="58" t="n">
        <f aca="false">IF(E$5="A",Inputs_Actuals!E69,E16*(1-Assumptions!$F$115)*Assumptions!$C$63)</f>
        <v>32660.2</v>
      </c>
      <c r="F18" s="58" t="n">
        <f aca="false">IF(F$5="A",Inputs_Actuals!F69,F16*(1-Assumptions!$F$115)*Assumptions!$C$63)</f>
        <v>30636.92</v>
      </c>
      <c r="G18" s="58" t="n">
        <f aca="false">IF(G$5="A",Inputs_Actuals!G69,G16*(1-Assumptions!$F$115)*Assumptions!$C$63)</f>
        <v>34877.7</v>
      </c>
      <c r="H18" s="58" t="n">
        <f aca="false">IF(H$5="A",Inputs_Actuals!H69,H16*(1-Assumptions!$F$115)*Assumptions!$C$63)</f>
        <v>33248.27</v>
      </c>
      <c r="I18" s="58" t="n">
        <f aca="false">IF(I$5="A",Inputs_Actuals!I69,I16*(1-Assumptions!$F$115)*Assumptions!$C$63)</f>
        <v>32405.16</v>
      </c>
      <c r="J18" s="58" t="n">
        <f aca="false">IF(J$5="A",Inputs_Actuals!J69,J16*(1-Assumptions!$F$115)*Assumptions!$C$63)</f>
        <v>32644.04</v>
      </c>
      <c r="K18" s="58" t="n">
        <f aca="false">IF(K$5="A",Inputs_Actuals!K69,K16*(1-Assumptions!$F$115)*Assumptions!$C$63)</f>
        <v>42365.01</v>
      </c>
      <c r="L18" s="58" t="n">
        <f aca="false">IF(L$5="A",Inputs_Actuals!L69,L16*(1-Assumptions!$F$115)*Assumptions!$C$63)</f>
        <v>54329.61</v>
      </c>
      <c r="M18" s="58" t="n">
        <f aca="false">IF(M$5="A",Inputs_Actuals!M69,M16*(1-Assumptions!$F$115)*Assumptions!$C$63)</f>
        <v>54868.7600652</v>
      </c>
      <c r="N18" s="58" t="n">
        <f aca="false">IF(N$5="A",Inputs_Actuals!N69,N16*(1-Assumptions!$F$115)*Assumptions!$C$63)</f>
        <v>52692.5243608338</v>
      </c>
      <c r="O18" s="58" t="n">
        <f aca="false">IF(O$5="A",Inputs_Actuals!O69,O16*(1-Assumptions!$F$115)*Assumptions!$C$63)</f>
        <v>49921.164145969</v>
      </c>
      <c r="P18" s="58" t="n">
        <f aca="false">IF(P$5="A",Inputs_Actuals!P69,P16*(1-Assumptions!$F$115)*Assumptions!$C$63)</f>
        <v>45738.9136488339</v>
      </c>
      <c r="Q18" s="58" t="n">
        <f aca="false">IF(Q$5="A",Inputs_Actuals!Q69,Q16*(1-Assumptions!$F$115)*Assumptions!$C$63)</f>
        <v>40414.6582443842</v>
      </c>
      <c r="R18" s="58" t="n">
        <f aca="false">IF(R$5="A",Inputs_Actuals!R69,R16*(1-Assumptions!$F$115)*Assumptions!$C$63)</f>
        <v>39297.6314082757</v>
      </c>
      <c r="S18" s="58" t="n">
        <f aca="false">IF(S$5="A",Inputs_Actuals!S69,S16*(1-Assumptions!$F$115)*Assumptions!$C$63)</f>
        <v>44600.9859554507</v>
      </c>
      <c r="T18" s="58" t="n">
        <f aca="false">IF(T$5="A",Inputs_Actuals!T69,T16*(1-Assumptions!$F$115)*Assumptions!$C$63)</f>
        <v>52516.8973887828</v>
      </c>
      <c r="U18" s="58" t="n">
        <f aca="false">IF(U$5="A",Inputs_Actuals!U69,U16*(1-Assumptions!$F$115)*Assumptions!$C$63)</f>
        <v>58671.0889239414</v>
      </c>
      <c r="V18" s="58" t="n">
        <f aca="false">IF(V$5="A",Inputs_Actuals!V69,V16*(1-Assumptions!$F$115)*Assumptions!$C$63)</f>
        <v>62290.3872061434</v>
      </c>
      <c r="W18" s="58" t="n">
        <f aca="false">IF(W$5="A",Inputs_Actuals!W69,W16*(1-Assumptions!$F$115)*Assumptions!$C$63)</f>
        <v>63233.7645906425</v>
      </c>
      <c r="X18" s="58" t="n">
        <f aca="false">IF(X$5="A",Inputs_Actuals!X69,X16*(1-Assumptions!$F$115)*Assumptions!$C$63)</f>
        <v>62220.1861779298</v>
      </c>
      <c r="Y18" s="58" t="n">
        <f aca="false">IF(Y$5="A",Inputs_Actuals!Y69,Y16*(1-Assumptions!$F$115)*Assumptions!$C$63)</f>
        <v>62203.130559585</v>
      </c>
      <c r="Z18" s="58" t="n">
        <f aca="false">IF(Z$5="A",Inputs_Actuals!Z69,Z16*(1-Assumptions!$F$115)*Assumptions!$C$63)</f>
        <v>63014.8458284452</v>
      </c>
      <c r="AA18" s="58" t="n">
        <f aca="false">IF(AA$5="A",Inputs_Actuals!AA69,AA16*(1-Assumptions!$F$115)*Assumptions!$C$63)</f>
        <v>61702.5588844176</v>
      </c>
      <c r="AB18" s="58" t="n">
        <f aca="false">IF(AB$5="A",Inputs_Actuals!AB69,AB16*(1-Assumptions!$F$115)*Assumptions!$C$63)</f>
        <v>56533.2972699587</v>
      </c>
    </row>
    <row r="19" customFormat="false" ht="15" hidden="false" customHeight="false" outlineLevel="0" collapsed="false">
      <c r="A19" s="27" t="s">
        <v>724</v>
      </c>
      <c r="B19" s="56" t="s">
        <v>835</v>
      </c>
      <c r="C19" s="57" t="n">
        <f aca="false">SUM(E19:P19)</f>
        <v>468732.211406114</v>
      </c>
      <c r="D19" s="57" t="n">
        <f aca="false">SUM(Q19:AB19)</f>
        <v>622252.80360876</v>
      </c>
      <c r="E19" s="58" t="n">
        <f aca="false">IF(E$5="A",Inputs_Actuals!E70,E16*(1-Assumptions!$F$115)*Assumptions!$C$64)</f>
        <v>28661.76</v>
      </c>
      <c r="F19" s="58" t="n">
        <f aca="false">IF(F$5="A",Inputs_Actuals!F70,F16*(1-Assumptions!$F$115)*Assumptions!$C$64)</f>
        <v>26982.53</v>
      </c>
      <c r="G19" s="58" t="n">
        <f aca="false">IF(G$5="A",Inputs_Actuals!G70,G16*(1-Assumptions!$F$115)*Assumptions!$C$64)</f>
        <v>34747.57</v>
      </c>
      <c r="H19" s="58" t="n">
        <f aca="false">IF(H$5="A",Inputs_Actuals!H70,H16*(1-Assumptions!$F$115)*Assumptions!$C$64)</f>
        <v>33567.44</v>
      </c>
      <c r="I19" s="58" t="n">
        <f aca="false">IF(I$5="A",Inputs_Actuals!I70,I16*(1-Assumptions!$F$115)*Assumptions!$C$64)</f>
        <v>30802.91</v>
      </c>
      <c r="J19" s="58" t="n">
        <f aca="false">IF(J$5="A",Inputs_Actuals!J70,J16*(1-Assumptions!$F$115)*Assumptions!$C$64)</f>
        <v>31261.92</v>
      </c>
      <c r="K19" s="58" t="n">
        <f aca="false">IF(K$5="A",Inputs_Actuals!K70,K16*(1-Assumptions!$F$115)*Assumptions!$C$64)</f>
        <v>42076.48</v>
      </c>
      <c r="L19" s="58" t="n">
        <f aca="false">IF(L$5="A",Inputs_Actuals!L70,L16*(1-Assumptions!$F$115)*Assumptions!$C$64)</f>
        <v>50958.33</v>
      </c>
      <c r="M19" s="58" t="n">
        <f aca="false">IF(M$5="A",Inputs_Actuals!M70,M16*(1-Assumptions!$F$115)*Assumptions!$C$64)</f>
        <v>51210.84272752</v>
      </c>
      <c r="N19" s="58" t="n">
        <f aca="false">IF(N$5="A",Inputs_Actuals!N70,N16*(1-Assumptions!$F$115)*Assumptions!$C$64)</f>
        <v>49179.6894034449</v>
      </c>
      <c r="O19" s="58" t="n">
        <f aca="false">IF(O$5="A",Inputs_Actuals!O70,O16*(1-Assumptions!$F$115)*Assumptions!$C$64)</f>
        <v>46593.0865362377</v>
      </c>
      <c r="P19" s="58" t="n">
        <f aca="false">IF(P$5="A",Inputs_Actuals!P70,P16*(1-Assumptions!$F$115)*Assumptions!$C$64)</f>
        <v>42689.6527389116</v>
      </c>
      <c r="Q19" s="58" t="n">
        <f aca="false">IF(Q$5="A",Inputs_Actuals!Q70,Q16*(1-Assumptions!$F$115)*Assumptions!$C$64)</f>
        <v>37720.3476947586</v>
      </c>
      <c r="R19" s="58" t="n">
        <f aca="false">IF(R$5="A",Inputs_Actuals!R70,R16*(1-Assumptions!$F$115)*Assumptions!$C$64)</f>
        <v>36677.7893143906</v>
      </c>
      <c r="S19" s="58" t="n">
        <f aca="false">IF(S$5="A",Inputs_Actuals!S70,S16*(1-Assumptions!$F$115)*Assumptions!$C$64)</f>
        <v>41627.586891754</v>
      </c>
      <c r="T19" s="58" t="n">
        <f aca="false">IF(T$5="A",Inputs_Actuals!T70,T16*(1-Assumptions!$F$115)*Assumptions!$C$64)</f>
        <v>49015.7708961973</v>
      </c>
      <c r="U19" s="58" t="n">
        <f aca="false">IF(U$5="A",Inputs_Actuals!U70,U16*(1-Assumptions!$F$115)*Assumptions!$C$64)</f>
        <v>54759.6829956786</v>
      </c>
      <c r="V19" s="58" t="n">
        <f aca="false">IF(V$5="A",Inputs_Actuals!V70,V16*(1-Assumptions!$F$115)*Assumptions!$C$64)</f>
        <v>58137.6947257338</v>
      </c>
      <c r="W19" s="58" t="n">
        <f aca="false">IF(W$5="A",Inputs_Actuals!W70,W16*(1-Assumptions!$F$115)*Assumptions!$C$64)</f>
        <v>59018.1802845997</v>
      </c>
      <c r="X19" s="58" t="n">
        <f aca="false">IF(X$5="A",Inputs_Actuals!X70,X16*(1-Assumptions!$F$115)*Assumptions!$C$64)</f>
        <v>58072.1737660678</v>
      </c>
      <c r="Y19" s="58" t="n">
        <f aca="false">IF(Y$5="A",Inputs_Actuals!Y70,Y16*(1-Assumptions!$F$115)*Assumptions!$C$64)</f>
        <v>58056.2551889461</v>
      </c>
      <c r="Z19" s="58" t="n">
        <f aca="false">IF(Z$5="A",Inputs_Actuals!Z70,Z16*(1-Assumptions!$F$115)*Assumptions!$C$64)</f>
        <v>58813.8561065488</v>
      </c>
      <c r="AA19" s="58" t="n">
        <f aca="false">IF(AA$5="A",Inputs_Actuals!AA70,AA16*(1-Assumptions!$F$115)*Assumptions!$C$64)</f>
        <v>57589.0549587898</v>
      </c>
      <c r="AB19" s="58" t="n">
        <f aca="false">IF(AB$5="A",Inputs_Actuals!AB70,AB16*(1-Assumptions!$F$115)*Assumptions!$C$64)</f>
        <v>52764.4107852948</v>
      </c>
    </row>
    <row r="20" customFormat="false" ht="15" hidden="false" customHeight="false" outlineLevel="0" collapsed="false">
      <c r="A20" s="27" t="s">
        <v>725</v>
      </c>
      <c r="B20" s="56" t="s">
        <v>835</v>
      </c>
      <c r="C20" s="57" t="n">
        <f aca="false">SUM(E20:P20)</f>
        <v>50420.3862220837</v>
      </c>
      <c r="D20" s="57" t="n">
        <f aca="false">SUM(Q20:AB20)</f>
        <v>66669.9432437957</v>
      </c>
      <c r="E20" s="58" t="n">
        <f aca="false">IF(E$5="A",Inputs_Actuals!E71,E16*(1-Assumptions!$F$115)*Assumptions!$C$65)</f>
        <v>3395.59</v>
      </c>
      <c r="F20" s="58" t="n">
        <f aca="false">IF(F$5="A",Inputs_Actuals!F71,F16*(1-Assumptions!$F$115)*Assumptions!$C$65)</f>
        <v>3166.79</v>
      </c>
      <c r="G20" s="58" t="n">
        <f aca="false">IF(G$5="A",Inputs_Actuals!G71,G16*(1-Assumptions!$F$115)*Assumptions!$C$65)</f>
        <v>3644.12</v>
      </c>
      <c r="H20" s="58" t="n">
        <f aca="false">IF(H$5="A",Inputs_Actuals!H71,H16*(1-Assumptions!$F$115)*Assumptions!$C$65)</f>
        <v>3381.04</v>
      </c>
      <c r="I20" s="58" t="n">
        <f aca="false">IF(I$5="A",Inputs_Actuals!I71,I16*(1-Assumptions!$F$115)*Assumptions!$C$65)</f>
        <v>3303.38</v>
      </c>
      <c r="J20" s="58" t="n">
        <f aca="false">IF(J$5="A",Inputs_Actuals!J71,J16*(1-Assumptions!$F$115)*Assumptions!$C$65)</f>
        <v>3487.62</v>
      </c>
      <c r="K20" s="58" t="n">
        <f aca="false">IF(K$5="A",Inputs_Actuals!K71,K16*(1-Assumptions!$F$115)*Assumptions!$C$65)</f>
        <v>4738.4</v>
      </c>
      <c r="L20" s="58" t="n">
        <f aca="false">IF(L$5="A",Inputs_Actuals!L71,L16*(1-Assumptions!$F$115)*Assumptions!$C$65)</f>
        <v>4981.31</v>
      </c>
      <c r="M20" s="58" t="n">
        <f aca="false">IF(M$5="A",Inputs_Actuals!M71,M16*(1-Assumptions!$F$115)*Assumptions!$C$65)</f>
        <v>5486.87600652</v>
      </c>
      <c r="N20" s="58" t="n">
        <f aca="false">IF(N$5="A",Inputs_Actuals!N71,N16*(1-Assumptions!$F$115)*Assumptions!$C$65)</f>
        <v>5269.25243608338</v>
      </c>
      <c r="O20" s="58" t="n">
        <f aca="false">IF(O$5="A",Inputs_Actuals!O71,O16*(1-Assumptions!$F$115)*Assumptions!$C$65)</f>
        <v>4992.1164145969</v>
      </c>
      <c r="P20" s="58" t="n">
        <f aca="false">IF(P$5="A",Inputs_Actuals!P71,P16*(1-Assumptions!$F$115)*Assumptions!$C$65)</f>
        <v>4573.89136488339</v>
      </c>
      <c r="Q20" s="58" t="n">
        <f aca="false">IF(Q$5="A",Inputs_Actuals!Q71,Q16*(1-Assumptions!$F$115)*Assumptions!$C$65)</f>
        <v>4041.46582443842</v>
      </c>
      <c r="R20" s="58" t="n">
        <f aca="false">IF(R$5="A",Inputs_Actuals!R71,R16*(1-Assumptions!$F$115)*Assumptions!$C$65)</f>
        <v>3929.76314082757</v>
      </c>
      <c r="S20" s="58" t="n">
        <f aca="false">IF(S$5="A",Inputs_Actuals!S71,S16*(1-Assumptions!$F$115)*Assumptions!$C$65)</f>
        <v>4460.09859554507</v>
      </c>
      <c r="T20" s="58" t="n">
        <f aca="false">IF(T$5="A",Inputs_Actuals!T71,T16*(1-Assumptions!$F$115)*Assumptions!$C$65)</f>
        <v>5251.68973887828</v>
      </c>
      <c r="U20" s="58" t="n">
        <f aca="false">IF(U$5="A",Inputs_Actuals!U71,U16*(1-Assumptions!$F$115)*Assumptions!$C$65)</f>
        <v>5867.10889239414</v>
      </c>
      <c r="V20" s="58" t="n">
        <f aca="false">IF(V$5="A",Inputs_Actuals!V71,V16*(1-Assumptions!$F$115)*Assumptions!$C$65)</f>
        <v>6229.03872061434</v>
      </c>
      <c r="W20" s="58" t="n">
        <f aca="false">IF(W$5="A",Inputs_Actuals!W71,W16*(1-Assumptions!$F$115)*Assumptions!$C$65)</f>
        <v>6323.37645906425</v>
      </c>
      <c r="X20" s="58" t="n">
        <f aca="false">IF(X$5="A",Inputs_Actuals!X71,X16*(1-Assumptions!$F$115)*Assumptions!$C$65)</f>
        <v>6222.01861779298</v>
      </c>
      <c r="Y20" s="58" t="n">
        <f aca="false">IF(Y$5="A",Inputs_Actuals!Y71,Y16*(1-Assumptions!$F$115)*Assumptions!$C$65)</f>
        <v>6220.3130559585</v>
      </c>
      <c r="Z20" s="58" t="n">
        <f aca="false">IF(Z$5="A",Inputs_Actuals!Z71,Z16*(1-Assumptions!$F$115)*Assumptions!$C$65)</f>
        <v>6301.48458284452</v>
      </c>
      <c r="AA20" s="58" t="n">
        <f aca="false">IF(AA$5="A",Inputs_Actuals!AA71,AA16*(1-Assumptions!$F$115)*Assumptions!$C$65)</f>
        <v>6170.25588844176</v>
      </c>
      <c r="AB20" s="58" t="n">
        <f aca="false">IF(AB$5="A",Inputs_Actuals!AB71,AB16*(1-Assumptions!$F$115)*Assumptions!$C$65)</f>
        <v>5653.32972699587</v>
      </c>
    </row>
    <row r="21" customFormat="false" ht="15" hidden="false" customHeight="false" outlineLevel="0" collapsed="false">
      <c r="A21" s="27" t="s">
        <v>726</v>
      </c>
      <c r="B21" s="56" t="s">
        <v>835</v>
      </c>
      <c r="C21" s="57" t="n">
        <f aca="false">SUM(E21:P21)</f>
        <v>113628.297851529</v>
      </c>
      <c r="D21" s="57" t="n">
        <f aca="false">SUM(Q21:AB21)</f>
        <v>155563.20090219</v>
      </c>
      <c r="E21" s="58" t="n">
        <f aca="false">IF(E$5="A",Inputs_Actuals!E72,E16*(1-Assumptions!$F$115)*Assumptions!$C$66)</f>
        <v>6964.13</v>
      </c>
      <c r="F21" s="58" t="n">
        <f aca="false">IF(F$5="A",Inputs_Actuals!F72,F16*(1-Assumptions!$F$115)*Assumptions!$C$66)</f>
        <v>6211.26</v>
      </c>
      <c r="G21" s="58" t="n">
        <f aca="false">IF(G$5="A",Inputs_Actuals!G72,G16*(1-Assumptions!$F$115)*Assumptions!$C$66)</f>
        <v>7058.15</v>
      </c>
      <c r="H21" s="58" t="n">
        <f aca="false">IF(H$5="A",Inputs_Actuals!H72,H16*(1-Assumptions!$F$115)*Assumptions!$C$66)</f>
        <v>7983.9</v>
      </c>
      <c r="I21" s="58" t="n">
        <f aca="false">IF(I$5="A",Inputs_Actuals!I72,I16*(1-Assumptions!$F$115)*Assumptions!$C$66)</f>
        <v>7280.98</v>
      </c>
      <c r="J21" s="58" t="n">
        <f aca="false">IF(J$5="A",Inputs_Actuals!J72,J16*(1-Assumptions!$F$115)*Assumptions!$C$66)</f>
        <v>7882.66</v>
      </c>
      <c r="K21" s="58" t="n">
        <f aca="false">IF(K$5="A",Inputs_Actuals!K72,K16*(1-Assumptions!$F$115)*Assumptions!$C$66)</f>
        <v>10204.82</v>
      </c>
      <c r="L21" s="58" t="n">
        <f aca="false">IF(L$5="A",Inputs_Actuals!L72,L16*(1-Assumptions!$F$115)*Assumptions!$C$66)</f>
        <v>12624.08</v>
      </c>
      <c r="M21" s="58" t="n">
        <f aca="false">IF(M$5="A",Inputs_Actuals!M72,M16*(1-Assumptions!$F$115)*Assumptions!$C$66)</f>
        <v>12802.71068188</v>
      </c>
      <c r="N21" s="58" t="n">
        <f aca="false">IF(N$5="A",Inputs_Actuals!N72,N16*(1-Assumptions!$F$115)*Assumptions!$C$66)</f>
        <v>12294.9223508612</v>
      </c>
      <c r="O21" s="58" t="n">
        <f aca="false">IF(O$5="A",Inputs_Actuals!O72,O16*(1-Assumptions!$F$115)*Assumptions!$C$66)</f>
        <v>11648.2716340594</v>
      </c>
      <c r="P21" s="58" t="n">
        <f aca="false">IF(P$5="A",Inputs_Actuals!P72,P16*(1-Assumptions!$F$115)*Assumptions!$C$66)</f>
        <v>10672.4131847279</v>
      </c>
      <c r="Q21" s="58" t="n">
        <f aca="false">IF(Q$5="A",Inputs_Actuals!Q72,Q16*(1-Assumptions!$F$115)*Assumptions!$C$66)</f>
        <v>9430.08692368964</v>
      </c>
      <c r="R21" s="58" t="n">
        <f aca="false">IF(R$5="A",Inputs_Actuals!R72,R16*(1-Assumptions!$F$115)*Assumptions!$C$66)</f>
        <v>9169.44732859765</v>
      </c>
      <c r="S21" s="58" t="n">
        <f aca="false">IF(S$5="A",Inputs_Actuals!S72,S16*(1-Assumptions!$F$115)*Assumptions!$C$66)</f>
        <v>10406.8967229385</v>
      </c>
      <c r="T21" s="58" t="n">
        <f aca="false">IF(T$5="A",Inputs_Actuals!T72,T16*(1-Assumptions!$F$115)*Assumptions!$C$66)</f>
        <v>12253.9427240493</v>
      </c>
      <c r="U21" s="58" t="n">
        <f aca="false">IF(U$5="A",Inputs_Actuals!U72,U16*(1-Assumptions!$F$115)*Assumptions!$C$66)</f>
        <v>13689.9207489197</v>
      </c>
      <c r="V21" s="58" t="n">
        <f aca="false">IF(V$5="A",Inputs_Actuals!V72,V16*(1-Assumptions!$F$115)*Assumptions!$C$66)</f>
        <v>14534.4236814335</v>
      </c>
      <c r="W21" s="58" t="n">
        <f aca="false">IF(W$5="A",Inputs_Actuals!W72,W16*(1-Assumptions!$F$115)*Assumptions!$C$66)</f>
        <v>14754.5450711499</v>
      </c>
      <c r="X21" s="58" t="n">
        <f aca="false">IF(X$5="A",Inputs_Actuals!X72,X16*(1-Assumptions!$F$115)*Assumptions!$C$66)</f>
        <v>14518.043441517</v>
      </c>
      <c r="Y21" s="58" t="n">
        <f aca="false">IF(Y$5="A",Inputs_Actuals!Y72,Y16*(1-Assumptions!$F$115)*Assumptions!$C$66)</f>
        <v>14514.0637972365</v>
      </c>
      <c r="Z21" s="58" t="n">
        <f aca="false">IF(Z$5="A",Inputs_Actuals!Z72,Z16*(1-Assumptions!$F$115)*Assumptions!$C$66)</f>
        <v>14703.4640266372</v>
      </c>
      <c r="AA21" s="58" t="n">
        <f aca="false">IF(AA$5="A",Inputs_Actuals!AA72,AA16*(1-Assumptions!$F$115)*Assumptions!$C$66)</f>
        <v>14397.2637396974</v>
      </c>
      <c r="AB21" s="58" t="n">
        <f aca="false">IF(AB$5="A",Inputs_Actuals!AB72,AB16*(1-Assumptions!$F$115)*Assumptions!$C$66)</f>
        <v>13191.1026963237</v>
      </c>
    </row>
    <row r="22" customFormat="false" ht="15" hidden="false" customHeight="false" outlineLevel="0" collapsed="false">
      <c r="A22" s="67" t="s">
        <v>836</v>
      </c>
      <c r="B22" s="68" t="s">
        <v>728</v>
      </c>
      <c r="C22" s="69" t="n">
        <f aca="false">SUM(E22:P22)</f>
        <v>1651408.26073612</v>
      </c>
      <c r="D22" s="69" t="n">
        <f aca="false">SUM(Q22:AB22)</f>
        <v>2222331.44145986</v>
      </c>
      <c r="E22" s="69" t="n">
        <f aca="false">SUM(E17:E21)</f>
        <v>106634.62</v>
      </c>
      <c r="F22" s="69" t="n">
        <f aca="false">SUM(F17:F21)</f>
        <v>97899.08</v>
      </c>
      <c r="G22" s="69" t="n">
        <f aca="false">SUM(G17:G21)</f>
        <v>116131.69</v>
      </c>
      <c r="H22" s="69" t="n">
        <f aca="false">SUM(H17:H21)</f>
        <v>112974.04</v>
      </c>
      <c r="I22" s="69" t="n">
        <f aca="false">SUM(I17:I21)</f>
        <v>107981.48</v>
      </c>
      <c r="J22" s="69" t="n">
        <f aca="false">SUM(J17:J21)</f>
        <v>110242.99</v>
      </c>
      <c r="K22" s="69" t="n">
        <f aca="false">SUM(K17:K21)</f>
        <v>145716.33</v>
      </c>
      <c r="L22" s="69" t="n">
        <f aca="false">SUM(L17:L21)</f>
        <v>176423.49</v>
      </c>
      <c r="M22" s="69" t="n">
        <f aca="false">SUM(M17:M21)</f>
        <v>182895.866884</v>
      </c>
      <c r="N22" s="69" t="n">
        <f aca="false">SUM(N17:N21)</f>
        <v>175641.747869446</v>
      </c>
      <c r="O22" s="69" t="n">
        <f aca="false">SUM(O17:O21)</f>
        <v>166403.880486563</v>
      </c>
      <c r="P22" s="69" t="n">
        <f aca="false">SUM(P17:P21)</f>
        <v>152463.045496113</v>
      </c>
      <c r="Q22" s="69" t="n">
        <f aca="false">SUM(Q17:Q21)</f>
        <v>134715.527481281</v>
      </c>
      <c r="R22" s="69" t="n">
        <f aca="false">SUM(R17:R21)</f>
        <v>130992.104694252</v>
      </c>
      <c r="S22" s="69" t="n">
        <f aca="false">SUM(S17:S21)</f>
        <v>148669.953184836</v>
      </c>
      <c r="T22" s="69" t="n">
        <f aca="false">SUM(T17:T21)</f>
        <v>175056.324629276</v>
      </c>
      <c r="U22" s="69" t="n">
        <f aca="false">SUM(U17:U21)</f>
        <v>195570.296413138</v>
      </c>
      <c r="V22" s="69" t="n">
        <f aca="false">SUM(V17:V21)</f>
        <v>207634.624020478</v>
      </c>
      <c r="W22" s="69" t="n">
        <f aca="false">SUM(W17:W21)</f>
        <v>210779.215302142</v>
      </c>
      <c r="X22" s="69" t="n">
        <f aca="false">SUM(X17:X21)</f>
        <v>207400.620593099</v>
      </c>
      <c r="Y22" s="69" t="n">
        <f aca="false">SUM(Y17:Y21)</f>
        <v>207343.76853195</v>
      </c>
      <c r="Z22" s="69" t="n">
        <f aca="false">SUM(Z17:Z21)</f>
        <v>210049.486094817</v>
      </c>
      <c r="AA22" s="69" t="n">
        <f aca="false">SUM(AA17:AA21)</f>
        <v>205675.196281392</v>
      </c>
      <c r="AB22" s="69" t="n">
        <f aca="false">SUM(AB17:AB21)</f>
        <v>188444.324233196</v>
      </c>
    </row>
    <row r="23" customFormat="false" ht="15" hidden="false" customHeight="false" outlineLevel="0" collapsed="false">
      <c r="A23" s="67" t="s">
        <v>348</v>
      </c>
      <c r="B23" s="68"/>
      <c r="C23" s="69" t="n">
        <f aca="false">SUM(E23:P23)</f>
        <v>481410.720945083</v>
      </c>
      <c r="D23" s="69" t="n">
        <f aca="false">SUM(Q23:AB23)</f>
        <v>682676.978749106</v>
      </c>
      <c r="E23" s="69" t="n">
        <f aca="false">E16-E22</f>
        <v>31957.43</v>
      </c>
      <c r="F23" s="69" t="n">
        <f aca="false">F16-F22</f>
        <v>26544.92</v>
      </c>
      <c r="G23" s="69" t="n">
        <f aca="false">G16-G22</f>
        <v>26117.71</v>
      </c>
      <c r="H23" s="69" t="n">
        <f aca="false">H16-H22</f>
        <v>38129.91</v>
      </c>
      <c r="I23" s="69" t="n">
        <f aca="false">I16-I22</f>
        <v>29286.07</v>
      </c>
      <c r="J23" s="69" t="n">
        <f aca="false">J16-J22</f>
        <v>29205.51</v>
      </c>
      <c r="K23" s="69" t="n">
        <f aca="false">K16-K22</f>
        <v>39550.67</v>
      </c>
      <c r="L23" s="69" t="n">
        <f aca="false">L16-L22</f>
        <v>52526.91</v>
      </c>
      <c r="M23" s="69" t="n">
        <f aca="false">M16-M22</f>
        <v>56183.6976702483</v>
      </c>
      <c r="N23" s="69" t="n">
        <f aca="false">N16-N22</f>
        <v>53955.3081690455</v>
      </c>
      <c r="O23" s="69" t="n">
        <f aca="false">O16-O22</f>
        <v>51117.531914173</v>
      </c>
      <c r="P23" s="69" t="n">
        <f aca="false">P16-P22</f>
        <v>46835.0531916164</v>
      </c>
      <c r="Q23" s="69" t="n">
        <f aca="false">Q16-Q22</f>
        <v>41383.2012524195</v>
      </c>
      <c r="R23" s="69" t="n">
        <f aca="false">R16-R22</f>
        <v>40239.404709999</v>
      </c>
      <c r="S23" s="69" t="n">
        <f aca="false">S16-S22</f>
        <v>45669.8548999168</v>
      </c>
      <c r="T23" s="69" t="n">
        <f aca="false">T16-T22</f>
        <v>53775.4722717384</v>
      </c>
      <c r="U23" s="69" t="n">
        <f aca="false">U16-U22</f>
        <v>60077.1498785457</v>
      </c>
      <c r="V23" s="69" t="n">
        <f aca="false">V16-V22</f>
        <v>63783.1851566174</v>
      </c>
      <c r="W23" s="69" t="n">
        <f aca="false">W16-W22</f>
        <v>64749.1707137298</v>
      </c>
      <c r="X23" s="69" t="n">
        <f aca="false">X16-X22</f>
        <v>63711.3017508214</v>
      </c>
      <c r="Y23" s="69" t="n">
        <f aca="false">Y16-Y22</f>
        <v>63693.8373921677</v>
      </c>
      <c r="Z23" s="69" t="n">
        <f aca="false">Z16-Z22</f>
        <v>64525.0055323948</v>
      </c>
      <c r="AA23" s="69" t="n">
        <f aca="false">AA16-AA22</f>
        <v>63181.2694459178</v>
      </c>
      <c r="AB23" s="69" t="n">
        <f aca="false">AB16-AB22</f>
        <v>57888.1257448379</v>
      </c>
    </row>
    <row r="24" customFormat="false" ht="15" hidden="false" customHeight="false" outlineLevel="0" collapsed="false">
      <c r="A24" s="27" t="s">
        <v>303</v>
      </c>
      <c r="B24" s="56"/>
      <c r="C24" s="59" t="n">
        <f aca="false">IF(C16=0,0,C23/C16)</f>
        <v>0.225715696024802</v>
      </c>
      <c r="D24" s="59" t="n">
        <f aca="false">IF(D16=0,0,D23/D16)</f>
        <v>0.235</v>
      </c>
      <c r="E24" s="60" t="n">
        <f aca="false">IF(E16=0,0,E23/E16)</f>
        <v>0.230586314294362</v>
      </c>
      <c r="F24" s="60" t="n">
        <f aca="false">IF(F16=0,0,F23/F16)</f>
        <v>0.213308154671981</v>
      </c>
      <c r="G24" s="60" t="n">
        <f aca="false">IF(G16=0,0,G23/G16)</f>
        <v>0.183605062657558</v>
      </c>
      <c r="H24" s="60" t="n">
        <f aca="false">IF(H16=0,0,H23/H16)</f>
        <v>0.252342245189487</v>
      </c>
      <c r="I24" s="60" t="n">
        <f aca="false">IF(I16=0,0,I23/I16)</f>
        <v>0.213350278343279</v>
      </c>
      <c r="J24" s="60" t="n">
        <f aca="false">IF(J16=0,0,J23/J16)</f>
        <v>0.209435813221368</v>
      </c>
      <c r="K24" s="60" t="n">
        <f aca="false">IF(K16=0,0,K23/K16)</f>
        <v>0.213479302844003</v>
      </c>
      <c r="L24" s="60" t="n">
        <f aca="false">IF(L16=0,0,L23/L16)</f>
        <v>0.229424844857227</v>
      </c>
      <c r="M24" s="60" t="n">
        <f aca="false">IF(M16=0,0,M23/M16)</f>
        <v>0.235</v>
      </c>
      <c r="N24" s="60" t="n">
        <f aca="false">IF(N16=0,0,N23/N16)</f>
        <v>0.235</v>
      </c>
      <c r="O24" s="60" t="n">
        <f aca="false">IF(O16=0,0,O23/O16)</f>
        <v>0.235</v>
      </c>
      <c r="P24" s="60" t="n">
        <f aca="false">IF(P16=0,0,P23/P16)</f>
        <v>0.235</v>
      </c>
      <c r="Q24" s="60" t="n">
        <f aca="false">IF(Q16=0,0,Q23/Q16)</f>
        <v>0.235</v>
      </c>
      <c r="R24" s="60" t="n">
        <f aca="false">IF(R16=0,0,R23/R16)</f>
        <v>0.235</v>
      </c>
      <c r="S24" s="60" t="n">
        <f aca="false">IF(S16=0,0,S23/S16)</f>
        <v>0.235</v>
      </c>
      <c r="T24" s="60" t="n">
        <f aca="false">IF(T16=0,0,T23/T16)</f>
        <v>0.235</v>
      </c>
      <c r="U24" s="60" t="n">
        <f aca="false">IF(U16=0,0,U23/U16)</f>
        <v>0.235</v>
      </c>
      <c r="V24" s="60" t="n">
        <f aca="false">IF(V16=0,0,V23/V16)</f>
        <v>0.235</v>
      </c>
      <c r="W24" s="60" t="n">
        <f aca="false">IF(W16=0,0,W23/W16)</f>
        <v>0.235</v>
      </c>
      <c r="X24" s="60" t="n">
        <f aca="false">IF(X16=0,0,X23/X16)</f>
        <v>0.235</v>
      </c>
      <c r="Y24" s="60" t="n">
        <f aca="false">IF(Y16=0,0,Y23/Y16)</f>
        <v>0.235</v>
      </c>
      <c r="Z24" s="60" t="n">
        <f aca="false">IF(Z16=0,0,Z23/Z16)</f>
        <v>0.235</v>
      </c>
      <c r="AA24" s="60" t="n">
        <f aca="false">IF(AA16=0,0,AA23/AA16)</f>
        <v>0.235</v>
      </c>
      <c r="AB24" s="60" t="n">
        <f aca="false">IF(AB16=0,0,AB23/AB16)</f>
        <v>0.235</v>
      </c>
    </row>
    <row r="25" customFormat="false" ht="15" hidden="false" customHeight="false" outlineLevel="0" collapsed="false">
      <c r="A25" s="27" t="s">
        <v>837</v>
      </c>
      <c r="B25" s="56" t="s">
        <v>838</v>
      </c>
      <c r="C25" s="57" t="n">
        <f aca="false">SUM(E25:P25)</f>
        <v>1620104.02239463</v>
      </c>
      <c r="D25" s="57" t="n">
        <f aca="false">SUM(Q25:AB25)</f>
        <v>2225805.77812404</v>
      </c>
      <c r="E25" s="58" t="n">
        <f aca="false">E12*(E13*(1+Assumptions!$C$23)-E15)</f>
        <v>88352.5</v>
      </c>
      <c r="F25" s="58" t="n">
        <f aca="false">F12*(F13*(1+Assumptions!$C$23)-F15)</f>
        <v>92573.35</v>
      </c>
      <c r="G25" s="58" t="n">
        <f aca="false">G12*(G13*(1+Assumptions!$C$23)-G15)</f>
        <v>132154.455</v>
      </c>
      <c r="H25" s="58" t="n">
        <f aca="false">H12*(H13*(1+Assumptions!$C$23)-H15)</f>
        <v>98282.47</v>
      </c>
      <c r="I25" s="58" t="n">
        <f aca="false">I12*(I13*(1+Assumptions!$C$23)-I15)</f>
        <v>90324.48</v>
      </c>
      <c r="J25" s="58" t="n">
        <f aca="false">J12*(J13*(1+Assumptions!$C$23)-J15)</f>
        <v>134752.38</v>
      </c>
      <c r="K25" s="58" t="n">
        <f aca="false">K12*(K13*(1+Assumptions!$C$23)-K15)</f>
        <v>181695.18</v>
      </c>
      <c r="L25" s="58" t="n">
        <f aca="false">L12*(L13*(1+Assumptions!$C$23)-L15)</f>
        <v>183654.26</v>
      </c>
      <c r="M25" s="58" t="n">
        <f aca="false">M12*(M13*(1+Assumptions!$C$23)-M15)</f>
        <v>169888.316748422</v>
      </c>
      <c r="N25" s="58" t="n">
        <f aca="false">N12*(N13*(1+Assumptions!$C$23)-N15)</f>
        <v>165266.326391291</v>
      </c>
      <c r="O25" s="58" t="n">
        <f aca="false">O12*(O13*(1+Assumptions!$C$23)-O15)</f>
        <v>152384.519377223</v>
      </c>
      <c r="P25" s="58" t="n">
        <f aca="false">P12*(P13*(1+Assumptions!$C$23)-P15)</f>
        <v>130775.784877698</v>
      </c>
      <c r="Q25" s="58" t="n">
        <f aca="false">Q12*(Q13*(1+Assumptions!$C$23)-Q15)</f>
        <v>116614.736817839</v>
      </c>
      <c r="R25" s="58" t="n">
        <f aca="false">R12*(R13*(1+Assumptions!$C$23)-R15)</f>
        <v>144307.972511373</v>
      </c>
      <c r="S25" s="58" t="n">
        <f aca="false">S12*(S13*(1+Assumptions!$C$23)-S15)</f>
        <v>173015.641314548</v>
      </c>
      <c r="T25" s="58" t="n">
        <f aca="false">T12*(T13*(1+Assumptions!$C$23)-T15)</f>
        <v>193950.094031583</v>
      </c>
      <c r="U25" s="58" t="n">
        <f aca="false">U12*(U13*(1+Assumptions!$C$23)-U15)</f>
        <v>206635.567375345</v>
      </c>
      <c r="V25" s="58" t="n">
        <f aca="false">V12*(V13*(1+Assumptions!$C$23)-V15)</f>
        <v>210578.00129023</v>
      </c>
      <c r="W25" s="58" t="n">
        <f aca="false">W12*(W13*(1+Assumptions!$C$23)-W15)</f>
        <v>205264.464712989</v>
      </c>
      <c r="X25" s="58" t="n">
        <f aca="false">X12*(X13*(1+Assumptions!$C$23)-X15)</f>
        <v>199670.693574545</v>
      </c>
      <c r="Y25" s="58" t="n">
        <f aca="false">Y12*(Y13*(1+Assumptions!$C$23)-Y15)</f>
        <v>213166.855350395</v>
      </c>
      <c r="Z25" s="58" t="n">
        <f aca="false">Z12*(Z13*(1+Assumptions!$C$23)-Z15)</f>
        <v>207355.850023559</v>
      </c>
      <c r="AA25" s="58" t="n">
        <f aca="false">AA12*(AA13*(1+Assumptions!$C$23)-AA15)</f>
        <v>191182.722713727</v>
      </c>
      <c r="AB25" s="58" t="n">
        <f aca="false">AB12*(AB13*(1+Assumptions!$C$23)-AB15)</f>
        <v>164063.178407911</v>
      </c>
    </row>
    <row r="26" customFormat="false" ht="15" hidden="false" customHeight="false" outlineLevel="0" collapsed="false">
      <c r="A26" s="27" t="s">
        <v>839</v>
      </c>
      <c r="B26" s="56" t="s">
        <v>840</v>
      </c>
      <c r="C26" s="57" t="n">
        <f aca="false">SUM(E26:P26)</f>
        <v>1586135.91567931</v>
      </c>
      <c r="D26" s="57" t="n">
        <f aca="false">SUM(Q26:AB26)</f>
        <v>2187536.40229892</v>
      </c>
      <c r="E26" s="58" t="n">
        <f aca="false">IF(E$5="A",Inputs_Actuals!E73,Assumptions!$C$54*IF(Assumptions!E$96-(0)&lt;1,0,INDEX(Residential!$E$25:$AB$25,Assumptions!E$96-(0)))+Assumptions!$C$55*IF(Assumptions!E$96-(1)&lt;1,0,INDEX(Residential!$E$25:$AB$25,Assumptions!E$96-(1)))+Assumptions!$C$56*IF(Assumptions!E$96-(2)&lt;1,0,INDEX(Residential!$E$25:$AB$25,Assumptions!E$96-(2))))</f>
        <v>105489.75</v>
      </c>
      <c r="F26" s="58" t="n">
        <f aca="false">IF(F$5="A",Inputs_Actuals!F73,Assumptions!$C$54*IF(Assumptions!F$96-(0)&lt;1,0,INDEX(Residential!$E$25:$AB$25,Assumptions!F$96-(0)))+Assumptions!$C$55*IF(Assumptions!F$96-(1)&lt;1,0,INDEX(Residential!$E$25:$AB$25,Assumptions!F$96-(1)))+Assumptions!$C$56*IF(Assumptions!F$96-(2)&lt;1,0,INDEX(Residential!$E$25:$AB$25,Assumptions!F$96-(2))))</f>
        <v>91239.53</v>
      </c>
      <c r="G26" s="58" t="n">
        <f aca="false">IF(G$5="A",Inputs_Actuals!G73,Assumptions!$C$54*IF(Assumptions!G$96-(0)&lt;1,0,INDEX(Residential!$E$25:$AB$25,Assumptions!G$96-(0)))+Assumptions!$C$55*IF(Assumptions!G$96-(1)&lt;1,0,INDEX(Residential!$E$25:$AB$25,Assumptions!G$96-(1)))+Assumptions!$C$56*IF(Assumptions!G$96-(2)&lt;1,0,INDEX(Residential!$E$25:$AB$25,Assumptions!G$96-(2))))</f>
        <v>99223.32</v>
      </c>
      <c r="H26" s="58" t="n">
        <f aca="false">IF(H$5="A",Inputs_Actuals!H73,Assumptions!$C$54*IF(Assumptions!H$96-(0)&lt;1,0,INDEX(Residential!$E$25:$AB$25,Assumptions!H$96-(0)))+Assumptions!$C$55*IF(Assumptions!H$96-(1)&lt;1,0,INDEX(Residential!$E$25:$AB$25,Assumptions!H$96-(1)))+Assumptions!$C$56*IF(Assumptions!H$96-(2)&lt;1,0,INDEX(Residential!$E$25:$AB$25,Assumptions!H$96-(2))))</f>
        <v>113505.73</v>
      </c>
      <c r="I26" s="58" t="n">
        <f aca="false">IF(I$5="A",Inputs_Actuals!I73,Assumptions!$C$54*IF(Assumptions!I$96-(0)&lt;1,0,INDEX(Residential!$E$25:$AB$25,Assumptions!I$96-(0)))+Assumptions!$C$55*IF(Assumptions!I$96-(1)&lt;1,0,INDEX(Residential!$E$25:$AB$25,Assumptions!I$96-(1)))+Assumptions!$C$56*IF(Assumptions!I$96-(2)&lt;1,0,INDEX(Residential!$E$25:$AB$25,Assumptions!I$96-(2))))</f>
        <v>106852.47</v>
      </c>
      <c r="J26" s="58" t="n">
        <f aca="false">IF(J$5="A",Inputs_Actuals!J73,Assumptions!$C$54*IF(Assumptions!J$96-(0)&lt;1,0,INDEX(Residential!$E$25:$AB$25,Assumptions!J$96-(0)))+Assumptions!$C$55*IF(Assumptions!J$96-(1)&lt;1,0,INDEX(Residential!$E$25:$AB$25,Assumptions!J$96-(1)))+Assumptions!$C$56*IF(Assumptions!J$96-(2)&lt;1,0,INDEX(Residential!$E$25:$AB$25,Assumptions!J$96-(2))))</f>
        <v>101597.46</v>
      </c>
      <c r="K26" s="58" t="n">
        <f aca="false">IF(K$5="A",Inputs_Actuals!K73,Assumptions!$C$54*IF(Assumptions!K$96-(0)&lt;1,0,INDEX(Residential!$E$25:$AB$25,Assumptions!K$96-(0)))+Assumptions!$C$55*IF(Assumptions!K$96-(1)&lt;1,0,INDEX(Residential!$E$25:$AB$25,Assumptions!K$96-(1)))+Assumptions!$C$56*IF(Assumptions!K$96-(2)&lt;1,0,INDEX(Residential!$E$25:$AB$25,Assumptions!K$96-(2))))</f>
        <v>130812.57</v>
      </c>
      <c r="L26" s="58" t="n">
        <f aca="false">IF(L$5="A",Inputs_Actuals!L73,Assumptions!$C$54*IF(Assumptions!L$96-(0)&lt;1,0,INDEX(Residential!$E$25:$AB$25,Assumptions!L$96-(0)))+Assumptions!$C$55*IF(Assumptions!L$96-(1)&lt;1,0,INDEX(Residential!$E$25:$AB$25,Assumptions!L$96-(1)))+Assumptions!$C$56*IF(Assumptions!L$96-(2)&lt;1,0,INDEX(Residential!$E$25:$AB$25,Assumptions!L$96-(2))))</f>
        <v>168004.16</v>
      </c>
      <c r="M26" s="58" t="n">
        <f aca="false">IF(M$5="A",Inputs_Actuals!M73,Assumptions!$C$54*IF(Assumptions!M$96-(0)&lt;1,0,INDEX(Residential!$E$25:$AB$25,Assumptions!M$96-(0)))+Assumptions!$C$55*IF(Assumptions!M$96-(1)&lt;1,0,INDEX(Residential!$E$25:$AB$25,Assumptions!M$96-(1)))+Assumptions!$C$56*IF(Assumptions!M$96-(2)&lt;1,0,INDEX(Residential!$E$25:$AB$25,Assumptions!M$96-(2))))</f>
        <v>180313.347349684</v>
      </c>
      <c r="N26" s="58" t="n">
        <f aca="false">IF(N$5="A",Inputs_Actuals!N73,Assumptions!$C$54*IF(Assumptions!N$96-(0)&lt;1,0,INDEX(Residential!$E$25:$AB$25,Assumptions!N$96-(0)))+Assumptions!$C$55*IF(Assumptions!N$96-(1)&lt;1,0,INDEX(Residential!$E$25:$AB$25,Assumptions!N$96-(1)))+Assumptions!$C$56*IF(Assumptions!N$96-(2)&lt;1,0,INDEX(Residential!$E$25:$AB$25,Assumptions!N$96-(2))))</f>
        <v>173093.701652469</v>
      </c>
      <c r="O26" s="58" t="n">
        <f aca="false">IF(O$5="A",Inputs_Actuals!O73,Assumptions!$C$54*IF(Assumptions!O$96-(0)&lt;1,0,INDEX(Residential!$E$25:$AB$25,Assumptions!O$96-(0)))+Assumptions!$C$55*IF(Assumptions!O$96-(1)&lt;1,0,INDEX(Residential!$E$25:$AB$25,Assumptions!O$96-(1)))+Assumptions!$C$56*IF(Assumptions!O$96-(2)&lt;1,0,INDEX(Residential!$E$25:$AB$25,Assumptions!O$96-(2))))</f>
        <v>164076.562095617</v>
      </c>
      <c r="P26" s="58" t="n">
        <f aca="false">IF(P$5="A",Inputs_Actuals!P73,Assumptions!$C$54*IF(Assumptions!P$96-(0)&lt;1,0,INDEX(Residential!$E$25:$AB$25,Assumptions!P$96-(0)))+Assumptions!$C$55*IF(Assumptions!P$96-(1)&lt;1,0,INDEX(Residential!$E$25:$AB$25,Assumptions!P$96-(1)))+Assumptions!$C$56*IF(Assumptions!P$96-(2)&lt;1,0,INDEX(Residential!$E$25:$AB$25,Assumptions!P$96-(2))))</f>
        <v>151927.314581539</v>
      </c>
      <c r="Q26" s="58" t="n">
        <f aca="false">IF(Q$5="A",Inputs_Actuals!Q73,Assumptions!$C$54*IF(Assumptions!Q$96-(0)&lt;1,0,INDEX(Residential!$E$25:$AB$25,Assumptions!Q$96-(0)))+Assumptions!$C$55*IF(Assumptions!Q$96-(1)&lt;1,0,INDEX(Residential!$E$25:$AB$25,Assumptions!Q$96-(1)))+Assumptions!$C$56*IF(Assumptions!Q$96-(2)&lt;1,0,INDEX(Residential!$E$25:$AB$25,Assumptions!Q$96-(2))))</f>
        <v>134426.195615584</v>
      </c>
      <c r="R26" s="58" t="n">
        <f aca="false">IF(R$5="A",Inputs_Actuals!R73,Assumptions!$C$54*IF(Assumptions!R$96-(0)&lt;1,0,INDEX(Residential!$E$25:$AB$25,Assumptions!R$96-(0)))+Assumptions!$C$55*IF(Assumptions!R$96-(1)&lt;1,0,INDEX(Residential!$E$25:$AB$25,Assumptions!R$96-(1)))+Assumptions!$C$56*IF(Assumptions!R$96-(2)&lt;1,0,INDEX(Residential!$E$25:$AB$25,Assumptions!R$96-(2))))</f>
        <v>126401.698374503</v>
      </c>
      <c r="S26" s="58" t="n">
        <f aca="false">IF(S$5="A",Inputs_Actuals!S73,Assumptions!$C$54*IF(Assumptions!S$96-(0)&lt;1,0,INDEX(Residential!$E$25:$AB$25,Assumptions!S$96-(0)))+Assumptions!$C$55*IF(Assumptions!S$96-(1)&lt;1,0,INDEX(Residential!$E$25:$AB$25,Assumptions!S$96-(1)))+Assumptions!$C$56*IF(Assumptions!S$96-(2)&lt;1,0,INDEX(Residential!$E$25:$AB$25,Assumptions!S$96-(2))))</f>
        <v>141741.535563948</v>
      </c>
      <c r="T26" s="58" t="n">
        <f aca="false">IF(T$5="A",Inputs_Actuals!T73,Assumptions!$C$54*IF(Assumptions!T$96-(0)&lt;1,0,INDEX(Residential!$E$25:$AB$25,Assumptions!T$96-(0)))+Assumptions!$C$55*IF(Assumptions!T$96-(1)&lt;1,0,INDEX(Residential!$E$25:$AB$25,Assumptions!T$96-(1)))+Assumptions!$C$56*IF(Assumptions!T$96-(2)&lt;1,0,INDEX(Residential!$E$25:$AB$25,Assumptions!T$96-(2))))</f>
        <v>168590.231217003</v>
      </c>
      <c r="U26" s="58" t="n">
        <f aca="false">IF(U$5="A",Inputs_Actuals!U73,Assumptions!$C$54*IF(Assumptions!U$96-(0)&lt;1,0,INDEX(Residential!$E$25:$AB$25,Assumptions!U$96-(0)))+Assumptions!$C$55*IF(Assumptions!U$96-(1)&lt;1,0,INDEX(Residential!$E$25:$AB$25,Assumptions!U$96-(1)))+Assumptions!$C$56*IF(Assumptions!U$96-(2)&lt;1,0,INDEX(Residential!$E$25:$AB$25,Assumptions!U$96-(2))))</f>
        <v>190206.852885225</v>
      </c>
      <c r="V26" s="58" t="n">
        <f aca="false">IF(V$5="A",Inputs_Actuals!V73,Assumptions!$C$54*IF(Assumptions!V$96-(0)&lt;1,0,INDEX(Residential!$E$25:$AB$25,Assumptions!V$96-(0)))+Assumptions!$C$55*IF(Assumptions!V$96-(1)&lt;1,0,INDEX(Residential!$E$25:$AB$25,Assumptions!V$96-(1)))+Assumptions!$C$56*IF(Assumptions!V$96-(2)&lt;1,0,INDEX(Residential!$E$25:$AB$25,Assumptions!V$96-(2))))</f>
        <v>203618.412155193</v>
      </c>
      <c r="W26" s="58" t="n">
        <f aca="false">IF(W$5="A",Inputs_Actuals!W73,Assumptions!$C$54*IF(Assumptions!W$96-(0)&lt;1,0,INDEX(Residential!$E$25:$AB$25,Assumptions!W$96-(0)))+Assumptions!$C$55*IF(Assumptions!W$96-(1)&lt;1,0,INDEX(Residential!$E$25:$AB$25,Assumptions!W$96-(1)))+Assumptions!$C$56*IF(Assumptions!W$96-(2)&lt;1,0,INDEX(Residential!$E$25:$AB$25,Assumptions!W$96-(2))))</f>
        <v>208332.563800316</v>
      </c>
      <c r="X26" s="58" t="n">
        <f aca="false">IF(X$5="A",Inputs_Actuals!X73,Assumptions!$C$54*IF(Assumptions!X$96-(0)&lt;1,0,INDEX(Residential!$E$25:$AB$25,Assumptions!X$96-(0)))+Assumptions!$C$55*IF(Assumptions!X$96-(1)&lt;1,0,INDEX(Residential!$E$25:$AB$25,Assumptions!X$96-(1)))+Assumptions!$C$56*IF(Assumptions!X$96-(2)&lt;1,0,INDEX(Residential!$E$25:$AB$25,Assumptions!X$96-(2))))</f>
        <v>205739.771458472</v>
      </c>
      <c r="Y26" s="58" t="n">
        <f aca="false">IF(Y$5="A",Inputs_Actuals!Y73,Assumptions!$C$54*IF(Assumptions!Y$96-(0)&lt;1,0,INDEX(Residential!$E$25:$AB$25,Assumptions!Y$96-(0)))+Assumptions!$C$55*IF(Assumptions!Y$96-(1)&lt;1,0,INDEX(Residential!$E$25:$AB$25,Assumptions!Y$96-(1)))+Assumptions!$C$56*IF(Assumptions!Y$96-(2)&lt;1,0,INDEX(Residential!$E$25:$AB$25,Assumptions!Y$96-(2))))</f>
        <v>204048.057271248</v>
      </c>
      <c r="Z26" s="58" t="n">
        <f aca="false">IF(Z$5="A",Inputs_Actuals!Z73,Assumptions!$C$54*IF(Assumptions!Z$96-(0)&lt;1,0,INDEX(Residential!$E$25:$AB$25,Assumptions!Z$96-(0)))+Assumptions!$C$55*IF(Assumptions!Z$96-(1)&lt;1,0,INDEX(Residential!$E$25:$AB$25,Assumptions!Z$96-(1)))+Assumptions!$C$56*IF(Assumptions!Z$96-(2)&lt;1,0,INDEX(Residential!$E$25:$AB$25,Assumptions!Z$96-(2))))</f>
        <v>207955.805752273</v>
      </c>
      <c r="AA26" s="58" t="n">
        <f aca="false">IF(AA$5="A",Inputs_Actuals!AA73,Assumptions!$C$54*IF(Assumptions!AA$96-(0)&lt;1,0,INDEX(Residential!$E$25:$AB$25,Assumptions!AA$96-(0)))+Assumptions!$C$55*IF(Assumptions!AA$96-(1)&lt;1,0,INDEX(Residential!$E$25:$AB$25,Assumptions!AA$96-(1)))+Assumptions!$C$56*IF(Assumptions!AA$96-(2)&lt;1,0,INDEX(Residential!$E$25:$AB$25,Assumptions!AA$96-(2))))</f>
        <v>205864.526159643</v>
      </c>
      <c r="AB26" s="58" t="n">
        <f aca="false">IF(AB$5="A",Inputs_Actuals!AB73,Assumptions!$C$54*IF(Assumptions!AB$96-(0)&lt;1,0,INDEX(Residential!$E$25:$AB$25,Assumptions!AB$96-(0)))+Assumptions!$C$55*IF(Assumptions!AB$96-(1)&lt;1,0,INDEX(Residential!$E$25:$AB$25,Assumptions!AB$96-(1)))+Assumptions!$C$56*IF(Assumptions!AB$96-(2)&lt;1,0,INDEX(Residential!$E$25:$AB$25,Assumptions!AB$96-(2))))</f>
        <v>190610.752045513</v>
      </c>
    </row>
    <row r="27" customFormat="false" ht="15" hidden="false" customHeight="false" outlineLevel="0" collapsed="false">
      <c r="A27" s="27" t="s">
        <v>841</v>
      </c>
      <c r="B27" s="56" t="s">
        <v>842</v>
      </c>
      <c r="C27" s="57" t="n">
        <f aca="false">SUM(E27:P27)</f>
        <v>810061.329148484</v>
      </c>
      <c r="D27" s="57" t="n">
        <f aca="false">SUM(Q27:AB27)</f>
        <v>1071376.41808366</v>
      </c>
      <c r="E27" s="58" t="n">
        <f aca="false">IF(E$5="A",Inputs_Actuals!E74,IF(Assumptions!E$96-((2+Assumptions!$C$57))&lt;1,0,INDEX(Residential!$E$12:$AB$12,Assumptions!E$96-((2+Assumptions!$C$57))))*IF(Assumptions!E$96-((2+Assumptions!$C$57))&lt;1,0,INDEX(Residential!$E$15:$AB$15,Assumptions!E$96-((2+Assumptions!$C$57)))))</f>
        <v>75687</v>
      </c>
      <c r="F27" s="58" t="n">
        <f aca="false">IF(F$5="A",Inputs_Actuals!F74,IF(Assumptions!F$96-((2+Assumptions!$C$57))&lt;1,0,INDEX(Residential!$E$12:$AB$12,Assumptions!F$96-((2+Assumptions!$C$57))))*IF(Assumptions!F$96-((2+Assumptions!$C$57))&lt;1,0,INDEX(Residential!$E$15:$AB$15,Assumptions!F$96-((2+Assumptions!$C$57)))))</f>
        <v>73329</v>
      </c>
      <c r="G27" s="58" t="n">
        <f aca="false">IF(G$5="A",Inputs_Actuals!G74,IF(Assumptions!G$96-((2+Assumptions!$C$57))&lt;1,0,INDEX(Residential!$E$12:$AB$12,Assumptions!G$96-((2+Assumptions!$C$57))))*IF(Assumptions!G$96-((2+Assumptions!$C$57))&lt;1,0,INDEX(Residential!$E$15:$AB$15,Assumptions!G$96-((2+Assumptions!$C$57)))))</f>
        <v>47512</v>
      </c>
      <c r="H27" s="58" t="n">
        <f aca="false">IF(H$5="A",Inputs_Actuals!H74,IF(Assumptions!H$96-((2+Assumptions!$C$57))&lt;1,0,INDEX(Residential!$E$12:$AB$12,Assumptions!H$96-((2+Assumptions!$C$57))))*IF(Assumptions!H$96-((2+Assumptions!$C$57))&lt;1,0,INDEX(Residential!$E$15:$AB$15,Assumptions!H$96-((2+Assumptions!$C$57)))))</f>
        <v>49096</v>
      </c>
      <c r="I27" s="58" t="n">
        <f aca="false">IF(I$5="A",Inputs_Actuals!I74,IF(Assumptions!I$96-((2+Assumptions!$C$57))&lt;1,0,INDEX(Residential!$E$12:$AB$12,Assumptions!I$96-((2+Assumptions!$C$57))))*IF(Assumptions!I$96-((2+Assumptions!$C$57))&lt;1,0,INDEX(Residential!$E$15:$AB$15,Assumptions!I$96-((2+Assumptions!$C$57)))))</f>
        <v>53172</v>
      </c>
      <c r="J27" s="58" t="n">
        <f aca="false">IF(J$5="A",Inputs_Actuals!J74,IF(Assumptions!J$96-((2+Assumptions!$C$57))&lt;1,0,INDEX(Residential!$E$12:$AB$12,Assumptions!J$96-((2+Assumptions!$C$57))))*IF(Assumptions!J$96-((2+Assumptions!$C$57))&lt;1,0,INDEX(Residential!$E$15:$AB$15,Assumptions!J$96-((2+Assumptions!$C$57)))))</f>
        <v>72864</v>
      </c>
      <c r="K27" s="58" t="n">
        <f aca="false">IF(K$5="A",Inputs_Actuals!K74,IF(Assumptions!K$96-((2+Assumptions!$C$57))&lt;1,0,INDEX(Residential!$E$12:$AB$12,Assumptions!K$96-((2+Assumptions!$C$57))))*IF(Assumptions!K$96-((2+Assumptions!$C$57))&lt;1,0,INDEX(Residential!$E$15:$AB$15,Assumptions!K$96-((2+Assumptions!$C$57)))))</f>
        <v>44412</v>
      </c>
      <c r="L27" s="58" t="n">
        <f aca="false">IF(L$5="A",Inputs_Actuals!L74,IF(Assumptions!L$96-((2+Assumptions!$C$57))&lt;1,0,INDEX(Residential!$E$12:$AB$12,Assumptions!L$96-((2+Assumptions!$C$57))))*IF(Assumptions!L$96-((2+Assumptions!$C$57))&lt;1,0,INDEX(Residential!$E$15:$AB$15,Assumptions!L$96-((2+Assumptions!$C$57)))))</f>
        <v>44114</v>
      </c>
      <c r="M27" s="58" t="n">
        <f aca="false">IF(M$5="A",Inputs_Actuals!M74,IF(Assumptions!M$96-((2+Assumptions!$C$57))&lt;1,0,INDEX(Residential!$E$12:$AB$12,Assumptions!M$96-((2+Assumptions!$C$57))))*IF(Assumptions!M$96-((2+Assumptions!$C$57))&lt;1,0,INDEX(Residential!$E$15:$AB$15,Assumptions!M$96-((2+Assumptions!$C$57)))))</f>
        <v>72258</v>
      </c>
      <c r="N27" s="58" t="n">
        <f aca="false">IF(N$5="A",Inputs_Actuals!N74,IF(Assumptions!N$96-((2+Assumptions!$C$57))&lt;1,0,INDEX(Residential!$E$12:$AB$12,Assumptions!N$96-((2+Assumptions!$C$57))))*IF(Assumptions!N$96-((2+Assumptions!$C$57))&lt;1,0,INDEX(Residential!$E$15:$AB$15,Assumptions!N$96-((2+Assumptions!$C$57)))))</f>
        <v>96684</v>
      </c>
      <c r="O27" s="58" t="n">
        <f aca="false">IF(O$5="A",Inputs_Actuals!O74,IF(Assumptions!O$96-((2+Assumptions!$C$57))&lt;1,0,INDEX(Residential!$E$12:$AB$12,Assumptions!O$96-((2+Assumptions!$C$57))))*IF(Assumptions!O$96-((2+Assumptions!$C$57))&lt;1,0,INDEX(Residential!$E$15:$AB$15,Assumptions!O$96-((2+Assumptions!$C$57)))))</f>
        <v>92464</v>
      </c>
      <c r="P27" s="58" t="n">
        <f aca="false">IF(P$5="A",Inputs_Actuals!P74,IF(Assumptions!P$96-((2+Assumptions!$C$57))&lt;1,0,INDEX(Residential!$E$12:$AB$12,Assumptions!P$96-((2+Assumptions!$C$57))))*IF(Assumptions!P$96-((2+Assumptions!$C$57))&lt;1,0,INDEX(Residential!$E$15:$AB$15,Assumptions!P$96-((2+Assumptions!$C$57)))))</f>
        <v>88469.3291484843</v>
      </c>
      <c r="Q27" s="58" t="n">
        <f aca="false">IF(Q$5="A",Inputs_Actuals!Q74,IF(Assumptions!Q$96-((2+Assumptions!$C$57))&lt;1,0,INDEX(Residential!$E$12:$AB$12,Assumptions!Q$96-((2+Assumptions!$C$57))))*IF(Assumptions!Q$96-((2+Assumptions!$C$57))&lt;1,0,INDEX(Residential!$E$15:$AB$15,Assumptions!Q$96-((2+Assumptions!$C$57)))))</f>
        <v>85740.850108977</v>
      </c>
      <c r="R27" s="58" t="n">
        <f aca="false">IF(R$5="A",Inputs_Actuals!R74,IF(Assumptions!R$96-((2+Assumptions!$C$57))&lt;1,0,INDEX(Residential!$E$12:$AB$12,Assumptions!R$96-((2+Assumptions!$C$57))))*IF(Assumptions!R$96-((2+Assumptions!$C$57))&lt;1,0,INDEX(Residential!$E$15:$AB$15,Assumptions!R$96-((2+Assumptions!$C$57)))))</f>
        <v>78762.6878744049</v>
      </c>
      <c r="S27" s="58" t="n">
        <f aca="false">IF(S$5="A",Inputs_Actuals!S74,IF(Assumptions!S$96-((2+Assumptions!$C$57))&lt;1,0,INDEX(Residential!$E$12:$AB$12,Assumptions!S$96-((2+Assumptions!$C$57))))*IF(Assumptions!S$96-((2+Assumptions!$C$57))&lt;1,0,INDEX(Residential!$E$15:$AB$15,Assumptions!S$96-((2+Assumptions!$C$57)))))</f>
        <v>67341.8971965454</v>
      </c>
      <c r="T27" s="58" t="n">
        <f aca="false">IF(T$5="A",Inputs_Actuals!T74,IF(Assumptions!T$96-((2+Assumptions!$C$57))&lt;1,0,INDEX(Residential!$E$12:$AB$12,Assumptions!T$96-((2+Assumptions!$C$57))))*IF(Assumptions!T$96-((2+Assumptions!$C$57))&lt;1,0,INDEX(Residential!$E$15:$AB$15,Assumptions!T$96-((2+Assumptions!$C$57)))))</f>
        <v>59826.2577369378</v>
      </c>
      <c r="U27" s="58" t="n">
        <f aca="false">IF(U$5="A",Inputs_Actuals!U74,IF(Assumptions!U$96-((2+Assumptions!$C$57))&lt;1,0,INDEX(Residential!$E$12:$AB$12,Assumptions!U$96-((2+Assumptions!$C$57))))*IF(Assumptions!U$96-((2+Assumptions!$C$57))&lt;1,0,INDEX(Residential!$E$15:$AB$15,Assumptions!U$96-((2+Assumptions!$C$57)))))</f>
        <v>73758.3445073431</v>
      </c>
      <c r="V27" s="58" t="n">
        <f aca="false">IF(V$5="A",Inputs_Actuals!V74,IF(Assumptions!V$96-((2+Assumptions!$C$57))&lt;1,0,INDEX(Residential!$E$12:$AB$12,Assumptions!V$96-((2+Assumptions!$C$57))))*IF(Assumptions!V$96-((2+Assumptions!$C$57))&lt;1,0,INDEX(Residential!$E$15:$AB$15,Assumptions!V$96-((2+Assumptions!$C$57)))))</f>
        <v>88102.9949490439</v>
      </c>
      <c r="W27" s="58" t="n">
        <f aca="false">IF(W$5="A",Inputs_Actuals!W74,IF(Assumptions!W$96-((2+Assumptions!$C$57))&lt;1,0,INDEX(Residential!$E$12:$AB$12,Assumptions!W$96-((2+Assumptions!$C$57))))*IF(Assumptions!W$96-((2+Assumptions!$C$57))&lt;1,0,INDEX(Residential!$E$15:$AB$15,Assumptions!W$96-((2+Assumptions!$C$57)))))</f>
        <v>98396.9856662697</v>
      </c>
      <c r="X27" s="58" t="n">
        <f aca="false">IF(X$5="A",Inputs_Actuals!X74,IF(Assumptions!X$96-((2+Assumptions!$C$57))&lt;1,0,INDEX(Residential!$E$12:$AB$12,Assumptions!X$96-((2+Assumptions!$C$57))))*IF(Assumptions!X$96-((2+Assumptions!$C$57))&lt;1,0,INDEX(Residential!$E$15:$AB$15,Assumptions!X$96-((2+Assumptions!$C$57)))))</f>
        <v>104444.454661753</v>
      </c>
      <c r="Y27" s="58" t="n">
        <f aca="false">IF(Y$5="A",Inputs_Actuals!Y74,IF(Assumptions!Y$96-((2+Assumptions!$C$57))&lt;1,0,INDEX(Residential!$E$12:$AB$12,Assumptions!Y$96-((2+Assumptions!$C$57))))*IF(Assumptions!Y$96-((2+Assumptions!$C$57))&lt;1,0,INDEX(Residential!$E$15:$AB$15,Assumptions!Y$96-((2+Assumptions!$C$57)))))</f>
        <v>106043.443959258</v>
      </c>
      <c r="Z27" s="58" t="n">
        <f aca="false">IF(Z$5="A",Inputs_Actuals!Z74,IF(Assumptions!Z$96-((2+Assumptions!$C$57))&lt;1,0,INDEX(Residential!$E$12:$AB$12,Assumptions!Z$96-((2+Assumptions!$C$57))))*IF(Assumptions!Z$96-((2+Assumptions!$C$57))&lt;1,0,INDEX(Residential!$E$15:$AB$15,Assumptions!Z$96-((2+Assumptions!$C$57)))))</f>
        <v>102985.742808579</v>
      </c>
      <c r="AA27" s="58" t="n">
        <f aca="false">IF(AA$5="A",Inputs_Actuals!AA74,IF(Assumptions!AA$96-((2+Assumptions!$C$57))&lt;1,0,INDEX(Residential!$E$12:$AB$12,Assumptions!AA$96-((2+Assumptions!$C$57))))*IF(Assumptions!AA$96-((2+Assumptions!$C$57))&lt;1,0,INDEX(Residential!$E$15:$AB$15,Assumptions!AA$96-((2+Assumptions!$C$57)))))</f>
        <v>99809.5636363636</v>
      </c>
      <c r="AB27" s="58" t="n">
        <f aca="false">IF(AB$5="A",Inputs_Actuals!AB74,IF(Assumptions!AB$96-((2+Assumptions!$C$57))&lt;1,0,INDEX(Residential!$E$12:$AB$12,Assumptions!AB$96-((2+Assumptions!$C$57))))*IF(Assumptions!AB$96-((2+Assumptions!$C$57))&lt;1,0,INDEX(Residential!$E$15:$AB$15,Assumptions!AB$96-((2+Assumptions!$C$57)))))</f>
        <v>106163.194978181</v>
      </c>
    </row>
    <row r="28" customFormat="false" ht="15" hidden="false" customHeight="false" outlineLevel="0" collapsed="false">
      <c r="A28" s="27" t="s">
        <v>843</v>
      </c>
      <c r="B28" s="56"/>
      <c r="C28" s="57" t="n">
        <f aca="false">SUM(E28:P28)</f>
        <v>2396197.24482779</v>
      </c>
      <c r="D28" s="57" t="n">
        <f aca="false">SUM(Q28:AB28)</f>
        <v>3258912.82038258</v>
      </c>
      <c r="E28" s="70" t="n">
        <f aca="false">E26+E27</f>
        <v>181176.75</v>
      </c>
      <c r="F28" s="70" t="n">
        <f aca="false">F26+F27</f>
        <v>164568.53</v>
      </c>
      <c r="G28" s="70" t="n">
        <f aca="false">G26+G27</f>
        <v>146735.32</v>
      </c>
      <c r="H28" s="70" t="n">
        <f aca="false">H26+H27</f>
        <v>162601.73</v>
      </c>
      <c r="I28" s="70" t="n">
        <f aca="false">I26+I27</f>
        <v>160024.47</v>
      </c>
      <c r="J28" s="70" t="n">
        <f aca="false">J26+J27</f>
        <v>174461.46</v>
      </c>
      <c r="K28" s="70" t="n">
        <f aca="false">K26+K27</f>
        <v>175224.57</v>
      </c>
      <c r="L28" s="70" t="n">
        <f aca="false">L26+L27</f>
        <v>212118.16</v>
      </c>
      <c r="M28" s="70" t="n">
        <f aca="false">M26+M27</f>
        <v>252571.347349684</v>
      </c>
      <c r="N28" s="70" t="n">
        <f aca="false">N26+N27</f>
        <v>269777.701652469</v>
      </c>
      <c r="O28" s="70" t="n">
        <f aca="false">O26+O27</f>
        <v>256540.562095617</v>
      </c>
      <c r="P28" s="70" t="n">
        <f aca="false">P26+P27</f>
        <v>240396.643730023</v>
      </c>
      <c r="Q28" s="70" t="n">
        <f aca="false">Q26+Q27</f>
        <v>220167.045724561</v>
      </c>
      <c r="R28" s="70" t="n">
        <f aca="false">R26+R27</f>
        <v>205164.386248908</v>
      </c>
      <c r="S28" s="70" t="n">
        <f aca="false">S26+S27</f>
        <v>209083.432760493</v>
      </c>
      <c r="T28" s="70" t="n">
        <f aca="false">T26+T27</f>
        <v>228416.48895394</v>
      </c>
      <c r="U28" s="70" t="n">
        <f aca="false">U26+U27</f>
        <v>263965.197392568</v>
      </c>
      <c r="V28" s="70" t="n">
        <f aca="false">V26+V27</f>
        <v>291721.407104237</v>
      </c>
      <c r="W28" s="70" t="n">
        <f aca="false">W26+W27</f>
        <v>306729.549466586</v>
      </c>
      <c r="X28" s="70" t="n">
        <f aca="false">X26+X27</f>
        <v>310184.226120225</v>
      </c>
      <c r="Y28" s="70" t="n">
        <f aca="false">Y26+Y27</f>
        <v>310091.501230506</v>
      </c>
      <c r="Z28" s="70" t="n">
        <f aca="false">Z26+Z27</f>
        <v>310941.548560852</v>
      </c>
      <c r="AA28" s="70" t="n">
        <f aca="false">AA26+AA27</f>
        <v>305674.089796007</v>
      </c>
      <c r="AB28" s="70" t="n">
        <f aca="false">AB26+AB27</f>
        <v>296773.947023694</v>
      </c>
    </row>
    <row r="29" customFormat="false" ht="15" hidden="false" customHeight="false" outlineLevel="0" collapsed="false">
      <c r="A29" s="27" t="s">
        <v>806</v>
      </c>
      <c r="B29" s="56"/>
      <c r="C29" s="57" t="n">
        <f aca="false">SUM(E29:P29)</f>
        <v>2111186.99984828</v>
      </c>
      <c r="D29" s="57" t="n">
        <f aca="false">SUM(Q29:AB29)</f>
        <v>2871288.82853091</v>
      </c>
      <c r="E29" s="58" t="n">
        <f aca="false">E28/(1+Assumptions!$C$23)</f>
        <v>159627.092511013</v>
      </c>
      <c r="F29" s="58" t="n">
        <f aca="false">F28/(1+Assumptions!$C$23)</f>
        <v>144994.299559471</v>
      </c>
      <c r="G29" s="58" t="n">
        <f aca="false">G28/(1+Assumptions!$C$23)</f>
        <v>129282.220264317</v>
      </c>
      <c r="H29" s="58" t="n">
        <f aca="false">H28/(1+Assumptions!$C$23)</f>
        <v>143261.436123348</v>
      </c>
      <c r="I29" s="58" t="n">
        <f aca="false">I28/(1+Assumptions!$C$23)</f>
        <v>140990.72246696</v>
      </c>
      <c r="J29" s="58" t="n">
        <f aca="false">J28/(1+Assumptions!$C$23)</f>
        <v>153710.537444934</v>
      </c>
      <c r="K29" s="58" t="n">
        <f aca="false">K28/(1+Assumptions!$C$23)</f>
        <v>154382.881057269</v>
      </c>
      <c r="L29" s="58" t="n">
        <f aca="false">L28/(1+Assumptions!$C$23)</f>
        <v>186888.246696035</v>
      </c>
      <c r="M29" s="58" t="n">
        <f aca="false">M28/(1+Assumptions!$C$23)</f>
        <v>222529.821453466</v>
      </c>
      <c r="N29" s="58" t="n">
        <f aca="false">N28/(1+Assumptions!$C$23)</f>
        <v>237689.604980149</v>
      </c>
      <c r="O29" s="58" t="n">
        <f aca="false">O28/(1+Assumptions!$C$23)</f>
        <v>226026.92695649</v>
      </c>
      <c r="P29" s="58" t="n">
        <f aca="false">P28/(1+Assumptions!$C$23)</f>
        <v>211803.210334822</v>
      </c>
      <c r="Q29" s="58" t="n">
        <f aca="false">Q28/(1+Assumptions!$C$23)</f>
        <v>193979.775968776</v>
      </c>
      <c r="R29" s="58" t="n">
        <f aca="false">R28/(1+Assumptions!$C$23)</f>
        <v>180761.573787584</v>
      </c>
      <c r="S29" s="58" t="n">
        <f aca="false">S28/(1+Assumptions!$C$23)</f>
        <v>184214.478203078</v>
      </c>
      <c r="T29" s="58" t="n">
        <f aca="false">T28/(1+Assumptions!$C$23)</f>
        <v>201248.007888934</v>
      </c>
      <c r="U29" s="58" t="n">
        <f aca="false">U28/(1+Assumptions!$C$23)</f>
        <v>232568.455852483</v>
      </c>
      <c r="V29" s="58" t="n">
        <f aca="false">V28/(1+Assumptions!$C$23)</f>
        <v>257023.266171134</v>
      </c>
      <c r="W29" s="58" t="n">
        <f aca="false">W28/(1+Assumptions!$C$23)</f>
        <v>270246.299089503</v>
      </c>
      <c r="X29" s="58" t="n">
        <f aca="false">X28/(1+Assumptions!$C$23)</f>
        <v>273290.067066278</v>
      </c>
      <c r="Y29" s="58" t="n">
        <f aca="false">Y28/(1+Assumptions!$C$23)</f>
        <v>273208.371128199</v>
      </c>
      <c r="Z29" s="58" t="n">
        <f aca="false">Z28/(1+Assumptions!$C$23)</f>
        <v>273957.311507359</v>
      </c>
      <c r="AA29" s="58" t="n">
        <f aca="false">AA28/(1+Assumptions!$C$23)</f>
        <v>269316.378674896</v>
      </c>
      <c r="AB29" s="58" t="n">
        <f aca="false">AB28/(1+Assumptions!$C$23)</f>
        <v>261474.843192682</v>
      </c>
    </row>
    <row r="30" customFormat="false" ht="15" hidden="false" customHeight="false" outlineLevel="0" collapsed="false">
      <c r="A30" s="27" t="s">
        <v>758</v>
      </c>
      <c r="B30" s="56"/>
      <c r="C30" s="57" t="n">
        <f aca="false">SUM(E30:P30)</f>
        <v>285010.244979517</v>
      </c>
      <c r="D30" s="57" t="n">
        <f aca="false">SUM(Q30:AB30)</f>
        <v>387623.991851672</v>
      </c>
      <c r="E30" s="70" t="n">
        <f aca="false">E28-E29</f>
        <v>21549.6574889868</v>
      </c>
      <c r="F30" s="70" t="n">
        <f aca="false">F28-F29</f>
        <v>19574.2304405286</v>
      </c>
      <c r="G30" s="70" t="n">
        <f aca="false">G28-G29</f>
        <v>17453.0997356828</v>
      </c>
      <c r="H30" s="70" t="n">
        <f aca="false">H28-H29</f>
        <v>19340.293876652</v>
      </c>
      <c r="I30" s="70" t="n">
        <f aca="false">I28-I29</f>
        <v>19033.7475330397</v>
      </c>
      <c r="J30" s="70" t="n">
        <f aca="false">J28-J29</f>
        <v>20750.9225550661</v>
      </c>
      <c r="K30" s="70" t="n">
        <f aca="false">K28-K29</f>
        <v>20841.6889427313</v>
      </c>
      <c r="L30" s="70" t="n">
        <f aca="false">L28-L29</f>
        <v>25229.9133039648</v>
      </c>
      <c r="M30" s="70" t="n">
        <f aca="false">M28-M29</f>
        <v>30041.525896218</v>
      </c>
      <c r="N30" s="70" t="n">
        <f aca="false">N28-N29</f>
        <v>32088.0966723201</v>
      </c>
      <c r="O30" s="70" t="n">
        <f aca="false">O28-O29</f>
        <v>30513.6351391262</v>
      </c>
      <c r="P30" s="70" t="n">
        <f aca="false">P28-P29</f>
        <v>28593.433395201</v>
      </c>
      <c r="Q30" s="70" t="n">
        <f aca="false">Q28-Q29</f>
        <v>26187.2697557848</v>
      </c>
      <c r="R30" s="70" t="n">
        <f aca="false">R28-R29</f>
        <v>24402.8124613239</v>
      </c>
      <c r="S30" s="70" t="n">
        <f aca="false">S28-S29</f>
        <v>24868.9545574155</v>
      </c>
      <c r="T30" s="70" t="n">
        <f aca="false">T28-T29</f>
        <v>27168.4810650061</v>
      </c>
      <c r="U30" s="70" t="n">
        <f aca="false">U28-U29</f>
        <v>31396.7415400852</v>
      </c>
      <c r="V30" s="70" t="n">
        <f aca="false">V28-V29</f>
        <v>34698.1409331031</v>
      </c>
      <c r="W30" s="70" t="n">
        <f aca="false">W28-W29</f>
        <v>36483.2503770829</v>
      </c>
      <c r="X30" s="70" t="n">
        <f aca="false">X28-X29</f>
        <v>36894.1590539475</v>
      </c>
      <c r="Y30" s="70" t="n">
        <f aca="false">Y28-Y29</f>
        <v>36883.1301023069</v>
      </c>
      <c r="Z30" s="70" t="n">
        <f aca="false">Z28-Z29</f>
        <v>36984.2370534934</v>
      </c>
      <c r="AA30" s="70" t="n">
        <f aca="false">AA28-AA29</f>
        <v>36357.7111211109</v>
      </c>
      <c r="AB30" s="70" t="n">
        <f aca="false">AB28-AB29</f>
        <v>35299.1038310121</v>
      </c>
    </row>
    <row r="31" customFormat="false" ht="15" hidden="false" customHeight="false" outlineLevel="0" collapsed="false">
      <c r="A31" s="27" t="s">
        <v>844</v>
      </c>
      <c r="B31" s="56" t="s">
        <v>766</v>
      </c>
      <c r="C31" s="57" t="n">
        <f aca="false">P31</f>
        <v>163623.11183293</v>
      </c>
      <c r="D31" s="57" t="n">
        <f aca="false">AB31</f>
        <v>197342.703510988</v>
      </c>
      <c r="E31" s="58" t="n">
        <f aca="false">Inputs_Actuals!$C$124+E16-E29</f>
        <v>120956.087488987</v>
      </c>
      <c r="F31" s="70" t="n">
        <f aca="false">E31+F16-F29</f>
        <v>100405.787929515</v>
      </c>
      <c r="G31" s="70" t="n">
        <f aca="false">F31+G16-G29</f>
        <v>113372.967665198</v>
      </c>
      <c r="H31" s="70" t="n">
        <f aca="false">G31+H16-H29</f>
        <v>121215.48154185</v>
      </c>
      <c r="I31" s="70" t="n">
        <f aca="false">H31+I16-I29</f>
        <v>117492.30907489</v>
      </c>
      <c r="J31" s="70" t="n">
        <f aca="false">I31+J16-J29</f>
        <v>103230.271629956</v>
      </c>
      <c r="K31" s="70" t="n">
        <f aca="false">J31+K16-K29</f>
        <v>134114.390572687</v>
      </c>
      <c r="L31" s="70" t="n">
        <f aca="false">K31+L16-L29</f>
        <v>176176.543876652</v>
      </c>
      <c r="M31" s="70" t="n">
        <f aca="false">L31+M16-M29</f>
        <v>192726.286977434</v>
      </c>
      <c r="N31" s="70" t="n">
        <f aca="false">M31+N16-N29</f>
        <v>184633.738035777</v>
      </c>
      <c r="O31" s="70" t="n">
        <f aca="false">N31+O16-O29</f>
        <v>176128.223480022</v>
      </c>
      <c r="P31" s="70" t="n">
        <f aca="false">O31+P16-P29</f>
        <v>163623.11183293</v>
      </c>
      <c r="Q31" s="70" t="n">
        <f aca="false">P31+Q16-Q29</f>
        <v>145742.064597854</v>
      </c>
      <c r="R31" s="70" t="n">
        <f aca="false">Q31+R16-R29</f>
        <v>136212.000214521</v>
      </c>
      <c r="S31" s="70" t="n">
        <f aca="false">R31+S16-S29</f>
        <v>146337.330096196</v>
      </c>
      <c r="T31" s="70" t="n">
        <f aca="false">S31+T16-T29</f>
        <v>173921.119108276</v>
      </c>
      <c r="U31" s="70" t="n">
        <f aca="false">T31+U16-U29</f>
        <v>197000.109547477</v>
      </c>
      <c r="V31" s="70" t="n">
        <f aca="false">U31+V16-V29</f>
        <v>211394.652553438</v>
      </c>
      <c r="W31" s="70" t="n">
        <f aca="false">V31+W16-W29</f>
        <v>216676.739479807</v>
      </c>
      <c r="X31" s="70" t="n">
        <f aca="false">W31+X16-X29</f>
        <v>214498.59475745</v>
      </c>
      <c r="Y31" s="70" t="n">
        <f aca="false">X31+Y16-Y29</f>
        <v>212327.829553369</v>
      </c>
      <c r="Z31" s="70" t="n">
        <f aca="false">Y31+Z16-Z29</f>
        <v>212945.009673222</v>
      </c>
      <c r="AA31" s="70" t="n">
        <f aca="false">Z31+AA16-AA29</f>
        <v>212485.096725636</v>
      </c>
      <c r="AB31" s="70" t="n">
        <f aca="false">AA31+AB16-AB29</f>
        <v>197342.703510988</v>
      </c>
    </row>
    <row r="32" customFormat="false" ht="15" hidden="false" customHeight="false" outlineLevel="0" collapsed="false">
      <c r="A32" s="27" t="s">
        <v>845</v>
      </c>
      <c r="B32" s="56"/>
      <c r="C32" s="57" t="n">
        <f aca="false">P32</f>
        <v>163623.11183293</v>
      </c>
      <c r="D32" s="57" t="n">
        <f aca="false">AB32</f>
        <v>197342.703510988</v>
      </c>
      <c r="E32" s="70" t="n">
        <f aca="false">MAX(0,E31)</f>
        <v>120956.087488987</v>
      </c>
      <c r="F32" s="70" t="n">
        <f aca="false">MAX(0,F31)</f>
        <v>100405.787929515</v>
      </c>
      <c r="G32" s="70" t="n">
        <f aca="false">MAX(0,G31)</f>
        <v>113372.967665198</v>
      </c>
      <c r="H32" s="70" t="n">
        <f aca="false">MAX(0,H31)</f>
        <v>121215.48154185</v>
      </c>
      <c r="I32" s="70" t="n">
        <f aca="false">MAX(0,I31)</f>
        <v>117492.30907489</v>
      </c>
      <c r="J32" s="70" t="n">
        <f aca="false">MAX(0,J31)</f>
        <v>103230.271629956</v>
      </c>
      <c r="K32" s="70" t="n">
        <f aca="false">MAX(0,K31)</f>
        <v>134114.390572687</v>
      </c>
      <c r="L32" s="70" t="n">
        <f aca="false">MAX(0,L31)</f>
        <v>176176.543876652</v>
      </c>
      <c r="M32" s="70" t="n">
        <f aca="false">MAX(0,M31)</f>
        <v>192726.286977434</v>
      </c>
      <c r="N32" s="70" t="n">
        <f aca="false">MAX(0,N31)</f>
        <v>184633.738035777</v>
      </c>
      <c r="O32" s="70" t="n">
        <f aca="false">MAX(0,O31)</f>
        <v>176128.223480022</v>
      </c>
      <c r="P32" s="70" t="n">
        <f aca="false">MAX(0,P31)</f>
        <v>163623.11183293</v>
      </c>
      <c r="Q32" s="70" t="n">
        <f aca="false">MAX(0,Q31)</f>
        <v>145742.064597854</v>
      </c>
      <c r="R32" s="70" t="n">
        <f aca="false">MAX(0,R31)</f>
        <v>136212.000214521</v>
      </c>
      <c r="S32" s="70" t="n">
        <f aca="false">MAX(0,S31)</f>
        <v>146337.330096196</v>
      </c>
      <c r="T32" s="70" t="n">
        <f aca="false">MAX(0,T31)</f>
        <v>173921.119108276</v>
      </c>
      <c r="U32" s="70" t="n">
        <f aca="false">MAX(0,U31)</f>
        <v>197000.109547477</v>
      </c>
      <c r="V32" s="70" t="n">
        <f aca="false">MAX(0,V31)</f>
        <v>211394.652553438</v>
      </c>
      <c r="W32" s="70" t="n">
        <f aca="false">MAX(0,W31)</f>
        <v>216676.739479807</v>
      </c>
      <c r="X32" s="70" t="n">
        <f aca="false">MAX(0,X31)</f>
        <v>214498.59475745</v>
      </c>
      <c r="Y32" s="70" t="n">
        <f aca="false">MAX(0,Y31)</f>
        <v>212327.829553369</v>
      </c>
      <c r="Z32" s="70" t="n">
        <f aca="false">MAX(0,Z31)</f>
        <v>212945.009673222</v>
      </c>
      <c r="AA32" s="70" t="n">
        <f aca="false">MAX(0,AA31)</f>
        <v>212485.096725636</v>
      </c>
      <c r="AB32" s="70" t="n">
        <f aca="false">MAX(0,AB31)</f>
        <v>197342.703510988</v>
      </c>
    </row>
    <row r="33" customFormat="false" ht="15" hidden="false" customHeight="false" outlineLevel="0" collapsed="false">
      <c r="A33" s="27" t="s">
        <v>846</v>
      </c>
      <c r="B33" s="56"/>
      <c r="C33" s="57" t="n">
        <f aca="false">P33</f>
        <v>0</v>
      </c>
      <c r="D33" s="57" t="n">
        <f aca="false">AB33</f>
        <v>0</v>
      </c>
      <c r="E33" s="70" t="n">
        <f aca="false">MAX(0,-E31)</f>
        <v>0</v>
      </c>
      <c r="F33" s="70" t="n">
        <f aca="false">MAX(0,-F31)</f>
        <v>0</v>
      </c>
      <c r="G33" s="70" t="n">
        <f aca="false">MAX(0,-G31)</f>
        <v>0</v>
      </c>
      <c r="H33" s="70" t="n">
        <f aca="false">MAX(0,-H31)</f>
        <v>0</v>
      </c>
      <c r="I33" s="70" t="n">
        <f aca="false">MAX(0,-I31)</f>
        <v>0</v>
      </c>
      <c r="J33" s="70" t="n">
        <f aca="false">MAX(0,-J31)</f>
        <v>0</v>
      </c>
      <c r="K33" s="70" t="n">
        <f aca="false">MAX(0,-K31)</f>
        <v>0</v>
      </c>
      <c r="L33" s="70" t="n">
        <f aca="false">MAX(0,-L31)</f>
        <v>0</v>
      </c>
      <c r="M33" s="70" t="n">
        <f aca="false">MAX(0,-M31)</f>
        <v>0</v>
      </c>
      <c r="N33" s="70" t="n">
        <f aca="false">MAX(0,-N31)</f>
        <v>0</v>
      </c>
      <c r="O33" s="70" t="n">
        <f aca="false">MAX(0,-O31)</f>
        <v>0</v>
      </c>
      <c r="P33" s="70" t="n">
        <f aca="false">MAX(0,-P31)</f>
        <v>0</v>
      </c>
      <c r="Q33" s="70" t="n">
        <f aca="false">MAX(0,-Q31)</f>
        <v>0</v>
      </c>
      <c r="R33" s="70" t="n">
        <f aca="false">MAX(0,-R31)</f>
        <v>0</v>
      </c>
      <c r="S33" s="70" t="n">
        <f aca="false">MAX(0,-S31)</f>
        <v>0</v>
      </c>
      <c r="T33" s="70" t="n">
        <f aca="false">MAX(0,-T31)</f>
        <v>0</v>
      </c>
      <c r="U33" s="70" t="n">
        <f aca="false">MAX(0,-U31)</f>
        <v>0</v>
      </c>
      <c r="V33" s="70" t="n">
        <f aca="false">MAX(0,-V31)</f>
        <v>0</v>
      </c>
      <c r="W33" s="70" t="n">
        <f aca="false">MAX(0,-W31)</f>
        <v>0</v>
      </c>
      <c r="X33" s="70" t="n">
        <f aca="false">MAX(0,-X31)</f>
        <v>0</v>
      </c>
      <c r="Y33" s="70" t="n">
        <f aca="false">MAX(0,-Y31)</f>
        <v>0</v>
      </c>
      <c r="Z33" s="70" t="n">
        <f aca="false">MAX(0,-Z31)</f>
        <v>0</v>
      </c>
      <c r="AA33" s="70" t="n">
        <f aca="false">MAX(0,-AA31)</f>
        <v>0</v>
      </c>
      <c r="AB33" s="70" t="n">
        <f aca="false">MAX(0,-AB31)</f>
        <v>0</v>
      </c>
    </row>
    <row r="34" customFormat="false" ht="15" hidden="false" customHeight="false" outlineLevel="0" collapsed="false">
      <c r="A34" s="27" t="s">
        <v>847</v>
      </c>
      <c r="B34" s="56" t="s">
        <v>762</v>
      </c>
      <c r="C34" s="57" t="n">
        <f aca="false">SUM(E34:P34)</f>
        <v>1567482.44748546</v>
      </c>
      <c r="D34" s="57" t="n">
        <f aca="false">SUM(Q34:AB34)</f>
        <v>2174641.92314426</v>
      </c>
      <c r="E34" s="58" t="n">
        <f aca="false">IF(E$5="A",Inputs_Actuals!E75,Inputs_Actuals!$C$121+E26-E26*MIN(1,Assumptions!$F$124/30))</f>
        <v>106268.01</v>
      </c>
      <c r="F34" s="58" t="n">
        <f aca="false">IF(F$5="A",Inputs_Actuals!F75,E35+F26-F26*MIN(1,Assumptions!$F$124/30))</f>
        <v>93670.97</v>
      </c>
      <c r="G34" s="58" t="n">
        <f aca="false">IF(G$5="A",Inputs_Actuals!G75,F35+G26-G26*MIN(1,Assumptions!$F$124/30))</f>
        <v>96455.66</v>
      </c>
      <c r="H34" s="58" t="n">
        <f aca="false">IF(H$5="A",Inputs_Actuals!H75,G35+H26-H26*MIN(1,Assumptions!$F$124/30))</f>
        <v>108853.19</v>
      </c>
      <c r="I34" s="58" t="n">
        <f aca="false">IF(I$5="A",Inputs_Actuals!I75,H35+I26-I26*MIN(1,Assumptions!$F$124/30))</f>
        <v>102307.45</v>
      </c>
      <c r="J34" s="58" t="n">
        <f aca="false">IF(J$5="A",Inputs_Actuals!J75,I35+J26-J26*MIN(1,Assumptions!$F$124/30))</f>
        <v>105686.06</v>
      </c>
      <c r="K34" s="58" t="n">
        <f aca="false">IF(K$5="A",Inputs_Actuals!K75,J35+K26-K26*MIN(1,Assumptions!$F$124/30))</f>
        <v>125565.63</v>
      </c>
      <c r="L34" s="58" t="n">
        <f aca="false">IF(L$5="A",Inputs_Actuals!L75,K35+L26-L26*MIN(1,Assumptions!$F$124/30))</f>
        <v>144622.44</v>
      </c>
      <c r="M34" s="58" t="n">
        <f aca="false">IF(M$5="A",Inputs_Actuals!M75,L35+M26-M26*MIN(1,Assumptions!$F$124/30))</f>
        <v>185493.448233123</v>
      </c>
      <c r="N34" s="58" t="n">
        <f aca="false">IF(N$5="A",Inputs_Actuals!N75,M35+N26-N26*MIN(1,Assumptions!$F$124/30))</f>
        <v>175500.250218207</v>
      </c>
      <c r="O34" s="58" t="n">
        <f aca="false">IF(O$5="A",Inputs_Actuals!O75,N35+O26-O26*MIN(1,Assumptions!$F$124/30))</f>
        <v>167082.275281234</v>
      </c>
      <c r="P34" s="58" t="n">
        <f aca="false">IF(P$5="A",Inputs_Actuals!P75,O35+P26-P26*MIN(1,Assumptions!$F$124/30))</f>
        <v>155977.063752898</v>
      </c>
      <c r="Q34" s="58" t="n">
        <f aca="false">IF(Q$5="A",Inputs_Actuals!Q75,P35+Q26-Q26*MIN(1,Assumptions!$F$124/30))</f>
        <v>140259.901937569</v>
      </c>
      <c r="R34" s="58" t="n">
        <f aca="false">IF(R$5="A",Inputs_Actuals!R75,Q35+R26-R26*MIN(1,Assumptions!$F$124/30))</f>
        <v>129076.530788197</v>
      </c>
      <c r="S34" s="58" t="n">
        <f aca="false">IF(S$5="A",Inputs_Actuals!S75,R35+S26-S26*MIN(1,Assumptions!$F$124/30))</f>
        <v>136628.2565008</v>
      </c>
      <c r="T34" s="58" t="n">
        <f aca="false">IF(T$5="A",Inputs_Actuals!T75,S35+T26-T26*MIN(1,Assumptions!$F$124/30))</f>
        <v>159640.665999318</v>
      </c>
      <c r="U34" s="58" t="n">
        <f aca="false">IF(U$5="A",Inputs_Actuals!U75,T35+U26-U26*MIN(1,Assumptions!$F$124/30))</f>
        <v>183001.312329151</v>
      </c>
      <c r="V34" s="58" t="n">
        <f aca="false">IF(V$5="A",Inputs_Actuals!V75,U35+V26-V26*MIN(1,Assumptions!$F$124/30))</f>
        <v>199147.892398537</v>
      </c>
      <c r="W34" s="58" t="n">
        <f aca="false">IF(W$5="A",Inputs_Actuals!W75,V35+W26-W26*MIN(1,Assumptions!$F$124/30))</f>
        <v>206761.179918608</v>
      </c>
      <c r="X34" s="58" t="n">
        <f aca="false">IF(X$5="A",Inputs_Actuals!X75,W35+X26-X26*MIN(1,Assumptions!$F$124/30))</f>
        <v>206604.03557242</v>
      </c>
      <c r="Y34" s="58" t="n">
        <f aca="false">IF(Y$5="A",Inputs_Actuals!Y75,X35+Y26-Y26*MIN(1,Assumptions!$F$124/30))</f>
        <v>204611.962000323</v>
      </c>
      <c r="Z34" s="58" t="n">
        <f aca="false">IF(Z$5="A",Inputs_Actuals!Z75,Y35+Z26-Z26*MIN(1,Assumptions!$F$124/30))</f>
        <v>206653.222925265</v>
      </c>
      <c r="AA34" s="58" t="n">
        <f aca="false">IF(AA$5="A",Inputs_Actuals!AA75,Z35+AA26-AA26*MIN(1,Assumptions!$F$124/30))</f>
        <v>206561.619357186</v>
      </c>
      <c r="AB34" s="58" t="n">
        <f aca="false">IF(AB$5="A",Inputs_Actuals!AB75,AA35+AB26-AB26*MIN(1,Assumptions!$F$124/30))</f>
        <v>195695.34341689</v>
      </c>
    </row>
    <row r="35" customFormat="false" ht="15" hidden="false" customHeight="false" outlineLevel="0" collapsed="false">
      <c r="A35" s="27" t="s">
        <v>848</v>
      </c>
      <c r="B35" s="56"/>
      <c r="C35" s="57" t="n">
        <f aca="false">P35</f>
        <v>50642.4381938462</v>
      </c>
      <c r="D35" s="57" t="n">
        <f aca="false">AB35</f>
        <v>63536.9173485044</v>
      </c>
      <c r="E35" s="58" t="n">
        <f aca="false">Inputs_Actuals!$C$121+E26-E34</f>
        <v>31210.71</v>
      </c>
      <c r="F35" s="70" t="n">
        <f aca="false">E35+F26-F34</f>
        <v>28779.27</v>
      </c>
      <c r="G35" s="70" t="n">
        <f aca="false">F35+G26-G34</f>
        <v>31546.93</v>
      </c>
      <c r="H35" s="70" t="n">
        <f aca="false">G35+H26-H34</f>
        <v>36199.47</v>
      </c>
      <c r="I35" s="70" t="n">
        <f aca="false">H35+I26-I34</f>
        <v>40744.49</v>
      </c>
      <c r="J35" s="70" t="n">
        <f aca="false">I35+J26-J34</f>
        <v>36655.89</v>
      </c>
      <c r="K35" s="70" t="n">
        <f aca="false">J35+K26-K34</f>
        <v>41902.83</v>
      </c>
      <c r="L35" s="70" t="n">
        <f aca="false">K35+L26-L34</f>
        <v>65284.55</v>
      </c>
      <c r="M35" s="70" t="n">
        <f aca="false">L35+M26-M34</f>
        <v>60104.4491165614</v>
      </c>
      <c r="N35" s="70" t="n">
        <f aca="false">M35+N26-N34</f>
        <v>57697.900550823</v>
      </c>
      <c r="O35" s="70" t="n">
        <f aca="false">N35+O26-O34</f>
        <v>54692.1873652056</v>
      </c>
      <c r="P35" s="70" t="n">
        <f aca="false">O35+P26-P34</f>
        <v>50642.4381938462</v>
      </c>
      <c r="Q35" s="70" t="n">
        <f aca="false">P35+Q26-Q34</f>
        <v>44808.7318718612</v>
      </c>
      <c r="R35" s="70" t="n">
        <f aca="false">Q35+R26-R34</f>
        <v>42133.8994581678</v>
      </c>
      <c r="S35" s="70" t="n">
        <f aca="false">R35+S26-S34</f>
        <v>47247.1785213159</v>
      </c>
      <c r="T35" s="70" t="n">
        <f aca="false">S35+T26-T34</f>
        <v>56196.7437390009</v>
      </c>
      <c r="U35" s="70" t="n">
        <f aca="false">T35+U26-U34</f>
        <v>63402.2842950749</v>
      </c>
      <c r="V35" s="70" t="n">
        <f aca="false">U35+V26-V34</f>
        <v>67872.804051731</v>
      </c>
      <c r="W35" s="70" t="n">
        <f aca="false">V35+W26-W34</f>
        <v>69444.1879334386</v>
      </c>
      <c r="X35" s="70" t="n">
        <f aca="false">W35+X26-X34</f>
        <v>68579.9238194907</v>
      </c>
      <c r="Y35" s="70" t="n">
        <f aca="false">X35+Y26-Y34</f>
        <v>68016.0190904161</v>
      </c>
      <c r="Z35" s="70" t="n">
        <f aca="false">Y35+Z26-Z34</f>
        <v>69318.6019174242</v>
      </c>
      <c r="AA35" s="70" t="n">
        <f aca="false">Z35+AA26-AA34</f>
        <v>68621.508719881</v>
      </c>
      <c r="AB35" s="70" t="n">
        <f aca="false">AA35+AB26-AB34</f>
        <v>63536.9173485044</v>
      </c>
    </row>
    <row r="36" customFormat="false" ht="15" hidden="false" customHeight="false" outlineLevel="0" collapsed="false">
      <c r="A36" s="27" t="s">
        <v>849</v>
      </c>
      <c r="B36" s="56" t="s">
        <v>850</v>
      </c>
      <c r="C36" s="57" t="n">
        <f aca="false">SUM(E36:P36)</f>
        <v>807859.67</v>
      </c>
      <c r="D36" s="57" t="n">
        <f aca="false">SUM(Q36:AB36)</f>
        <v>1046336.9886176</v>
      </c>
      <c r="E36" s="58" t="n">
        <f aca="false">IF(E$5="A",Inputs_Actuals!E76,Inputs_Actuals!$C$122+E27-(E27*MIN(1,Assumptions!$F$123/30)+0*MIN(1,MAX(0,(Assumptions!$F$123-30)/30))+0*MIN(1,MAX(0,(Assumptions!$F$123-60)/30))))</f>
        <v>14200.01</v>
      </c>
      <c r="F36" s="58" t="n">
        <f aca="false">IF(F$5="A",Inputs_Actuals!F76,E37+F27-(F27*MIN(1,Assumptions!$F$123/30)+E27*MIN(1,MAX(0,(Assumptions!$F$123-30)/30))+0*MIN(1,MAX(0,(Assumptions!$F$123-60)/30))))</f>
        <v>135355.36</v>
      </c>
      <c r="G36" s="58" t="n">
        <f aca="false">IF(G$5="A",Inputs_Actuals!G76,F37+G27-(G27*MIN(1,Assumptions!$F$123/30)+F27*MIN(1,MAX(0,(Assumptions!$F$123-30)/30))+E27*MIN(1,MAX(0,(Assumptions!$F$123-60)/30))))</f>
        <v>72516.9</v>
      </c>
      <c r="H36" s="58" t="n">
        <f aca="false">IF(H$5="A",Inputs_Actuals!H76,G37+H27-(H27*MIN(1,Assumptions!$F$123/30)+G27*MIN(1,MAX(0,(Assumptions!$F$123-30)/30))+F27*MIN(1,MAX(0,(Assumptions!$F$123-60)/30))))</f>
        <v>75030.21</v>
      </c>
      <c r="I36" s="58" t="n">
        <f aca="false">IF(I$5="A",Inputs_Actuals!I76,H37+I27-(I27*MIN(1,Assumptions!$F$123/30)+H27*MIN(1,MAX(0,(Assumptions!$F$123-30)/30))+G27*MIN(1,MAX(0,(Assumptions!$F$123-60)/30))))</f>
        <v>58661.54</v>
      </c>
      <c r="J36" s="58" t="n">
        <f aca="false">IF(J$5="A",Inputs_Actuals!J76,I37+J27-(J27*MIN(1,Assumptions!$F$123/30)+I27*MIN(1,MAX(0,(Assumptions!$F$123-30)/30))+H27*MIN(1,MAX(0,(Assumptions!$F$123-60)/30))))</f>
        <v>42614.36</v>
      </c>
      <c r="K36" s="58" t="n">
        <f aca="false">IF(K$5="A",Inputs_Actuals!K76,J37+K27-(K27*MIN(1,Assumptions!$F$123/30)+J27*MIN(1,MAX(0,(Assumptions!$F$123-30)/30))+I27*MIN(1,MAX(0,(Assumptions!$F$123-60)/30))))</f>
        <v>41057.29</v>
      </c>
      <c r="L36" s="58" t="n">
        <f aca="false">IF(L$5="A",Inputs_Actuals!L76,K37+L27-(L27*MIN(1,Assumptions!$F$123/30)+K27*MIN(1,MAX(0,(Assumptions!$F$123-30)/30))+J27*MIN(1,MAX(0,(Assumptions!$F$123-60)/30))))</f>
        <v>91094.95</v>
      </c>
      <c r="M36" s="58" t="n">
        <f aca="false">IF(M$5="A",Inputs_Actuals!M76,L37+M27-(M27*MIN(1,Assumptions!$F$123/30)+L27*MIN(1,MAX(0,(Assumptions!$F$123-30)/30))+K27*MIN(1,MAX(0,(Assumptions!$F$123-60)/30))))</f>
        <v>64273.0500000001</v>
      </c>
      <c r="N36" s="58" t="n">
        <f aca="false">IF(N$5="A",Inputs_Actuals!N76,M37+N27-(N27*MIN(1,Assumptions!$F$123/30)+M27*MIN(1,MAX(0,(Assumptions!$F$123-30)/30))+L27*MIN(1,MAX(0,(Assumptions!$F$123-60)/30))))</f>
        <v>44114</v>
      </c>
      <c r="O36" s="58" t="n">
        <f aca="false">IF(O$5="A",Inputs_Actuals!O76,N37+O27-(O27*MIN(1,Assumptions!$F$123/30)+N27*MIN(1,MAX(0,(Assumptions!$F$123-30)/30))+M27*MIN(1,MAX(0,(Assumptions!$F$123-60)/30))))</f>
        <v>72258</v>
      </c>
      <c r="P36" s="58" t="n">
        <f aca="false">IF(P$5="A",Inputs_Actuals!P76,O37+P27-(P27*MIN(1,Assumptions!$F$123/30)+O27*MIN(1,MAX(0,(Assumptions!$F$123-30)/30))+N27*MIN(1,MAX(0,(Assumptions!$F$123-60)/30))))</f>
        <v>96684</v>
      </c>
      <c r="Q36" s="58" t="n">
        <f aca="false">IF(Q$5="A",Inputs_Actuals!Q76,P37+Q27-(Q27*MIN(1,Assumptions!$F$123/30)+P27*MIN(1,MAX(0,(Assumptions!$F$123-30)/30))+O27*MIN(1,MAX(0,(Assumptions!$F$123-60)/30))))</f>
        <v>92464</v>
      </c>
      <c r="R36" s="58" t="n">
        <f aca="false">IF(R$5="A",Inputs_Actuals!R76,Q37+R27-(R27*MIN(1,Assumptions!$F$123/30)+Q27*MIN(1,MAX(0,(Assumptions!$F$123-30)/30))+P27*MIN(1,MAX(0,(Assumptions!$F$123-60)/30))))</f>
        <v>88469.3291484843</v>
      </c>
      <c r="S36" s="58" t="n">
        <f aca="false">IF(S$5="A",Inputs_Actuals!S76,R37+S27-(S27*MIN(1,Assumptions!$F$123/30)+R27*MIN(1,MAX(0,(Assumptions!$F$123-30)/30))+Q27*MIN(1,MAX(0,(Assumptions!$F$123-60)/30))))</f>
        <v>85740.850108977</v>
      </c>
      <c r="T36" s="58" t="n">
        <f aca="false">IF(T$5="A",Inputs_Actuals!T76,S37+T27-(T27*MIN(1,Assumptions!$F$123/30)+S27*MIN(1,MAX(0,(Assumptions!$F$123-30)/30))+R27*MIN(1,MAX(0,(Assumptions!$F$123-60)/30))))</f>
        <v>78762.6878744049</v>
      </c>
      <c r="U36" s="58" t="n">
        <f aca="false">IF(U$5="A",Inputs_Actuals!U76,T37+U27-(U27*MIN(1,Assumptions!$F$123/30)+T27*MIN(1,MAX(0,(Assumptions!$F$123-30)/30))+S27*MIN(1,MAX(0,(Assumptions!$F$123-60)/30))))</f>
        <v>67341.8971965454</v>
      </c>
      <c r="V36" s="58" t="n">
        <f aca="false">IF(V$5="A",Inputs_Actuals!V76,U37+V27-(V27*MIN(1,Assumptions!$F$123/30)+U27*MIN(1,MAX(0,(Assumptions!$F$123-30)/30))+T27*MIN(1,MAX(0,(Assumptions!$F$123-60)/30))))</f>
        <v>59826.2577369378</v>
      </c>
      <c r="W36" s="58" t="n">
        <f aca="false">IF(W$5="A",Inputs_Actuals!W76,V37+W27-(W27*MIN(1,Assumptions!$F$123/30)+V27*MIN(1,MAX(0,(Assumptions!$F$123-30)/30))+U27*MIN(1,MAX(0,(Assumptions!$F$123-60)/30))))</f>
        <v>73758.3445073431</v>
      </c>
      <c r="X36" s="58" t="n">
        <f aca="false">IF(X$5="A",Inputs_Actuals!X76,W37+X27-(X27*MIN(1,Assumptions!$F$123/30)+W27*MIN(1,MAX(0,(Assumptions!$F$123-30)/30))+V27*MIN(1,MAX(0,(Assumptions!$F$123-60)/30))))</f>
        <v>88102.9949490439</v>
      </c>
      <c r="Y36" s="58" t="n">
        <f aca="false">IF(Y$5="A",Inputs_Actuals!Y76,X37+Y27-(Y27*MIN(1,Assumptions!$F$123/30)+X27*MIN(1,MAX(0,(Assumptions!$F$123-30)/30))+W27*MIN(1,MAX(0,(Assumptions!$F$123-60)/30))))</f>
        <v>98396.9856662696</v>
      </c>
      <c r="Z36" s="58" t="n">
        <f aca="false">IF(Z$5="A",Inputs_Actuals!Z76,Y37+Z27-(Z27*MIN(1,Assumptions!$F$123/30)+Y27*MIN(1,MAX(0,(Assumptions!$F$123-30)/30))+X27*MIN(1,MAX(0,(Assumptions!$F$123-60)/30))))</f>
        <v>104444.454661753</v>
      </c>
      <c r="AA36" s="58" t="n">
        <f aca="false">IF(AA$5="A",Inputs_Actuals!AA76,Z37+AA27-(AA27*MIN(1,Assumptions!$F$123/30)+Z27*MIN(1,MAX(0,(Assumptions!$F$123-30)/30))+Y27*MIN(1,MAX(0,(Assumptions!$F$123-60)/30))))</f>
        <v>106043.443959258</v>
      </c>
      <c r="AB36" s="58" t="n">
        <f aca="false">IF(AB$5="A",Inputs_Actuals!AB76,AA37+AB27-(AB27*MIN(1,Assumptions!$F$123/30)+AA27*MIN(1,MAX(0,(Assumptions!$F$123-30)/30))+Z27*MIN(1,MAX(0,(Assumptions!$F$123-60)/30))))</f>
        <v>102985.742808579</v>
      </c>
    </row>
    <row r="37" customFormat="false" ht="15" hidden="false" customHeight="false" outlineLevel="0" collapsed="false">
      <c r="A37" s="27" t="s">
        <v>851</v>
      </c>
      <c r="B37" s="56"/>
      <c r="C37" s="57" t="n">
        <f aca="false">P37</f>
        <v>180933.329148484</v>
      </c>
      <c r="D37" s="57" t="n">
        <f aca="false">AB37</f>
        <v>205972.758614545</v>
      </c>
      <c r="E37" s="58" t="n">
        <f aca="false">Inputs_Actuals!$C$122+E27-E36</f>
        <v>240218.66</v>
      </c>
      <c r="F37" s="70" t="n">
        <f aca="false">E37+F27-F36</f>
        <v>178192.3</v>
      </c>
      <c r="G37" s="70" t="n">
        <f aca="false">F37+G27-G36</f>
        <v>153187.4</v>
      </c>
      <c r="H37" s="70" t="n">
        <f aca="false">G37+H27-H36</f>
        <v>127253.19</v>
      </c>
      <c r="I37" s="70" t="n">
        <f aca="false">H37+I27-I36</f>
        <v>121763.65</v>
      </c>
      <c r="J37" s="70" t="n">
        <f aca="false">I37+J27-J36</f>
        <v>152013.29</v>
      </c>
      <c r="K37" s="70" t="n">
        <f aca="false">J37+K27-K36</f>
        <v>155368</v>
      </c>
      <c r="L37" s="70" t="n">
        <f aca="false">K37+L27-L36</f>
        <v>108387.05</v>
      </c>
      <c r="M37" s="70" t="n">
        <f aca="false">L37+M27-M36</f>
        <v>116372</v>
      </c>
      <c r="N37" s="70" t="n">
        <f aca="false">M37+N27-N36</f>
        <v>168942</v>
      </c>
      <c r="O37" s="70" t="n">
        <f aca="false">N37+O27-O36</f>
        <v>189148</v>
      </c>
      <c r="P37" s="70" t="n">
        <f aca="false">O37+P27-P36</f>
        <v>180933.329148484</v>
      </c>
      <c r="Q37" s="70" t="n">
        <f aca="false">P37+Q27-Q36</f>
        <v>174210.179257461</v>
      </c>
      <c r="R37" s="70" t="n">
        <f aca="false">Q37+R27-R36</f>
        <v>164503.537983382</v>
      </c>
      <c r="S37" s="70" t="n">
        <f aca="false">R37+S27-S36</f>
        <v>146104.58507095</v>
      </c>
      <c r="T37" s="70" t="n">
        <f aca="false">S37+T27-T36</f>
        <v>127168.154933483</v>
      </c>
      <c r="U37" s="70" t="n">
        <f aca="false">T37+U27-U36</f>
        <v>133584.602244281</v>
      </c>
      <c r="V37" s="70" t="n">
        <f aca="false">U37+V27-V36</f>
        <v>161861.339456387</v>
      </c>
      <c r="W37" s="70" t="n">
        <f aca="false">V37+W27-W36</f>
        <v>186499.980615314</v>
      </c>
      <c r="X37" s="70" t="n">
        <f aca="false">W37+X27-X36</f>
        <v>202841.440328023</v>
      </c>
      <c r="Y37" s="70" t="n">
        <f aca="false">X37+Y27-Y36</f>
        <v>210487.898621011</v>
      </c>
      <c r="Z37" s="70" t="n">
        <f aca="false">Y37+Z27-Z36</f>
        <v>209029.186767837</v>
      </c>
      <c r="AA37" s="70" t="n">
        <f aca="false">Z37+AA27-AA36</f>
        <v>202795.306444943</v>
      </c>
      <c r="AB37" s="70" t="n">
        <f aca="false">AA37+AB27-AB36</f>
        <v>205972.758614545</v>
      </c>
    </row>
    <row r="38" customFormat="false" ht="15" hidden="false" customHeight="false" outlineLevel="0" collapsed="false">
      <c r="A38" s="27" t="s">
        <v>852</v>
      </c>
      <c r="B38" s="56"/>
      <c r="C38" s="62" t="n">
        <f aca="false">P38</f>
        <v>58.656279394771</v>
      </c>
      <c r="D38" s="62" t="n">
        <f aca="false">AB38</f>
        <v>60.0001236085799</v>
      </c>
      <c r="E38" s="72" t="n">
        <f aca="false">IFERROR(E37/AVERAGE(E27:E27)*30,0)</f>
        <v>95.2152919259582</v>
      </c>
      <c r="F38" s="72" t="n">
        <f aca="false">IFERROR(F37/AVERAGE(E27:F27)*30,0)</f>
        <v>71.7475841520374</v>
      </c>
      <c r="G38" s="72" t="n">
        <f aca="false">IFERROR(G37/AVERAGE(E27:G27)*30,0)</f>
        <v>70.1521717007246</v>
      </c>
      <c r="H38" s="72" t="n">
        <f aca="false">IFERROR(H37/AVERAGE(F27:H27)*30,0)</f>
        <v>67.3943114212915</v>
      </c>
      <c r="I38" s="72" t="n">
        <f aca="false">IFERROR(I37/AVERAGE(G27:I27)*30,0)</f>
        <v>73.1654993991187</v>
      </c>
      <c r="J38" s="72" t="n">
        <f aca="false">IFERROR(J37/AVERAGE(H27:J27)*30,0)</f>
        <v>78.1193391270585</v>
      </c>
      <c r="K38" s="72" t="n">
        <f aca="false">IFERROR(K37/AVERAGE(I27:K27)*30,0)</f>
        <v>82.0374542382428</v>
      </c>
      <c r="L38" s="72" t="n">
        <f aca="false">IFERROR(L37/AVERAGE(J27:L27)*30,0)</f>
        <v>60.4426203606172</v>
      </c>
      <c r="M38" s="72" t="n">
        <f aca="false">IFERROR(M37/AVERAGE(K27:M27)*30,0)</f>
        <v>65.1400636879292</v>
      </c>
      <c r="N38" s="72" t="n">
        <f aca="false">IFERROR(N37/AVERAGE(L27:N27)*30,0)</f>
        <v>71.3651809852809</v>
      </c>
      <c r="O38" s="72" t="n">
        <f aca="false">IFERROR(O37/AVERAGE(M27:O27)*30,0)</f>
        <v>65.1221471580606</v>
      </c>
      <c r="P38" s="72" t="n">
        <f aca="false">IFERROR(P37/AVERAGE(N27:P27)*30,0)</f>
        <v>58.656279394771</v>
      </c>
      <c r="Q38" s="72" t="n">
        <f aca="false">IFERROR(Q37/AVERAGE(O27:Q27)*30,0)</f>
        <v>58.7942791342924</v>
      </c>
      <c r="R38" s="72" t="n">
        <f aca="false">IFERROR(R37/AVERAGE(P27:R27)*30,0)</f>
        <v>58.525321653515</v>
      </c>
      <c r="S38" s="72" t="n">
        <f aca="false">IFERROR(S37/AVERAGE(Q27:S27)*30,0)</f>
        <v>56.7162887903345</v>
      </c>
      <c r="T38" s="72" t="n">
        <f aca="false">IFERROR(T37/AVERAGE(R27:T27)*30,0)</f>
        <v>55.5775608352684</v>
      </c>
      <c r="U38" s="72" t="n">
        <f aca="false">IFERROR(U37/AVERAGE(S27:U27)*30,0)</f>
        <v>59.835881456373</v>
      </c>
      <c r="V38" s="72" t="n">
        <f aca="false">IFERROR(V37/AVERAGE(T27:V27)*30,0)</f>
        <v>65.7119330783809</v>
      </c>
      <c r="W38" s="72" t="n">
        <f aca="false">IFERROR(W37/AVERAGE(U27:W27)*30,0)</f>
        <v>64.4936074473992</v>
      </c>
      <c r="X38" s="72" t="n">
        <f aca="false">IFERROR(X37/AVERAGE(V27:X27)*30,0)</f>
        <v>62.7464471425174</v>
      </c>
      <c r="Y38" s="72" t="n">
        <f aca="false">IFERROR(Y37/AVERAGE(W27:Y27)*30,0)</f>
        <v>61.3300029867181</v>
      </c>
      <c r="Z38" s="72" t="n">
        <f aca="false">IFERROR(Z37/AVERAGE(X27:Z27)*30,0)</f>
        <v>60.0134248076193</v>
      </c>
      <c r="AA38" s="72" t="n">
        <f aca="false">IFERROR(AA37/AVERAGE(Y27:AA27)*30,0)</f>
        <v>59.097433713087</v>
      </c>
      <c r="AB38" s="72" t="n">
        <f aca="false">IFERROR(AB37/AVERAGE(Z27:AB27)*30,0)</f>
        <v>60.0001236085799</v>
      </c>
    </row>
    <row r="39" customFormat="false" ht="15" hidden="false" customHeight="false" outlineLevel="0" collapsed="false">
      <c r="A39" s="27" t="s">
        <v>853</v>
      </c>
      <c r="B39" s="56" t="s">
        <v>854</v>
      </c>
      <c r="C39" s="108" t="n">
        <f aca="false">SUM(E39:P39)</f>
        <v>22</v>
      </c>
      <c r="D39" s="108" t="n">
        <f aca="false">SUM(Q39:AB39)</f>
        <v>44.3391049738474</v>
      </c>
      <c r="E39" s="90" t="n">
        <f aca="false">IF(Assumptions!E$96-(4)&lt;1,0,INDEX(Residential!$E$12:$AB$12,Assumptions!E$96-(4)))</f>
        <v>0</v>
      </c>
      <c r="F39" s="90" t="n">
        <f aca="false">IF(Assumptions!F$96-(4)&lt;1,0,INDEX(Residential!$E$12:$AB$12,Assumptions!F$96-(4)))</f>
        <v>0</v>
      </c>
      <c r="G39" s="90" t="n">
        <f aca="false">IF(Assumptions!G$96-(4)&lt;1,0,INDEX(Residential!$E$12:$AB$12,Assumptions!G$96-(4)))</f>
        <v>0</v>
      </c>
      <c r="H39" s="90" t="n">
        <f aca="false">IF(Assumptions!H$96-(4)&lt;1,0,INDEX(Residential!$E$12:$AB$12,Assumptions!H$96-(4)))</f>
        <v>0</v>
      </c>
      <c r="I39" s="90" t="n">
        <f aca="false">IF(Assumptions!I$96-(4)&lt;1,0,INDEX(Residential!$E$12:$AB$12,Assumptions!I$96-(4)))</f>
        <v>2</v>
      </c>
      <c r="J39" s="90" t="n">
        <f aca="false">IF(Assumptions!J$96-(4)&lt;1,0,INDEX(Residential!$E$12:$AB$12,Assumptions!J$96-(4)))</f>
        <v>2</v>
      </c>
      <c r="K39" s="90" t="n">
        <f aca="false">IF(Assumptions!K$96-(4)&lt;1,0,INDEX(Residential!$E$12:$AB$12,Assumptions!K$96-(4)))</f>
        <v>3</v>
      </c>
      <c r="L39" s="90" t="n">
        <f aca="false">IF(Assumptions!L$96-(4)&lt;1,0,INDEX(Residential!$E$12:$AB$12,Assumptions!L$96-(4)))</f>
        <v>2</v>
      </c>
      <c r="M39" s="90" t="n">
        <f aca="false">IF(Assumptions!M$96-(4)&lt;1,0,INDEX(Residential!$E$12:$AB$12,Assumptions!M$96-(4)))</f>
        <v>2</v>
      </c>
      <c r="N39" s="90" t="n">
        <f aca="false">IF(Assumptions!N$96-(4)&lt;1,0,INDEX(Residential!$E$12:$AB$12,Assumptions!N$96-(4)))</f>
        <v>3</v>
      </c>
      <c r="O39" s="90" t="n">
        <f aca="false">IF(Assumptions!O$96-(4)&lt;1,0,INDEX(Residential!$E$12:$AB$12,Assumptions!O$96-(4)))</f>
        <v>4</v>
      </c>
      <c r="P39" s="90" t="n">
        <f aca="false">IF(Assumptions!P$96-(4)&lt;1,0,INDEX(Residential!$E$12:$AB$12,Assumptions!P$96-(4)))</f>
        <v>4</v>
      </c>
      <c r="Q39" s="90" t="n">
        <f aca="false">IF(Assumptions!Q$96-(4)&lt;1,0,INDEX(Residential!$E$12:$AB$12,Assumptions!Q$96-(4)))</f>
        <v>3.72280139183235</v>
      </c>
      <c r="R39" s="90" t="n">
        <f aca="false">IF(Assumptions!R$96-(4)&lt;1,0,INDEX(Residential!$E$12:$AB$12,Assumptions!R$96-(4)))</f>
        <v>3.60798662310256</v>
      </c>
      <c r="S39" s="90" t="n">
        <f aca="false">IF(Assumptions!S$96-(4)&lt;1,0,INDEX(Residential!$E$12:$AB$12,Assumptions!S$96-(4)))</f>
        <v>3.314344608075</v>
      </c>
      <c r="T39" s="90" t="n">
        <f aca="false">IF(Assumptions!T$96-(4)&lt;1,0,INDEX(Residential!$E$12:$AB$12,Assumptions!T$96-(4)))</f>
        <v>2.83375618448696</v>
      </c>
      <c r="U39" s="90" t="n">
        <f aca="false">IF(Assumptions!U$96-(4)&lt;1,0,INDEX(Residential!$E$12:$AB$12,Assumptions!U$96-(4)))</f>
        <v>2.5174970547972</v>
      </c>
      <c r="V39" s="90" t="n">
        <f aca="false">IF(Assumptions!V$96-(4)&lt;1,0,INDEX(Residential!$E$12:$AB$12,Assumptions!V$96-(4)))</f>
        <v>3.10376115919594</v>
      </c>
      <c r="W39" s="90" t="n">
        <f aca="false">IF(Assumptions!W$96-(4)&lt;1,0,INDEX(Residential!$E$12:$AB$12,Assumptions!W$96-(4)))</f>
        <v>3.70738599894219</v>
      </c>
      <c r="X39" s="90" t="n">
        <f aca="false">IF(Assumptions!X$96-(4)&lt;1,0,INDEX(Residential!$E$12:$AB$12,Assumptions!X$96-(4)))</f>
        <v>4.14055852707653</v>
      </c>
      <c r="Y39" s="90" t="n">
        <f aca="false">IF(Assumptions!Y$96-(4)&lt;1,0,INDEX(Residential!$E$12:$AB$12,Assumptions!Y$96-(4)))</f>
        <v>4.39503684414009</v>
      </c>
      <c r="Z39" s="90" t="n">
        <f aca="false">IF(Assumptions!Z$96-(4)&lt;1,0,INDEX(Residential!$E$12:$AB$12,Assumptions!Z$96-(4)))</f>
        <v>4.46232253105068</v>
      </c>
      <c r="AA39" s="90" t="n">
        <f aca="false">IF(Assumptions!AA$96-(4)&lt;1,0,INDEX(Residential!$E$12:$AB$12,Assumptions!AA$96-(4)))</f>
        <v>4.33365405114791</v>
      </c>
      <c r="AB39" s="90" t="n">
        <f aca="false">IF(Assumptions!AB$96-(4)&lt;1,0,INDEX(Residential!$E$12:$AB$12,Assumptions!AB$96-(4)))</f>
        <v>4.2</v>
      </c>
    </row>
    <row r="40" customFormat="false" ht="15" hidden="false" customHeight="false" outlineLevel="0" collapsed="false">
      <c r="A40" s="27" t="s">
        <v>855</v>
      </c>
      <c r="B40" s="56"/>
      <c r="C40" s="57" t="n">
        <f aca="false">P40</f>
        <v>173100.598471258</v>
      </c>
      <c r="D40" s="57" t="n">
        <f aca="false">AB40</f>
        <v>213952.339710475</v>
      </c>
      <c r="E40" s="58" t="n">
        <f aca="false">IF(Assumptions!E$96-(0)&lt;1,0,INDEX(Residential!$E$14:$AB$14,Assumptions!E$96-(0)))*(1-(Assumptions!$C$46))+IF(Assumptions!E$96-(1)&lt;1,0,INDEX(Residential!$E$14:$AB$14,Assumptions!E$96-(1)))*(1-(Assumptions!$C$46+Assumptions!$C$47))</f>
        <v>84770</v>
      </c>
      <c r="F40" s="58" t="n">
        <f aca="false">IF(Assumptions!F$96-(0)&lt;1,0,INDEX(Residential!$E$14:$AB$14,Assumptions!F$96-(0)))*(1-(Assumptions!$C$46))+IF(Assumptions!F$96-(1)&lt;1,0,INDEX(Residential!$E$14:$AB$14,Assumptions!F$96-(1)))*(1-(Assumptions!$C$46+Assumptions!$C$47))</f>
        <v>120162</v>
      </c>
      <c r="G40" s="58" t="n">
        <f aca="false">IF(Assumptions!G$96-(0)&lt;1,0,INDEX(Residential!$E$14:$AB$14,Assumptions!G$96-(0)))*(1-(Assumptions!$C$46))+IF(Assumptions!G$96-(1)&lt;1,0,INDEX(Residential!$E$14:$AB$14,Assumptions!G$96-(1)))*(1-(Assumptions!$C$46+Assumptions!$C$47))</f>
        <v>158545.6</v>
      </c>
      <c r="H40" s="58" t="n">
        <f aca="false">IF(Assumptions!H$96-(0)&lt;1,0,INDEX(Residential!$E$14:$AB$14,Assumptions!H$96-(0)))*(1-(Assumptions!$C$46))+IF(Assumptions!H$96-(1)&lt;1,0,INDEX(Residential!$E$14:$AB$14,Assumptions!H$96-(1)))*(1-(Assumptions!$C$46+Assumptions!$C$47))</f>
        <v>133163.65</v>
      </c>
      <c r="I40" s="58" t="n">
        <f aca="false">IF(Assumptions!I$96-(0)&lt;1,0,INDEX(Residential!$E$14:$AB$14,Assumptions!I$96-(0)))*(1-(Assumptions!$C$46))+IF(Assumptions!I$96-(1)&lt;1,0,INDEX(Residential!$E$14:$AB$14,Assumptions!I$96-(1)))*(1-(Assumptions!$C$46+Assumptions!$C$47))</f>
        <v>114344.1</v>
      </c>
      <c r="J40" s="58" t="n">
        <f aca="false">IF(Assumptions!J$96-(0)&lt;1,0,INDEX(Residential!$E$14:$AB$14,Assumptions!J$96-(0)))*(1-(Assumptions!$C$46))+IF(Assumptions!J$96-(1)&lt;1,0,INDEX(Residential!$E$14:$AB$14,Assumptions!J$96-(1)))*(1-(Assumptions!$C$46+Assumptions!$C$47))</f>
        <v>157283.6</v>
      </c>
      <c r="K40" s="58" t="n">
        <f aca="false">IF(Assumptions!K$96-(0)&lt;1,0,INDEX(Residential!$E$14:$AB$14,Assumptions!K$96-(0)))*(1-(Assumptions!$C$46))+IF(Assumptions!K$96-(1)&lt;1,0,INDEX(Residential!$E$14:$AB$14,Assumptions!K$96-(1)))*(1-(Assumptions!$C$46+Assumptions!$C$47))</f>
        <v>217284.6</v>
      </c>
      <c r="L40" s="58" t="n">
        <f aca="false">IF(Assumptions!L$96-(0)&lt;1,0,INDEX(Residential!$E$14:$AB$14,Assumptions!L$96-(0)))*(1-(Assumptions!$C$46))+IF(Assumptions!L$96-(1)&lt;1,0,INDEX(Residential!$E$14:$AB$14,Assumptions!L$96-(1)))*(1-(Assumptions!$C$46+Assumptions!$C$47))</f>
        <v>231610.2</v>
      </c>
      <c r="M40" s="58" t="n">
        <f aca="false">IF(Assumptions!M$96-(0)&lt;1,0,INDEX(Residential!$E$14:$AB$14,Assumptions!M$96-(0)))*(1-(Assumptions!$C$46))+IF(Assumptions!M$96-(1)&lt;1,0,INDEX(Residential!$E$14:$AB$14,Assumptions!M$96-(1)))*(1-(Assumptions!$C$46+Assumptions!$C$47))</f>
        <v>220158.517293246</v>
      </c>
      <c r="N40" s="58" t="n">
        <f aca="false">IF(Assumptions!N$96-(0)&lt;1,0,INDEX(Residential!$E$14:$AB$14,Assumptions!N$96-(0)))*(1-(Assumptions!$C$46))+IF(Assumptions!N$96-(1)&lt;1,0,INDEX(Residential!$E$14:$AB$14,Assumptions!N$96-(1)))*(1-(Assumptions!$C$46+Assumptions!$C$47))</f>
        <v>211713.158611819</v>
      </c>
      <c r="O40" s="58" t="n">
        <f aca="false">IF(Assumptions!O$96-(0)&lt;1,0,INDEX(Residential!$E$14:$AB$14,Assumptions!O$96-(0)))*(1-(Assumptions!$C$46))+IF(Assumptions!O$96-(1)&lt;1,0,INDEX(Residential!$E$14:$AB$14,Assumptions!O$96-(1)))*(1-(Assumptions!$C$46+Assumptions!$C$47))</f>
        <v>197845.673305028</v>
      </c>
      <c r="P40" s="58" t="n">
        <f aca="false">IF(Assumptions!P$96-(0)&lt;1,0,INDEX(Residential!$E$14:$AB$14,Assumptions!P$96-(0)))*(1-(Assumptions!$C$46))+IF(Assumptions!P$96-(1)&lt;1,0,INDEX(Residential!$E$14:$AB$14,Assumptions!P$96-(1)))*(1-(Assumptions!$C$46+Assumptions!$C$47))</f>
        <v>173100.598471258</v>
      </c>
      <c r="Q40" s="58" t="n">
        <f aca="false">IF(Assumptions!Q$96-(0)&lt;1,0,INDEX(Residential!$E$14:$AB$14,Assumptions!Q$96-(0)))*(1-(Assumptions!$C$46))+IF(Assumptions!Q$96-(1)&lt;1,0,INDEX(Residential!$E$14:$AB$14,Assumptions!Q$96-(1)))*(1-(Assumptions!$C$46+Assumptions!$C$47))</f>
        <v>152456.490490665</v>
      </c>
      <c r="R40" s="58" t="n">
        <f aca="false">IF(Assumptions!R$96-(0)&lt;1,0,INDEX(Residential!$E$14:$AB$14,Assumptions!R$96-(0)))*(1-(Assumptions!$C$46))+IF(Assumptions!R$96-(1)&lt;1,0,INDEX(Residential!$E$14:$AB$14,Assumptions!R$96-(1)))*(1-(Assumptions!$C$46+Assumptions!$C$47))</f>
        <v>173353.894759291</v>
      </c>
      <c r="S40" s="58" t="n">
        <f aca="false">IF(Assumptions!S$96-(0)&lt;1,0,INDEX(Residential!$E$14:$AB$14,Assumptions!S$96-(0)))*(1-(Assumptions!$C$46))+IF(Assumptions!S$96-(1)&lt;1,0,INDEX(Residential!$E$14:$AB$14,Assumptions!S$96-(1)))*(1-(Assumptions!$C$46+Assumptions!$C$47))</f>
        <v>209074.559153474</v>
      </c>
      <c r="T40" s="58" t="n">
        <f aca="false">IF(Assumptions!T$96-(0)&lt;1,0,INDEX(Residential!$E$14:$AB$14,Assumptions!T$96-(0)))*(1-(Assumptions!$C$46))+IF(Assumptions!T$96-(1)&lt;1,0,INDEX(Residential!$E$14:$AB$14,Assumptions!T$96-(1)))*(1-(Assumptions!$C$46+Assumptions!$C$47))</f>
        <v>237817.281810039</v>
      </c>
      <c r="U40" s="58" t="n">
        <f aca="false">IF(Assumptions!U$96-(0)&lt;1,0,INDEX(Residential!$E$14:$AB$14,Assumptions!U$96-(0)))*(1-(Assumptions!$C$46))+IF(Assumptions!U$96-(1)&lt;1,0,INDEX(Residential!$E$14:$AB$14,Assumptions!U$96-(1)))*(1-(Assumptions!$C$46+Assumptions!$C$47))</f>
        <v>256249.150088486</v>
      </c>
      <c r="V40" s="58" t="n">
        <f aca="false">IF(Assumptions!V$96-(0)&lt;1,0,INDEX(Residential!$E$14:$AB$14,Assumptions!V$96-(0)))*(1-(Assumptions!$C$46))+IF(Assumptions!V$96-(1)&lt;1,0,INDEX(Residential!$E$14:$AB$14,Assumptions!V$96-(1)))*(1-(Assumptions!$C$46+Assumptions!$C$47))</f>
        <v>263792.966681864</v>
      </c>
      <c r="W40" s="58" t="n">
        <f aca="false">IF(Assumptions!W$96-(0)&lt;1,0,INDEX(Residential!$E$14:$AB$14,Assumptions!W$96-(0)))*(1-(Assumptions!$C$46))+IF(Assumptions!W$96-(1)&lt;1,0,INDEX(Residential!$E$14:$AB$14,Assumptions!W$96-(1)))*(1-(Assumptions!$C$46+Assumptions!$C$47))</f>
        <v>259850.666588079</v>
      </c>
      <c r="X40" s="58" t="n">
        <f aca="false">IF(Assumptions!X$96-(0)&lt;1,0,INDEX(Residential!$E$14:$AB$14,Assumptions!X$96-(0)))*(1-(Assumptions!$C$46))+IF(Assumptions!X$96-(1)&lt;1,0,INDEX(Residential!$E$14:$AB$14,Assumptions!X$96-(1)))*(1-(Assumptions!$C$46+Assumptions!$C$47))</f>
        <v>252598.001698703</v>
      </c>
      <c r="Y40" s="58" t="n">
        <f aca="false">IF(Assumptions!Y$96-(0)&lt;1,0,INDEX(Residential!$E$14:$AB$14,Assumptions!Y$96-(0)))*(1-(Assumptions!$C$46))+IF(Assumptions!Y$96-(1)&lt;1,0,INDEX(Residential!$E$14:$AB$14,Assumptions!Y$96-(1)))*(1-(Assumptions!$C$46+Assumptions!$C$47))</f>
        <v>262908.457738088</v>
      </c>
      <c r="Z40" s="58" t="n">
        <f aca="false">IF(Assumptions!Z$96-(0)&lt;1,0,INDEX(Residential!$E$14:$AB$14,Assumptions!Z$96-(0)))*(1-(Assumptions!$C$46))+IF(Assumptions!Z$96-(1)&lt;1,0,INDEX(Residential!$E$14:$AB$14,Assumptions!Z$96-(1)))*(1-(Assumptions!$C$46+Assumptions!$C$47))</f>
        <v>261677.464044208</v>
      </c>
      <c r="AA40" s="58" t="n">
        <f aca="false">IF(Assumptions!AA$96-(0)&lt;1,0,INDEX(Residential!$E$14:$AB$14,Assumptions!AA$96-(0)))*(1-(Assumptions!$C$46))+IF(Assumptions!AA$96-(1)&lt;1,0,INDEX(Residential!$E$14:$AB$14,Assumptions!AA$96-(1)))*(1-(Assumptions!$C$46+Assumptions!$C$47))</f>
        <v>244537.252205015</v>
      </c>
      <c r="AB40" s="58" t="n">
        <f aca="false">IF(Assumptions!AB$96-(0)&lt;1,0,INDEX(Residential!$E$14:$AB$14,Assumptions!AB$96-(0)))*(1-(Assumptions!$C$46))+IF(Assumptions!AB$96-(1)&lt;1,0,INDEX(Residential!$E$14:$AB$14,Assumptions!AB$96-(1)))*(1-(Assumptions!$C$46+Assumptions!$C$47))</f>
        <v>213952.339710475</v>
      </c>
    </row>
    <row r="42" customFormat="false" ht="15" hidden="false" customHeight="false" outlineLevel="0" collapsed="false">
      <c r="A42" s="21" t="s">
        <v>856</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row>
    <row r="43" customFormat="false" ht="15" hidden="false" customHeight="false" outlineLevel="0" collapsed="false">
      <c r="A43" s="27" t="s">
        <v>821</v>
      </c>
      <c r="B43" s="56" t="s">
        <v>822</v>
      </c>
      <c r="C43" s="106" t="n">
        <f aca="false">IFERROR(SUMIFS(Inputs_Actuals!$E$78:$AB$78,Assumptions!$E$96:$AB$96,"&gt;"&amp;(Assumptions!$C$10-Assumptions!$C$45),Assumptions!$E$96:$AB$96,"&lt;="&amp;Assumptions!$C$10)/SUMIFS(Assumptions!$E$102:$AB$102,Assumptions!$E$96:$AB$96,"&gt;"&amp;(Assumptions!$C$10-Assumptions!$C$45),Assumptions!$E$96:$AB$96,"&lt;="&amp;Assumptions!$C$10),0)</f>
        <v>1.37404580152672</v>
      </c>
    </row>
    <row r="44" customFormat="false" ht="15" hidden="false" customHeight="false" outlineLevel="0" collapsed="false">
      <c r="A44" s="27" t="s">
        <v>823</v>
      </c>
      <c r="B44" s="56" t="s">
        <v>822</v>
      </c>
      <c r="C44" s="107" t="n">
        <f aca="false">IFERROR(SUMPRODUCT((Assumptions!$E$96:$AB$96&gt;Assumptions!$C$10-3)*(Assumptions!$E$96:$AB$96&lt;=Assumptions!$C$10)*Inputs_Actuals!$E$78:$AB$78*Inputs_Actuals!$E$79:$AB$79)/SUMPRODUCT((Assumptions!$E$96:$AB$96&gt;Assumptions!$C$10-3)*(Assumptions!$E$96:$AB$96&lt;=Assumptions!$C$10)*Inputs_Actuals!$E$78:$AB$78),0)</f>
        <v>124064</v>
      </c>
    </row>
    <row r="45" customFormat="false" ht="15" hidden="false" customHeight="false" outlineLevel="0" collapsed="false">
      <c r="A45" s="27" t="s">
        <v>825</v>
      </c>
      <c r="B45" s="56" t="s">
        <v>826</v>
      </c>
      <c r="C45" s="108" t="n">
        <f aca="false">SUM(E45:P45)</f>
        <v>16.410759235738</v>
      </c>
      <c r="D45" s="108" t="n">
        <f aca="false">SUM(Q45:AB45)</f>
        <v>17.2150371587169</v>
      </c>
      <c r="E45" s="90" t="n">
        <f aca="false">IF(E$5="A",Inputs_Actuals!E78,Residential!$C$43*Assumptions!E$102*(1+Assumptions!$F$112)^(Assumptions!E$101/12))</f>
        <v>1</v>
      </c>
      <c r="F45" s="90" t="n">
        <f aca="false">IF(F$5="A",Inputs_Actuals!F78,Residential!$C$43*Assumptions!F$102*(1+Assumptions!$F$112)^(Assumptions!F$101/12))</f>
        <v>1</v>
      </c>
      <c r="G45" s="90" t="n">
        <f aca="false">IF(G$5="A",Inputs_Actuals!G78,Residential!$C$43*Assumptions!G$102*(1+Assumptions!$F$112)^(Assumptions!G$101/12))</f>
        <v>2</v>
      </c>
      <c r="H45" s="90" t="n">
        <f aca="false">IF(H$5="A",Inputs_Actuals!H78,Residential!$C$43*Assumptions!H$102*(1+Assumptions!$F$112)^(Assumptions!H$101/12))</f>
        <v>1</v>
      </c>
      <c r="I45" s="90" t="n">
        <f aca="false">IF(I$5="A",Inputs_Actuals!I78,Residential!$C$43*Assumptions!I$102*(1+Assumptions!$F$112)^(Assumptions!I$101/12))</f>
        <v>2</v>
      </c>
      <c r="J45" s="90" t="n">
        <f aca="false">IF(J$5="A",Inputs_Actuals!J78,Residential!$C$43*Assumptions!J$102*(1+Assumptions!$F$112)^(Assumptions!J$101/12))</f>
        <v>1</v>
      </c>
      <c r="K45" s="90" t="n">
        <f aca="false">IF(K$5="A",Inputs_Actuals!K78,Residential!$C$43*Assumptions!K$102*(1+Assumptions!$F$112)^(Assumptions!K$101/12))</f>
        <v>2</v>
      </c>
      <c r="L45" s="90" t="n">
        <f aca="false">IF(L$5="A",Inputs_Actuals!L78,Residential!$C$43*Assumptions!L$102*(1+Assumptions!$F$112)^(Assumptions!L$101/12))</f>
        <v>1</v>
      </c>
      <c r="M45" s="90" t="n">
        <f aca="false">IF(M$5="A",Inputs_Actuals!M78,Residential!$C$43*Assumptions!M$102*(1+Assumptions!$F$112)^(Assumptions!M$101/12))</f>
        <v>1.51760821762719</v>
      </c>
      <c r="N45" s="90" t="n">
        <f aca="false">IF(N$5="A",Inputs_Actuals!N78,Residential!$C$43*Assumptions!N$102*(1+Assumptions!$F$112)^(Assumptions!N$101/12))</f>
        <v>1.45452790766267</v>
      </c>
      <c r="O45" s="90" t="n">
        <f aca="false">IF(O$5="A",Inputs_Actuals!O78,Residential!$C$43*Assumptions!O$102*(1+Assumptions!$F$112)^(Assumptions!O$101/12))</f>
        <v>1.32136299303333</v>
      </c>
      <c r="P45" s="90" t="n">
        <f aca="false">IF(P$5="A",Inputs_Actuals!P78,Residential!$C$43*Assumptions!P$102*(1+Assumptions!$F$112)^(Assumptions!P$101/12))</f>
        <v>1.1172601174148</v>
      </c>
      <c r="Q45" s="90" t="n">
        <f aca="false">IF(Q$5="A",Inputs_Actuals!Q78,Residential!$C$43*Assumptions!Q$102*(1+Assumptions!$F$112)^(Assumptions!Q$101/12))</f>
        <v>0.981585476752722</v>
      </c>
      <c r="R45" s="90" t="n">
        <f aca="false">IF(R$5="A",Inputs_Actuals!R78,Residential!$C$43*Assumptions!R$102*(1+Assumptions!$F$112)^(Assumptions!R$101/12))</f>
        <v>1.19678127266551</v>
      </c>
      <c r="S45" s="90" t="n">
        <f aca="false">IF(S$5="A",Inputs_Actuals!S78,Residential!$C$43*Assumptions!S$102*(1+Assumptions!$F$112)^(Assumptions!S$101/12))</f>
        <v>1.41371424436741</v>
      </c>
      <c r="T45" s="90" t="n">
        <f aca="false">IF(T$5="A",Inputs_Actuals!T78,Residential!$C$43*Assumptions!T$102*(1+Assumptions!$F$112)^(Assumptions!T$101/12))</f>
        <v>1.56142128031304</v>
      </c>
      <c r="U45" s="90" t="n">
        <f aca="false">IF(U$5="A",Inputs_Actuals!U78,Residential!$C$43*Assumptions!U$102*(1+Assumptions!$F$112)^(Assumptions!U$101/12))</f>
        <v>1.63904555406416</v>
      </c>
      <c r="V45" s="90" t="n">
        <f aca="false">IF(V$5="A",Inputs_Actuals!V78,Residential!$C$43*Assumptions!V$102*(1+Assumptions!$F$112)^(Assumptions!V$101/12))</f>
        <v>1.64572322853846</v>
      </c>
      <c r="W45" s="90" t="n">
        <f aca="false">IF(W$5="A",Inputs_Actuals!W78,Residential!$C$43*Assumptions!W$102*(1+Assumptions!$F$112)^(Assumptions!W$101/12))</f>
        <v>1.58058340830753</v>
      </c>
      <c r="X45" s="90" t="n">
        <f aca="false">IF(X$5="A",Inputs_Actuals!X78,Residential!$C$43*Assumptions!X$102*(1+Assumptions!$F$112)^(Assumptions!X$101/12))</f>
        <v>1.51488549618321</v>
      </c>
      <c r="Y45" s="90" t="n">
        <f aca="false">IF(Y$5="A",Inputs_Actuals!Y78,Residential!$C$43*Assumptions!Y$102*(1+Assumptions!$F$112)^(Assumptions!Y$101/12))</f>
        <v>1.59348862850855</v>
      </c>
      <c r="Z45" s="90" t="n">
        <f aca="false">IF(Z$5="A",Inputs_Actuals!Z78,Residential!$C$43*Assumptions!Z$102*(1+Assumptions!$F$112)^(Assumptions!Z$101/12))</f>
        <v>1.5272543030458</v>
      </c>
      <c r="AA45" s="90" t="n">
        <f aca="false">IF(AA$5="A",Inputs_Actuals!AA78,Residential!$C$43*Assumptions!AA$102*(1+Assumptions!$F$112)^(Assumptions!AA$101/12))</f>
        <v>1.38743114268499</v>
      </c>
      <c r="AB45" s="90" t="n">
        <f aca="false">IF(AB$5="A",Inputs_Actuals!AB78,Residential!$C$43*Assumptions!AB$102*(1+Assumptions!$F$112)^(Assumptions!AB$101/12))</f>
        <v>1.17312312328554</v>
      </c>
    </row>
    <row r="46" customFormat="false" ht="15" hidden="false" customHeight="false" outlineLevel="0" collapsed="false">
      <c r="A46" s="27" t="s">
        <v>827</v>
      </c>
      <c r="B46" s="56" t="s">
        <v>828</v>
      </c>
      <c r="C46" s="57" t="n">
        <f aca="false">AVERAGE(E46:P46)</f>
        <v>124372.942368043</v>
      </c>
      <c r="D46" s="57" t="n">
        <f aca="false">AVERAGE(Q46:AB46)</f>
        <v>127319.244112809</v>
      </c>
      <c r="E46" s="58" t="n">
        <f aca="false">IF(E$5="A",Inputs_Actuals!E79,Residential!$C$44*(1+Assumptions!$F$114)^(Assumptions!E$101/12))</f>
        <v>124683</v>
      </c>
      <c r="F46" s="58" t="n">
        <f aca="false">IF(F$5="A",Inputs_Actuals!F79,Residential!$C$44*(1+Assumptions!$F$114)^(Assumptions!F$101/12))</f>
        <v>102963</v>
      </c>
      <c r="G46" s="58" t="n">
        <f aca="false">IF(G$5="A",Inputs_Actuals!G79,Residential!$C$44*(1+Assumptions!$F$114)^(Assumptions!G$101/12))</f>
        <v>123589</v>
      </c>
      <c r="H46" s="58" t="n">
        <f aca="false">IF(H$5="A",Inputs_Actuals!H79,Residential!$C$44*(1+Assumptions!$F$114)^(Assumptions!H$101/12))</f>
        <v>124491</v>
      </c>
      <c r="I46" s="58" t="n">
        <f aca="false">IF(I$5="A",Inputs_Actuals!I79,Residential!$C$44*(1+Assumptions!$F$114)^(Assumptions!I$101/12))</f>
        <v>145078</v>
      </c>
      <c r="J46" s="58" t="n">
        <f aca="false">IF(J$5="A",Inputs_Actuals!J79,Residential!$C$44*(1+Assumptions!$F$114)^(Assumptions!J$101/12))</f>
        <v>131987</v>
      </c>
      <c r="K46" s="58" t="n">
        <f aca="false">IF(K$5="A",Inputs_Actuals!K79,Residential!$C$44*(1+Assumptions!$F$114)^(Assumptions!K$101/12))</f>
        <v>123908</v>
      </c>
      <c r="L46" s="58" t="n">
        <f aca="false">IF(L$5="A",Inputs_Actuals!L79,Residential!$C$44*(1+Assumptions!$F$114)^(Assumptions!L$101/12))</f>
        <v>116453</v>
      </c>
      <c r="M46" s="58" t="n">
        <f aca="false">IF(M$5="A",Inputs_Actuals!M79,Residential!$C$44*(1+Assumptions!$F$114)^(Assumptions!M$101/12))</f>
        <v>124369.975293031</v>
      </c>
      <c r="N46" s="58" t="n">
        <f aca="false">IF(N$5="A",Inputs_Actuals!N79,Residential!$C$44*(1+Assumptions!$F$114)^(Assumptions!N$101/12))</f>
        <v>124676.705203678</v>
      </c>
      <c r="O46" s="58" t="n">
        <f aca="false">IF(O$5="A",Inputs_Actuals!O79,Residential!$C$44*(1+Assumptions!$F$114)^(Assumptions!O$101/12))</f>
        <v>124984.191593033</v>
      </c>
      <c r="P46" s="58" t="n">
        <f aca="false">IF(P$5="A",Inputs_Actuals!P79,Residential!$C$44*(1+Assumptions!$F$114)^(Assumptions!P$101/12))</f>
        <v>125292.436326774</v>
      </c>
      <c r="Q46" s="58" t="n">
        <f aca="false">IF(Q$5="A",Inputs_Actuals!Q79,Residential!$C$44*(1+Assumptions!$F$114)^(Assumptions!Q$101/12))</f>
        <v>125601.441275185</v>
      </c>
      <c r="R46" s="58" t="n">
        <f aca="false">IF(R$5="A",Inputs_Actuals!R79,Residential!$C$44*(1+Assumptions!$F$114)^(Assumptions!R$101/12))</f>
        <v>125911.20831316</v>
      </c>
      <c r="S46" s="58" t="n">
        <f aca="false">IF(S$5="A",Inputs_Actuals!S79,Residential!$C$44*(1+Assumptions!$F$114)^(Assumptions!S$101/12))</f>
        <v>126221.739320217</v>
      </c>
      <c r="T46" s="58" t="n">
        <f aca="false">IF(T$5="A",Inputs_Actuals!T79,Residential!$C$44*(1+Assumptions!$F$114)^(Assumptions!T$101/12))</f>
        <v>126533.03618051</v>
      </c>
      <c r="U46" s="58" t="n">
        <f aca="false">IF(U$5="A",Inputs_Actuals!U79,Residential!$C$44*(1+Assumptions!$F$114)^(Assumptions!U$101/12))</f>
        <v>126845.10078284</v>
      </c>
      <c r="V46" s="58" t="n">
        <f aca="false">IF(V$5="A",Inputs_Actuals!V79,Residential!$C$44*(1+Assumptions!$F$114)^(Assumptions!V$101/12))</f>
        <v>127157.935020665</v>
      </c>
      <c r="W46" s="58" t="n">
        <f aca="false">IF(W$5="A",Inputs_Actuals!W79,Residential!$C$44*(1+Assumptions!$F$114)^(Assumptions!W$101/12))</f>
        <v>127471.540792115</v>
      </c>
      <c r="X46" s="58" t="n">
        <f aca="false">IF(X$5="A",Inputs_Actuals!X79,Residential!$C$44*(1+Assumptions!$F$114)^(Assumptions!X$101/12))</f>
        <v>127785.92</v>
      </c>
      <c r="Y46" s="58" t="n">
        <f aca="false">IF(Y$5="A",Inputs_Actuals!Y79,Residential!$C$44*(1+Assumptions!$F$114)^(Assumptions!Y$101/12))</f>
        <v>128101.074551822</v>
      </c>
      <c r="Z46" s="58" t="n">
        <f aca="false">IF(Z$5="A",Inputs_Actuals!Z79,Residential!$C$44*(1+Assumptions!$F$114)^(Assumptions!Z$101/12))</f>
        <v>128417.006359789</v>
      </c>
      <c r="AA46" s="58" t="n">
        <f aca="false">IF(AA$5="A",Inputs_Actuals!AA79,Residential!$C$44*(1+Assumptions!$F$114)^(Assumptions!AA$101/12))</f>
        <v>128733.717340824</v>
      </c>
      <c r="AB46" s="58" t="n">
        <f aca="false">IF(AB$5="A",Inputs_Actuals!AB79,Residential!$C$44*(1+Assumptions!$F$114)^(Assumptions!AB$101/12))</f>
        <v>129051.209416578</v>
      </c>
    </row>
    <row r="47" customFormat="false" ht="15" hidden="false" customHeight="false" outlineLevel="0" collapsed="false">
      <c r="A47" s="27" t="s">
        <v>829</v>
      </c>
      <c r="B47" s="56" t="s">
        <v>830</v>
      </c>
      <c r="C47" s="57" t="n">
        <f aca="false">SUM(E47:P47)</f>
        <v>2060951.37129184</v>
      </c>
      <c r="D47" s="57" t="n">
        <f aca="false">SUM(Q47:AB47)</f>
        <v>2192476.83555689</v>
      </c>
      <c r="E47" s="70" t="n">
        <f aca="false">E45*E46</f>
        <v>124683</v>
      </c>
      <c r="F47" s="70" t="n">
        <f aca="false">F45*F46</f>
        <v>102963</v>
      </c>
      <c r="G47" s="70" t="n">
        <f aca="false">G45*G46</f>
        <v>247178</v>
      </c>
      <c r="H47" s="70" t="n">
        <f aca="false">H45*H46</f>
        <v>124491</v>
      </c>
      <c r="I47" s="70" t="n">
        <f aca="false">I45*I46</f>
        <v>290156</v>
      </c>
      <c r="J47" s="70" t="n">
        <f aca="false">J45*J46</f>
        <v>131987</v>
      </c>
      <c r="K47" s="70" t="n">
        <f aca="false">K45*K46</f>
        <v>247816</v>
      </c>
      <c r="L47" s="70" t="n">
        <f aca="false">L45*L46</f>
        <v>116453</v>
      </c>
      <c r="M47" s="70" t="n">
        <f aca="false">M45*M46</f>
        <v>188744.896530795</v>
      </c>
      <c r="N47" s="70" t="n">
        <f aca="false">N45*N46</f>
        <v>181345.747154181</v>
      </c>
      <c r="O47" s="70" t="n">
        <f aca="false">O45*O46</f>
        <v>165149.48548522</v>
      </c>
      <c r="P47" s="70" t="n">
        <f aca="false">P45*P46</f>
        <v>139984.242121638</v>
      </c>
      <c r="Q47" s="70" t="n">
        <f aca="false">Q45*Q46</f>
        <v>123288.550614932</v>
      </c>
      <c r="R47" s="70" t="n">
        <f aca="false">R45*R46</f>
        <v>150688.176127876</v>
      </c>
      <c r="S47" s="70" t="n">
        <f aca="false">S45*S46</f>
        <v>178441.470825821</v>
      </c>
      <c r="T47" s="70" t="n">
        <f aca="false">T45*T46</f>
        <v>197571.375354869</v>
      </c>
      <c r="U47" s="70" t="n">
        <f aca="false">U45*U46</f>
        <v>207904.898492934</v>
      </c>
      <c r="V47" s="70" t="n">
        <f aca="false">V45*V46</f>
        <v>209266.767356493</v>
      </c>
      <c r="W47" s="70" t="n">
        <f aca="false">W45*W46</f>
        <v>201479.402407415</v>
      </c>
      <c r="X47" s="70" t="n">
        <f aca="false">X45*X46</f>
        <v>193581.036824428</v>
      </c>
      <c r="Y47" s="70" t="n">
        <f aca="false">Y45*Y46</f>
        <v>204127.605598055</v>
      </c>
      <c r="Z47" s="70" t="n">
        <f aca="false">Z45*Z46</f>
        <v>196125.425547247</v>
      </c>
      <c r="AA47" s="70" t="n">
        <f aca="false">AA45*AA46</f>
        <v>178609.168552266</v>
      </c>
      <c r="AB47" s="70" t="n">
        <f aca="false">AB45*AB46</f>
        <v>151392.957854552</v>
      </c>
    </row>
    <row r="48" customFormat="false" ht="15" hidden="false" customHeight="false" outlineLevel="0" collapsed="false">
      <c r="A48" s="67" t="s">
        <v>833</v>
      </c>
      <c r="B48" s="68" t="s">
        <v>834</v>
      </c>
      <c r="C48" s="69" t="n">
        <f aca="false">SUM(E48:P48)</f>
        <v>1982039.26991112</v>
      </c>
      <c r="D48" s="69" t="n">
        <f aca="false">SUM(Q48:AB48)</f>
        <v>2164837.12919436</v>
      </c>
      <c r="E48" s="74" t="n">
        <f aca="false">IF(E$5="A",Inputs_Actuals!E80,Assumptions!$C$49*IF(Assumptions!E$96-(0)&lt;1,0,INDEX(Residential!$E$47:$AB$47,Assumptions!E$96-(0)))+Assumptions!$C$50*IF(Assumptions!E$96-(1)&lt;1,0,INDEX(Residential!$E$47:$AB$47,Assumptions!E$96-(1)))+Assumptions!$C$51*IF(Assumptions!E$96-(2)&lt;1,0,INDEX(Residential!$E$47:$AB$47,Assumptions!E$96-(2)))+Assumptions!$C$52*IF(Assumptions!E$96-(3)&lt;1,0,INDEX(Residential!$E$47:$AB$47,Assumptions!E$96-(3)))+Assumptions!$C$53*IF(Assumptions!E$96-(4)&lt;1,0,INDEX(Residential!$E$47:$AB$47,Assumptions!E$96-(4))))</f>
        <v>131409.36</v>
      </c>
      <c r="F48" s="74" t="n">
        <f aca="false">IF(F$5="A",Inputs_Actuals!F80,Assumptions!$C$49*IF(Assumptions!F$96-(0)&lt;1,0,INDEX(Residential!$E$47:$AB$47,Assumptions!F$96-(0)))+Assumptions!$C$50*IF(Assumptions!F$96-(1)&lt;1,0,INDEX(Residential!$E$47:$AB$47,Assumptions!F$96-(1)))+Assumptions!$C$51*IF(Assumptions!F$96-(2)&lt;1,0,INDEX(Residential!$E$47:$AB$47,Assumptions!F$96-(2)))+Assumptions!$C$52*IF(Assumptions!F$96-(3)&lt;1,0,INDEX(Residential!$E$47:$AB$47,Assumptions!F$96-(3)))+Assumptions!$C$53*IF(Assumptions!F$96-(4)&lt;1,0,INDEX(Residential!$E$47:$AB$47,Assumptions!F$96-(4))))</f>
        <v>114236.45</v>
      </c>
      <c r="G48" s="74" t="n">
        <f aca="false">IF(G$5="A",Inputs_Actuals!G80,Assumptions!$C$49*IF(Assumptions!G$96-(0)&lt;1,0,INDEX(Residential!$E$47:$AB$47,Assumptions!G$96-(0)))+Assumptions!$C$50*IF(Assumptions!G$96-(1)&lt;1,0,INDEX(Residential!$E$47:$AB$47,Assumptions!G$96-(1)))+Assumptions!$C$51*IF(Assumptions!G$96-(2)&lt;1,0,INDEX(Residential!$E$47:$AB$47,Assumptions!G$96-(2)))+Assumptions!$C$52*IF(Assumptions!G$96-(3)&lt;1,0,INDEX(Residential!$E$47:$AB$47,Assumptions!G$96-(3)))+Assumptions!$C$53*IF(Assumptions!G$96-(4)&lt;1,0,INDEX(Residential!$E$47:$AB$47,Assumptions!G$96-(4))))</f>
        <v>128758.65</v>
      </c>
      <c r="H48" s="74" t="n">
        <f aca="false">IF(H$5="A",Inputs_Actuals!H80,Assumptions!$C$49*IF(Assumptions!H$96-(0)&lt;1,0,INDEX(Residential!$E$47:$AB$47,Assumptions!H$96-(0)))+Assumptions!$C$50*IF(Assumptions!H$96-(1)&lt;1,0,INDEX(Residential!$E$47:$AB$47,Assumptions!H$96-(1)))+Assumptions!$C$51*IF(Assumptions!H$96-(2)&lt;1,0,INDEX(Residential!$E$47:$AB$47,Assumptions!H$96-(2)))+Assumptions!$C$52*IF(Assumptions!H$96-(3)&lt;1,0,INDEX(Residential!$E$47:$AB$47,Assumptions!H$96-(3)))+Assumptions!$C$53*IF(Assumptions!H$96-(4)&lt;1,0,INDEX(Residential!$E$47:$AB$47,Assumptions!H$96-(4))))</f>
        <v>145125.35</v>
      </c>
      <c r="I48" s="74" t="n">
        <f aca="false">IF(I$5="A",Inputs_Actuals!I80,Assumptions!$C$49*IF(Assumptions!I$96-(0)&lt;1,0,INDEX(Residential!$E$47:$AB$47,Assumptions!I$96-(0)))+Assumptions!$C$50*IF(Assumptions!I$96-(1)&lt;1,0,INDEX(Residential!$E$47:$AB$47,Assumptions!I$96-(1)))+Assumptions!$C$51*IF(Assumptions!I$96-(2)&lt;1,0,INDEX(Residential!$E$47:$AB$47,Assumptions!I$96-(2)))+Assumptions!$C$52*IF(Assumptions!I$96-(3)&lt;1,0,INDEX(Residential!$E$47:$AB$47,Assumptions!I$96-(3)))+Assumptions!$C$53*IF(Assumptions!I$96-(4)&lt;1,0,INDEX(Residential!$E$47:$AB$47,Assumptions!I$96-(4))))</f>
        <v>170056.66</v>
      </c>
      <c r="J48" s="74" t="n">
        <f aca="false">IF(J$5="A",Inputs_Actuals!J80,Assumptions!$C$49*IF(Assumptions!J$96-(0)&lt;1,0,INDEX(Residential!$E$47:$AB$47,Assumptions!J$96-(0)))+Assumptions!$C$50*IF(Assumptions!J$96-(1)&lt;1,0,INDEX(Residential!$E$47:$AB$47,Assumptions!J$96-(1)))+Assumptions!$C$51*IF(Assumptions!J$96-(2)&lt;1,0,INDEX(Residential!$E$47:$AB$47,Assumptions!J$96-(2)))+Assumptions!$C$52*IF(Assumptions!J$96-(3)&lt;1,0,INDEX(Residential!$E$47:$AB$47,Assumptions!J$96-(3)))+Assumptions!$C$53*IF(Assumptions!J$96-(4)&lt;1,0,INDEX(Residential!$E$47:$AB$47,Assumptions!J$96-(4))))</f>
        <v>189129.45</v>
      </c>
      <c r="K48" s="74" t="n">
        <f aca="false">IF(K$5="A",Inputs_Actuals!K80,Assumptions!$C$49*IF(Assumptions!K$96-(0)&lt;1,0,INDEX(Residential!$E$47:$AB$47,Assumptions!K$96-(0)))+Assumptions!$C$50*IF(Assumptions!K$96-(1)&lt;1,0,INDEX(Residential!$E$47:$AB$47,Assumptions!K$96-(1)))+Assumptions!$C$51*IF(Assumptions!K$96-(2)&lt;1,0,INDEX(Residential!$E$47:$AB$47,Assumptions!K$96-(2)))+Assumptions!$C$52*IF(Assumptions!K$96-(3)&lt;1,0,INDEX(Residential!$E$47:$AB$47,Assumptions!K$96-(3)))+Assumptions!$C$53*IF(Assumptions!K$96-(4)&lt;1,0,INDEX(Residential!$E$47:$AB$47,Assumptions!K$96-(4))))</f>
        <v>203261.87</v>
      </c>
      <c r="L48" s="74" t="n">
        <f aca="false">IF(L$5="A",Inputs_Actuals!L80,Assumptions!$C$49*IF(Assumptions!L$96-(0)&lt;1,0,INDEX(Residential!$E$47:$AB$47,Assumptions!L$96-(0)))+Assumptions!$C$50*IF(Assumptions!L$96-(1)&lt;1,0,INDEX(Residential!$E$47:$AB$47,Assumptions!L$96-(1)))+Assumptions!$C$51*IF(Assumptions!L$96-(2)&lt;1,0,INDEX(Residential!$E$47:$AB$47,Assumptions!L$96-(2)))+Assumptions!$C$52*IF(Assumptions!L$96-(3)&lt;1,0,INDEX(Residential!$E$47:$AB$47,Assumptions!L$96-(3)))+Assumptions!$C$53*IF(Assumptions!L$96-(4)&lt;1,0,INDEX(Residential!$E$47:$AB$47,Assumptions!L$96-(4))))</f>
        <v>194333.83</v>
      </c>
      <c r="M48" s="74" t="n">
        <f aca="false">IF(M$5="A",Inputs_Actuals!M80,Assumptions!$C$49*IF(Assumptions!M$96-(0)&lt;1,0,INDEX(Residential!$E$47:$AB$47,Assumptions!M$96-(0)))+Assumptions!$C$50*IF(Assumptions!M$96-(1)&lt;1,0,INDEX(Residential!$E$47:$AB$47,Assumptions!M$96-(1)))+Assumptions!$C$51*IF(Assumptions!M$96-(2)&lt;1,0,INDEX(Residential!$E$47:$AB$47,Assumptions!M$96-(2)))+Assumptions!$C$52*IF(Assumptions!M$96-(3)&lt;1,0,INDEX(Residential!$E$47:$AB$47,Assumptions!M$96-(3)))+Assumptions!$C$53*IF(Assumptions!M$96-(4)&lt;1,0,INDEX(Residential!$E$47:$AB$47,Assumptions!M$96-(4))))</f>
        <v>190402.77965308</v>
      </c>
      <c r="N48" s="74" t="n">
        <f aca="false">IF(N$5="A",Inputs_Actuals!N80,Assumptions!$C$49*IF(Assumptions!N$96-(0)&lt;1,0,INDEX(Residential!$E$47:$AB$47,Assumptions!N$96-(0)))+Assumptions!$C$50*IF(Assumptions!N$96-(1)&lt;1,0,INDEX(Residential!$E$47:$AB$47,Assumptions!N$96-(1)))+Assumptions!$C$51*IF(Assumptions!N$96-(2)&lt;1,0,INDEX(Residential!$E$47:$AB$47,Assumptions!N$96-(2)))+Assumptions!$C$52*IF(Assumptions!N$96-(3)&lt;1,0,INDEX(Residential!$E$47:$AB$47,Assumptions!N$96-(3)))+Assumptions!$C$53*IF(Assumptions!N$96-(4)&lt;1,0,INDEX(Residential!$E$47:$AB$47,Assumptions!N$96-(4))))</f>
        <v>174017.341952193</v>
      </c>
      <c r="O48" s="74" t="n">
        <f aca="false">IF(O$5="A",Inputs_Actuals!O80,Assumptions!$C$49*IF(Assumptions!O$96-(0)&lt;1,0,INDEX(Residential!$E$47:$AB$47,Assumptions!O$96-(0)))+Assumptions!$C$50*IF(Assumptions!O$96-(1)&lt;1,0,INDEX(Residential!$E$47:$AB$47,Assumptions!O$96-(1)))+Assumptions!$C$51*IF(Assumptions!O$96-(2)&lt;1,0,INDEX(Residential!$E$47:$AB$47,Assumptions!O$96-(2)))+Assumptions!$C$52*IF(Assumptions!O$96-(3)&lt;1,0,INDEX(Residential!$E$47:$AB$47,Assumptions!O$96-(3)))+Assumptions!$C$53*IF(Assumptions!O$96-(4)&lt;1,0,INDEX(Residential!$E$47:$AB$47,Assumptions!O$96-(4))))</f>
        <v>175545.233951065</v>
      </c>
      <c r="P48" s="74" t="n">
        <f aca="false">IF(P$5="A",Inputs_Actuals!P80,Assumptions!$C$49*IF(Assumptions!P$96-(0)&lt;1,0,INDEX(Residential!$E$47:$AB$47,Assumptions!P$96-(0)))+Assumptions!$C$50*IF(Assumptions!P$96-(1)&lt;1,0,INDEX(Residential!$E$47:$AB$47,Assumptions!P$96-(1)))+Assumptions!$C$51*IF(Assumptions!P$96-(2)&lt;1,0,INDEX(Residential!$E$47:$AB$47,Assumptions!P$96-(2)))+Assumptions!$C$52*IF(Assumptions!P$96-(3)&lt;1,0,INDEX(Residential!$E$47:$AB$47,Assumptions!P$96-(3)))+Assumptions!$C$53*IF(Assumptions!P$96-(4)&lt;1,0,INDEX(Residential!$E$47:$AB$47,Assumptions!P$96-(4))))</f>
        <v>165762.294354782</v>
      </c>
      <c r="Q48" s="74" t="n">
        <f aca="false">IF(Q$5="A",Inputs_Actuals!Q80,Assumptions!$C$49*IF(Assumptions!Q$96-(0)&lt;1,0,INDEX(Residential!$E$47:$AB$47,Assumptions!Q$96-(0)))+Assumptions!$C$50*IF(Assumptions!Q$96-(1)&lt;1,0,INDEX(Residential!$E$47:$AB$47,Assumptions!Q$96-(1)))+Assumptions!$C$51*IF(Assumptions!Q$96-(2)&lt;1,0,INDEX(Residential!$E$47:$AB$47,Assumptions!Q$96-(2)))+Assumptions!$C$52*IF(Assumptions!Q$96-(3)&lt;1,0,INDEX(Residential!$E$47:$AB$47,Assumptions!Q$96-(3)))+Assumptions!$C$53*IF(Assumptions!Q$96-(4)&lt;1,0,INDEX(Residential!$E$47:$AB$47,Assumptions!Q$96-(4))))</f>
        <v>163015.41553228</v>
      </c>
      <c r="R48" s="74" t="n">
        <f aca="false">IF(R$5="A",Inputs_Actuals!R80,Assumptions!$C$49*IF(Assumptions!R$96-(0)&lt;1,0,INDEX(Residential!$E$47:$AB$47,Assumptions!R$96-(0)))+Assumptions!$C$50*IF(Assumptions!R$96-(1)&lt;1,0,INDEX(Residential!$E$47:$AB$47,Assumptions!R$96-(1)))+Assumptions!$C$51*IF(Assumptions!R$96-(2)&lt;1,0,INDEX(Residential!$E$47:$AB$47,Assumptions!R$96-(2)))+Assumptions!$C$52*IF(Assumptions!R$96-(3)&lt;1,0,INDEX(Residential!$E$47:$AB$47,Assumptions!R$96-(3)))+Assumptions!$C$53*IF(Assumptions!R$96-(4)&lt;1,0,INDEX(Residential!$E$47:$AB$47,Assumptions!R$96-(4))))</f>
        <v>149877.119986564</v>
      </c>
      <c r="S48" s="74" t="n">
        <f aca="false">IF(S$5="A",Inputs_Actuals!S80,Assumptions!$C$49*IF(Assumptions!S$96-(0)&lt;1,0,INDEX(Residential!$E$47:$AB$47,Assumptions!S$96-(0)))+Assumptions!$C$50*IF(Assumptions!S$96-(1)&lt;1,0,INDEX(Residential!$E$47:$AB$47,Assumptions!S$96-(1)))+Assumptions!$C$51*IF(Assumptions!S$96-(2)&lt;1,0,INDEX(Residential!$E$47:$AB$47,Assumptions!S$96-(2)))+Assumptions!$C$52*IF(Assumptions!S$96-(3)&lt;1,0,INDEX(Residential!$E$47:$AB$47,Assumptions!S$96-(3)))+Assumptions!$C$53*IF(Assumptions!S$96-(4)&lt;1,0,INDEX(Residential!$E$47:$AB$47,Assumptions!S$96-(4))))</f>
        <v>145284.823356088</v>
      </c>
      <c r="T48" s="74" t="n">
        <f aca="false">IF(T$5="A",Inputs_Actuals!T80,Assumptions!$C$49*IF(Assumptions!T$96-(0)&lt;1,0,INDEX(Residential!$E$47:$AB$47,Assumptions!T$96-(0)))+Assumptions!$C$50*IF(Assumptions!T$96-(1)&lt;1,0,INDEX(Residential!$E$47:$AB$47,Assumptions!T$96-(1)))+Assumptions!$C$51*IF(Assumptions!T$96-(2)&lt;1,0,INDEX(Residential!$E$47:$AB$47,Assumptions!T$96-(2)))+Assumptions!$C$52*IF(Assumptions!T$96-(3)&lt;1,0,INDEX(Residential!$E$47:$AB$47,Assumptions!T$96-(3)))+Assumptions!$C$53*IF(Assumptions!T$96-(4)&lt;1,0,INDEX(Residential!$E$47:$AB$47,Assumptions!T$96-(4))))</f>
        <v>153026.724404952</v>
      </c>
      <c r="U48" s="74" t="n">
        <f aca="false">IF(U$5="A",Inputs_Actuals!U80,Assumptions!$C$49*IF(Assumptions!U$96-(0)&lt;1,0,INDEX(Residential!$E$47:$AB$47,Assumptions!U$96-(0)))+Assumptions!$C$50*IF(Assumptions!U$96-(1)&lt;1,0,INDEX(Residential!$E$47:$AB$47,Assumptions!U$96-(1)))+Assumptions!$C$51*IF(Assumptions!U$96-(2)&lt;1,0,INDEX(Residential!$E$47:$AB$47,Assumptions!U$96-(2)))+Assumptions!$C$52*IF(Assumptions!U$96-(3)&lt;1,0,INDEX(Residential!$E$47:$AB$47,Assumptions!U$96-(3)))+Assumptions!$C$53*IF(Assumptions!U$96-(4)&lt;1,0,INDEX(Residential!$E$47:$AB$47,Assumptions!U$96-(4))))</f>
        <v>170385.130882803</v>
      </c>
      <c r="V48" s="74" t="n">
        <f aca="false">IF(V$5="A",Inputs_Actuals!V80,Assumptions!$C$49*IF(Assumptions!V$96-(0)&lt;1,0,INDEX(Residential!$E$47:$AB$47,Assumptions!V$96-(0)))+Assumptions!$C$50*IF(Assumptions!V$96-(1)&lt;1,0,INDEX(Residential!$E$47:$AB$47,Assumptions!V$96-(1)))+Assumptions!$C$51*IF(Assumptions!V$96-(2)&lt;1,0,INDEX(Residential!$E$47:$AB$47,Assumptions!V$96-(2)))+Assumptions!$C$52*IF(Assumptions!V$96-(3)&lt;1,0,INDEX(Residential!$E$47:$AB$47,Assumptions!V$96-(3)))+Assumptions!$C$53*IF(Assumptions!V$96-(4)&lt;1,0,INDEX(Residential!$E$47:$AB$47,Assumptions!V$96-(4))))</f>
        <v>189199.333629095</v>
      </c>
      <c r="W48" s="74" t="n">
        <f aca="false">IF(W$5="A",Inputs_Actuals!W80,Assumptions!$C$49*IF(Assumptions!W$96-(0)&lt;1,0,INDEX(Residential!$E$47:$AB$47,Assumptions!W$96-(0)))+Assumptions!$C$50*IF(Assumptions!W$96-(1)&lt;1,0,INDEX(Residential!$E$47:$AB$47,Assumptions!W$96-(1)))+Assumptions!$C$51*IF(Assumptions!W$96-(2)&lt;1,0,INDEX(Residential!$E$47:$AB$47,Assumptions!W$96-(2)))+Assumptions!$C$52*IF(Assumptions!W$96-(3)&lt;1,0,INDEX(Residential!$E$47:$AB$47,Assumptions!W$96-(3)))+Assumptions!$C$53*IF(Assumptions!W$96-(4)&lt;1,0,INDEX(Residential!$E$47:$AB$47,Assumptions!W$96-(4))))</f>
        <v>200559.065099782</v>
      </c>
      <c r="X48" s="74" t="n">
        <f aca="false">IF(X$5="A",Inputs_Actuals!X80,Assumptions!$C$49*IF(Assumptions!X$96-(0)&lt;1,0,INDEX(Residential!$E$47:$AB$47,Assumptions!X$96-(0)))+Assumptions!$C$50*IF(Assumptions!X$96-(1)&lt;1,0,INDEX(Residential!$E$47:$AB$47,Assumptions!X$96-(1)))+Assumptions!$C$51*IF(Assumptions!X$96-(2)&lt;1,0,INDEX(Residential!$E$47:$AB$47,Assumptions!X$96-(2)))+Assumptions!$C$52*IF(Assumptions!X$96-(3)&lt;1,0,INDEX(Residential!$E$47:$AB$47,Assumptions!X$96-(3)))+Assumptions!$C$53*IF(Assumptions!X$96-(4)&lt;1,0,INDEX(Residential!$E$47:$AB$47,Assumptions!X$96-(4))))</f>
        <v>203890.197998356</v>
      </c>
      <c r="Y48" s="74" t="n">
        <f aca="false">IF(Y$5="A",Inputs_Actuals!Y80,Assumptions!$C$49*IF(Assumptions!Y$96-(0)&lt;1,0,INDEX(Residential!$E$47:$AB$47,Assumptions!Y$96-(0)))+Assumptions!$C$50*IF(Assumptions!Y$96-(1)&lt;1,0,INDEX(Residential!$E$47:$AB$47,Assumptions!Y$96-(1)))+Assumptions!$C$51*IF(Assumptions!Y$96-(2)&lt;1,0,INDEX(Residential!$E$47:$AB$47,Assumptions!Y$96-(2)))+Assumptions!$C$52*IF(Assumptions!Y$96-(3)&lt;1,0,INDEX(Residential!$E$47:$AB$47,Assumptions!Y$96-(3)))+Assumptions!$C$53*IF(Assumptions!Y$96-(4)&lt;1,0,INDEX(Residential!$E$47:$AB$47,Assumptions!Y$96-(4))))</f>
        <v>202917.247948319</v>
      </c>
      <c r="Z48" s="74" t="n">
        <f aca="false">IF(Z$5="A",Inputs_Actuals!Z80,Assumptions!$C$49*IF(Assumptions!Z$96-(0)&lt;1,0,INDEX(Residential!$E$47:$AB$47,Assumptions!Z$96-(0)))+Assumptions!$C$50*IF(Assumptions!Z$96-(1)&lt;1,0,INDEX(Residential!$E$47:$AB$47,Assumptions!Z$96-(1)))+Assumptions!$C$51*IF(Assumptions!Z$96-(2)&lt;1,0,INDEX(Residential!$E$47:$AB$47,Assumptions!Z$96-(2)))+Assumptions!$C$52*IF(Assumptions!Z$96-(3)&lt;1,0,INDEX(Residential!$E$47:$AB$47,Assumptions!Z$96-(3)))+Assumptions!$C$53*IF(Assumptions!Z$96-(4)&lt;1,0,INDEX(Residential!$E$47:$AB$47,Assumptions!Z$96-(4))))</f>
        <v>200483.171802464</v>
      </c>
      <c r="AA48" s="74" t="n">
        <f aca="false">IF(AA$5="A",Inputs_Actuals!AA80,Assumptions!$C$49*IF(Assumptions!AA$96-(0)&lt;1,0,INDEX(Residential!$E$47:$AB$47,Assumptions!AA$96-(0)))+Assumptions!$C$50*IF(Assumptions!AA$96-(1)&lt;1,0,INDEX(Residential!$E$47:$AB$47,Assumptions!AA$96-(1)))+Assumptions!$C$51*IF(Assumptions!AA$96-(2)&lt;1,0,INDEX(Residential!$E$47:$AB$47,Assumptions!AA$96-(2)))+Assumptions!$C$52*IF(Assumptions!AA$96-(3)&lt;1,0,INDEX(Residential!$E$47:$AB$47,Assumptions!AA$96-(3)))+Assumptions!$C$53*IF(Assumptions!AA$96-(4)&lt;1,0,INDEX(Residential!$E$47:$AB$47,Assumptions!AA$96-(4))))</f>
        <v>196781.409610295</v>
      </c>
      <c r="AB48" s="74" t="n">
        <f aca="false">IF(AB$5="A",Inputs_Actuals!AB80,Assumptions!$C$49*IF(Assumptions!AB$96-(0)&lt;1,0,INDEX(Residential!$E$47:$AB$47,Assumptions!AB$96-(0)))+Assumptions!$C$50*IF(Assumptions!AB$96-(1)&lt;1,0,INDEX(Residential!$E$47:$AB$47,Assumptions!AB$96-(1)))+Assumptions!$C$51*IF(Assumptions!AB$96-(2)&lt;1,0,INDEX(Residential!$E$47:$AB$47,Assumptions!AB$96-(2)))+Assumptions!$C$52*IF(Assumptions!AB$96-(3)&lt;1,0,INDEX(Residential!$E$47:$AB$47,Assumptions!AB$96-(3)))+Assumptions!$C$53*IF(Assumptions!AB$96-(4)&lt;1,0,INDEX(Residential!$E$47:$AB$47,Assumptions!AB$96-(4))))</f>
        <v>189417.488943361</v>
      </c>
    </row>
    <row r="49" customFormat="false" ht="15" hidden="false" customHeight="false" outlineLevel="0" collapsed="false">
      <c r="A49" s="27" t="s">
        <v>721</v>
      </c>
      <c r="B49" s="56" t="s">
        <v>835</v>
      </c>
      <c r="C49" s="57" t="n">
        <f aca="false">SUM(E49:P49)</f>
        <v>400914.083761762</v>
      </c>
      <c r="D49" s="57" t="n">
        <f aca="false">SUM(Q49:AB49)</f>
        <v>444224.578910682</v>
      </c>
      <c r="E49" s="58" t="n">
        <f aca="false">IF(E$5="A",Inputs_Actuals!E81,E48*(1-Assumptions!$F$116)*Assumptions!$C$67)</f>
        <v>26744.36</v>
      </c>
      <c r="F49" s="58" t="n">
        <f aca="false">IF(F$5="A",Inputs_Actuals!F81,F48*(1-Assumptions!$F$116)*Assumptions!$C$67)</f>
        <v>21752.02</v>
      </c>
      <c r="G49" s="58" t="n">
        <f aca="false">IF(G$5="A",Inputs_Actuals!G81,G48*(1-Assumptions!$F$116)*Assumptions!$C$67)</f>
        <v>24812.91</v>
      </c>
      <c r="H49" s="58" t="n">
        <f aca="false">IF(H$5="A",Inputs_Actuals!H81,H48*(1-Assumptions!$F$116)*Assumptions!$C$67)</f>
        <v>28373.8</v>
      </c>
      <c r="I49" s="58" t="n">
        <f aca="false">IF(I$5="A",Inputs_Actuals!I81,I48*(1-Assumptions!$F$116)*Assumptions!$C$67)</f>
        <v>37155.85</v>
      </c>
      <c r="J49" s="58" t="n">
        <f aca="false">IF(J$5="A",Inputs_Actuals!J81,J48*(1-Assumptions!$F$116)*Assumptions!$C$67)</f>
        <v>39028.56</v>
      </c>
      <c r="K49" s="58" t="n">
        <f aca="false">IF(K$5="A",Inputs_Actuals!K81,K48*(1-Assumptions!$F$116)*Assumptions!$C$67)</f>
        <v>41499.95</v>
      </c>
      <c r="L49" s="58" t="n">
        <f aca="false">IF(L$5="A",Inputs_Actuals!L81,L48*(1-Assumptions!$F$116)*Assumptions!$C$67)</f>
        <v>36731.32</v>
      </c>
      <c r="M49" s="58" t="n">
        <f aca="false">IF(M$5="A",Inputs_Actuals!M81,M48*(1-Assumptions!$F$116)*Assumptions!$C$67)</f>
        <v>39070.6503848119</v>
      </c>
      <c r="N49" s="58" t="n">
        <f aca="false">IF(N$5="A",Inputs_Actuals!N81,N48*(1-Assumptions!$F$116)*Assumptions!$C$67)</f>
        <v>35708.35856859</v>
      </c>
      <c r="O49" s="58" t="n">
        <f aca="false">IF(O$5="A",Inputs_Actuals!O81,O48*(1-Assumptions!$F$116)*Assumptions!$C$67)</f>
        <v>36021.8820067584</v>
      </c>
      <c r="P49" s="58" t="n">
        <f aca="false">IF(P$5="A",Inputs_Actuals!P81,P48*(1-Assumptions!$F$116)*Assumptions!$C$67)</f>
        <v>34014.4228016013</v>
      </c>
      <c r="Q49" s="58" t="n">
        <f aca="false">IF(Q$5="A",Inputs_Actuals!Q81,Q48*(1-Assumptions!$F$116)*Assumptions!$C$67)</f>
        <v>33450.7632672239</v>
      </c>
      <c r="R49" s="58" t="n">
        <f aca="false">IF(R$5="A",Inputs_Actuals!R81,R48*(1-Assumptions!$F$116)*Assumptions!$C$67)</f>
        <v>30754.7850212429</v>
      </c>
      <c r="S49" s="58" t="n">
        <f aca="false">IF(S$5="A",Inputs_Actuals!S81,S48*(1-Assumptions!$F$116)*Assumptions!$C$67)</f>
        <v>29812.4457526693</v>
      </c>
      <c r="T49" s="58" t="n">
        <f aca="false">IF(T$5="A",Inputs_Actuals!T81,T48*(1-Assumptions!$F$116)*Assumptions!$C$67)</f>
        <v>31401.0838478961</v>
      </c>
      <c r="U49" s="58" t="n">
        <f aca="false">IF(U$5="A",Inputs_Actuals!U81,U48*(1-Assumptions!$F$116)*Assumptions!$C$67)</f>
        <v>34963.0288571512</v>
      </c>
      <c r="V49" s="58" t="n">
        <f aca="false">IF(V$5="A",Inputs_Actuals!V81,V48*(1-Assumptions!$F$116)*Assumptions!$C$67)</f>
        <v>38823.7032606902</v>
      </c>
      <c r="W49" s="58" t="n">
        <f aca="false">IF(W$5="A",Inputs_Actuals!W81,W48*(1-Assumptions!$F$116)*Assumptions!$C$67)</f>
        <v>41154.7201584752</v>
      </c>
      <c r="X49" s="58" t="n">
        <f aca="false">IF(X$5="A",Inputs_Actuals!X81,X48*(1-Assumptions!$F$116)*Assumptions!$C$67)</f>
        <v>41838.2686292626</v>
      </c>
      <c r="Y49" s="58" t="n">
        <f aca="false">IF(Y$5="A",Inputs_Actuals!Y81,Y48*(1-Assumptions!$F$116)*Assumptions!$C$67)</f>
        <v>41638.6192789951</v>
      </c>
      <c r="Z49" s="58" t="n">
        <f aca="false">IF(Z$5="A",Inputs_Actuals!Z81,Z48*(1-Assumptions!$F$116)*Assumptions!$C$67)</f>
        <v>41139.1468538656</v>
      </c>
      <c r="AA49" s="58" t="n">
        <f aca="false">IF(AA$5="A",Inputs_Actuals!AA81,AA48*(1-Assumptions!$F$116)*Assumptions!$C$67)</f>
        <v>40379.5452520326</v>
      </c>
      <c r="AB49" s="58" t="n">
        <f aca="false">IF(AB$5="A",Inputs_Actuals!AB81,AB48*(1-Assumptions!$F$116)*Assumptions!$C$67)</f>
        <v>38868.4687311776</v>
      </c>
    </row>
    <row r="50" customFormat="false" ht="15" hidden="false" customHeight="false" outlineLevel="0" collapsed="false">
      <c r="A50" s="27" t="s">
        <v>723</v>
      </c>
      <c r="B50" s="56" t="s">
        <v>835</v>
      </c>
      <c r="C50" s="57" t="n">
        <f aca="false">SUM(E50:P50)</f>
        <v>488705.204597709</v>
      </c>
      <c r="D50" s="57" t="n">
        <f aca="false">SUM(Q50:AB50)</f>
        <v>542941.152001945</v>
      </c>
      <c r="E50" s="58" t="n">
        <f aca="false">IF(E$5="A",Inputs_Actuals!E82,E48*(1-Assumptions!$F$116)*Assumptions!$C$68)</f>
        <v>31778.28</v>
      </c>
      <c r="F50" s="58" t="n">
        <f aca="false">IF(F$5="A",Inputs_Actuals!F82,F48*(1-Assumptions!$F$116)*Assumptions!$C$68)</f>
        <v>27300.04</v>
      </c>
      <c r="G50" s="58" t="n">
        <f aca="false">IF(G$5="A",Inputs_Actuals!G82,G48*(1-Assumptions!$F$116)*Assumptions!$C$68)</f>
        <v>31904.92</v>
      </c>
      <c r="H50" s="58" t="n">
        <f aca="false">IF(H$5="A",Inputs_Actuals!H82,H48*(1-Assumptions!$F$116)*Assumptions!$C$68)</f>
        <v>33620.03</v>
      </c>
      <c r="I50" s="58" t="n">
        <f aca="false">IF(I$5="A",Inputs_Actuals!I82,I48*(1-Assumptions!$F$116)*Assumptions!$C$68)</f>
        <v>41998.66</v>
      </c>
      <c r="J50" s="58" t="n">
        <f aca="false">IF(J$5="A",Inputs_Actuals!J82,J48*(1-Assumptions!$F$116)*Assumptions!$C$68)</f>
        <v>48157.15</v>
      </c>
      <c r="K50" s="58" t="n">
        <f aca="false">IF(K$5="A",Inputs_Actuals!K82,K48*(1-Assumptions!$F$116)*Assumptions!$C$68)</f>
        <v>49659.38</v>
      </c>
      <c r="L50" s="58" t="n">
        <f aca="false">IF(L$5="A",Inputs_Actuals!L82,L48*(1-Assumptions!$F$116)*Assumptions!$C$68)</f>
        <v>47290.25</v>
      </c>
      <c r="M50" s="58" t="n">
        <f aca="false">IF(M$5="A",Inputs_Actuals!M82,M48*(1-Assumptions!$F$116)*Assumptions!$C$68)</f>
        <v>47753.0171369923</v>
      </c>
      <c r="N50" s="58" t="n">
        <f aca="false">IF(N$5="A",Inputs_Actuals!N82,N48*(1-Assumptions!$F$116)*Assumptions!$C$68)</f>
        <v>43643.54936161</v>
      </c>
      <c r="O50" s="58" t="n">
        <f aca="false">IF(O$5="A",Inputs_Actuals!O82,O48*(1-Assumptions!$F$116)*Assumptions!$C$68)</f>
        <v>44026.744674927</v>
      </c>
      <c r="P50" s="58" t="n">
        <f aca="false">IF(P$5="A",Inputs_Actuals!P82,P48*(1-Assumptions!$F$116)*Assumptions!$C$68)</f>
        <v>41573.1834241793</v>
      </c>
      <c r="Q50" s="58" t="n">
        <f aca="false">IF(Q$5="A",Inputs_Actuals!Q82,Q48*(1-Assumptions!$F$116)*Assumptions!$C$68)</f>
        <v>40884.2662154958</v>
      </c>
      <c r="R50" s="58" t="n">
        <f aca="false">IF(R$5="A",Inputs_Actuals!R82,R48*(1-Assumptions!$F$116)*Assumptions!$C$68)</f>
        <v>37589.1816926302</v>
      </c>
      <c r="S50" s="58" t="n">
        <f aca="false">IF(S$5="A",Inputs_Actuals!S82,S48*(1-Assumptions!$F$116)*Assumptions!$C$68)</f>
        <v>36437.433697707</v>
      </c>
      <c r="T50" s="58" t="n">
        <f aca="false">IF(T$5="A",Inputs_Actuals!T82,T48*(1-Assumptions!$F$116)*Assumptions!$C$68)</f>
        <v>38379.1024807618</v>
      </c>
      <c r="U50" s="58" t="n">
        <f aca="false">IF(U$5="A",Inputs_Actuals!U82,U48*(1-Assumptions!$F$116)*Assumptions!$C$68)</f>
        <v>42732.5908254071</v>
      </c>
      <c r="V50" s="58" t="n">
        <f aca="false">IF(V$5="A",Inputs_Actuals!V82,V48*(1-Assumptions!$F$116)*Assumptions!$C$68)</f>
        <v>47451.192874177</v>
      </c>
      <c r="W50" s="58" t="n">
        <f aca="false">IF(W$5="A",Inputs_Actuals!W82,W48*(1-Assumptions!$F$116)*Assumptions!$C$68)</f>
        <v>50300.2135270253</v>
      </c>
      <c r="X50" s="58" t="n">
        <f aca="false">IF(X$5="A",Inputs_Actuals!X82,X48*(1-Assumptions!$F$116)*Assumptions!$C$68)</f>
        <v>51135.6616579876</v>
      </c>
      <c r="Y50" s="58" t="n">
        <f aca="false">IF(Y$5="A",Inputs_Actuals!Y82,Y48*(1-Assumptions!$F$116)*Assumptions!$C$68)</f>
        <v>50891.6457854384</v>
      </c>
      <c r="Z50" s="58" t="n">
        <f aca="false">IF(Z$5="A",Inputs_Actuals!Z82,Z48*(1-Assumptions!$F$116)*Assumptions!$C$68)</f>
        <v>50281.179488058</v>
      </c>
      <c r="AA50" s="58" t="n">
        <f aca="false">IF(AA$5="A",Inputs_Actuals!AA82,AA48*(1-Assumptions!$F$116)*Assumptions!$C$68)</f>
        <v>49352.7775302621</v>
      </c>
      <c r="AB50" s="58" t="n">
        <f aca="false">IF(AB$5="A",Inputs_Actuals!AB82,AB48*(1-Assumptions!$F$116)*Assumptions!$C$68)</f>
        <v>47505.9062269949</v>
      </c>
    </row>
    <row r="51" customFormat="false" ht="15" hidden="false" customHeight="false" outlineLevel="0" collapsed="false">
      <c r="A51" s="27" t="s">
        <v>724</v>
      </c>
      <c r="B51" s="56" t="s">
        <v>835</v>
      </c>
      <c r="C51" s="57" t="n">
        <f aca="false">SUM(E51:P51)</f>
        <v>451286.214179735</v>
      </c>
      <c r="D51" s="57" t="n">
        <f aca="false">SUM(Q51:AB51)</f>
        <v>493582.865456314</v>
      </c>
      <c r="E51" s="58" t="n">
        <f aca="false">IF(E$5="A",Inputs_Actuals!E83,E48*(1-Assumptions!$F$116)*Assumptions!$C$69)</f>
        <v>30318.11</v>
      </c>
      <c r="F51" s="58" t="n">
        <f aca="false">IF(F$5="A",Inputs_Actuals!F83,F48*(1-Assumptions!$F$116)*Assumptions!$C$69)</f>
        <v>24286.8</v>
      </c>
      <c r="G51" s="58" t="n">
        <f aca="false">IF(G$5="A",Inputs_Actuals!G83,G48*(1-Assumptions!$F$116)*Assumptions!$C$69)</f>
        <v>28132.24</v>
      </c>
      <c r="H51" s="58" t="n">
        <f aca="false">IF(H$5="A",Inputs_Actuals!H83,H48*(1-Assumptions!$F$116)*Assumptions!$C$69)</f>
        <v>30763.67</v>
      </c>
      <c r="I51" s="58" t="n">
        <f aca="false">IF(I$5="A",Inputs_Actuals!I83,I48*(1-Assumptions!$F$116)*Assumptions!$C$69)</f>
        <v>40621.43</v>
      </c>
      <c r="J51" s="58" t="n">
        <f aca="false">IF(J$5="A",Inputs_Actuals!J83,J48*(1-Assumptions!$F$116)*Assumptions!$C$69)</f>
        <v>45450.05</v>
      </c>
      <c r="K51" s="58" t="n">
        <f aca="false">IF(K$5="A",Inputs_Actuals!K83,K48*(1-Assumptions!$F$116)*Assumptions!$C$69)</f>
        <v>45522.69</v>
      </c>
      <c r="L51" s="58" t="n">
        <f aca="false">IF(L$5="A",Inputs_Actuals!L83,L48*(1-Assumptions!$F$116)*Assumptions!$C$69)</f>
        <v>45285.32</v>
      </c>
      <c r="M51" s="58" t="n">
        <f aca="false">IF(M$5="A",Inputs_Actuals!M83,M48*(1-Assumptions!$F$116)*Assumptions!$C$69)</f>
        <v>43411.8337609021</v>
      </c>
      <c r="N51" s="58" t="n">
        <f aca="false">IF(N$5="A",Inputs_Actuals!N83,N48*(1-Assumptions!$F$116)*Assumptions!$C$69)</f>
        <v>39675.9539651</v>
      </c>
      <c r="O51" s="58" t="n">
        <f aca="false">IF(O$5="A",Inputs_Actuals!O83,O48*(1-Assumptions!$F$116)*Assumptions!$C$69)</f>
        <v>40024.3133408427</v>
      </c>
      <c r="P51" s="58" t="n">
        <f aca="false">IF(P$5="A",Inputs_Actuals!P83,P48*(1-Assumptions!$F$116)*Assumptions!$C$69)</f>
        <v>37793.8031128903</v>
      </c>
      <c r="Q51" s="58" t="n">
        <f aca="false">IF(Q$5="A",Inputs_Actuals!Q83,Q48*(1-Assumptions!$F$116)*Assumptions!$C$69)</f>
        <v>37167.5147413598</v>
      </c>
      <c r="R51" s="58" t="n">
        <f aca="false">IF(R$5="A",Inputs_Actuals!R83,R48*(1-Assumptions!$F$116)*Assumptions!$C$69)</f>
        <v>34171.9833569365</v>
      </c>
      <c r="S51" s="58" t="n">
        <f aca="false">IF(S$5="A",Inputs_Actuals!S83,S48*(1-Assumptions!$F$116)*Assumptions!$C$69)</f>
        <v>33124.9397251882</v>
      </c>
      <c r="T51" s="58" t="n">
        <f aca="false">IF(T$5="A",Inputs_Actuals!T83,T48*(1-Assumptions!$F$116)*Assumptions!$C$69)</f>
        <v>34890.0931643289</v>
      </c>
      <c r="U51" s="58" t="n">
        <f aca="false">IF(U$5="A",Inputs_Actuals!U83,U48*(1-Assumptions!$F$116)*Assumptions!$C$69)</f>
        <v>38847.8098412791</v>
      </c>
      <c r="V51" s="58" t="n">
        <f aca="false">IF(V$5="A",Inputs_Actuals!V83,V48*(1-Assumptions!$F$116)*Assumptions!$C$69)</f>
        <v>43137.4480674336</v>
      </c>
      <c r="W51" s="58" t="n">
        <f aca="false">IF(W$5="A",Inputs_Actuals!W83,W48*(1-Assumptions!$F$116)*Assumptions!$C$69)</f>
        <v>45727.4668427503</v>
      </c>
      <c r="X51" s="58" t="n">
        <f aca="false">IF(X$5="A",Inputs_Actuals!X83,X48*(1-Assumptions!$F$116)*Assumptions!$C$69)</f>
        <v>46486.9651436251</v>
      </c>
      <c r="Y51" s="58" t="n">
        <f aca="false">IF(Y$5="A",Inputs_Actuals!Y83,Y48*(1-Assumptions!$F$116)*Assumptions!$C$69)</f>
        <v>46265.1325322167</v>
      </c>
      <c r="Z51" s="58" t="n">
        <f aca="false">IF(Z$5="A",Inputs_Actuals!Z83,Z48*(1-Assumptions!$F$116)*Assumptions!$C$69)</f>
        <v>45710.1631709618</v>
      </c>
      <c r="AA51" s="58" t="n">
        <f aca="false">IF(AA$5="A",Inputs_Actuals!AA83,AA48*(1-Assumptions!$F$116)*Assumptions!$C$69)</f>
        <v>44866.1613911474</v>
      </c>
      <c r="AB51" s="58" t="n">
        <f aca="false">IF(AB$5="A",Inputs_Actuals!AB83,AB48*(1-Assumptions!$F$116)*Assumptions!$C$69)</f>
        <v>43187.1874790862</v>
      </c>
    </row>
    <row r="52" customFormat="false" ht="15" hidden="false" customHeight="false" outlineLevel="0" collapsed="false">
      <c r="A52" s="27" t="s">
        <v>725</v>
      </c>
      <c r="B52" s="56" t="s">
        <v>835</v>
      </c>
      <c r="C52" s="57" t="n">
        <f aca="false">SUM(E52:P52)</f>
        <v>44734.0904179735</v>
      </c>
      <c r="D52" s="57" t="n">
        <f aca="false">SUM(Q52:AB52)</f>
        <v>49358.2865456314</v>
      </c>
      <c r="E52" s="58" t="n">
        <f aca="false">IF(E$5="A",Inputs_Actuals!E84,E48*(1-Assumptions!$F$116)*Assumptions!$C$70)</f>
        <v>2967.98</v>
      </c>
      <c r="F52" s="58" t="n">
        <f aca="false">IF(F$5="A",Inputs_Actuals!F84,F48*(1-Assumptions!$F$116)*Assumptions!$C$70)</f>
        <v>2424.27</v>
      </c>
      <c r="G52" s="58" t="n">
        <f aca="false">IF(G$5="A",Inputs_Actuals!G84,G48*(1-Assumptions!$F$116)*Assumptions!$C$70)</f>
        <v>2823.49</v>
      </c>
      <c r="H52" s="58" t="n">
        <f aca="false">IF(H$5="A",Inputs_Actuals!H84,H48*(1-Assumptions!$F$116)*Assumptions!$C$70)</f>
        <v>3026.14</v>
      </c>
      <c r="I52" s="58" t="n">
        <f aca="false">IF(I$5="A",Inputs_Actuals!I84,I48*(1-Assumptions!$F$116)*Assumptions!$C$70)</f>
        <v>3919.63</v>
      </c>
      <c r="J52" s="58" t="n">
        <f aca="false">IF(J$5="A",Inputs_Actuals!J84,J48*(1-Assumptions!$F$116)*Assumptions!$C$70)</f>
        <v>4726.77</v>
      </c>
      <c r="K52" s="58" t="n">
        <f aca="false">IF(K$5="A",Inputs_Actuals!K84,K48*(1-Assumptions!$F$116)*Assumptions!$C$70)</f>
        <v>4464.55</v>
      </c>
      <c r="L52" s="58" t="n">
        <f aca="false">IF(L$5="A",Inputs_Actuals!L84,L48*(1-Assumptions!$F$116)*Assumptions!$C$70)</f>
        <v>4290.67</v>
      </c>
      <c r="M52" s="58" t="n">
        <f aca="false">IF(M$5="A",Inputs_Actuals!M84,M48*(1-Assumptions!$F$116)*Assumptions!$C$70)</f>
        <v>4341.18337609021</v>
      </c>
      <c r="N52" s="58" t="n">
        <f aca="false">IF(N$5="A",Inputs_Actuals!N84,N48*(1-Assumptions!$F$116)*Assumptions!$C$70)</f>
        <v>3967.59539651</v>
      </c>
      <c r="O52" s="58" t="n">
        <f aca="false">IF(O$5="A",Inputs_Actuals!O84,O48*(1-Assumptions!$F$116)*Assumptions!$C$70)</f>
        <v>4002.43133408427</v>
      </c>
      <c r="P52" s="58" t="n">
        <f aca="false">IF(P$5="A",Inputs_Actuals!P84,P48*(1-Assumptions!$F$116)*Assumptions!$C$70)</f>
        <v>3779.38031128903</v>
      </c>
      <c r="Q52" s="58" t="n">
        <f aca="false">IF(Q$5="A",Inputs_Actuals!Q84,Q48*(1-Assumptions!$F$116)*Assumptions!$C$70)</f>
        <v>3716.75147413598</v>
      </c>
      <c r="R52" s="58" t="n">
        <f aca="false">IF(R$5="A",Inputs_Actuals!R84,R48*(1-Assumptions!$F$116)*Assumptions!$C$70)</f>
        <v>3417.19833569365</v>
      </c>
      <c r="S52" s="58" t="n">
        <f aca="false">IF(S$5="A",Inputs_Actuals!S84,S48*(1-Assumptions!$F$116)*Assumptions!$C$70)</f>
        <v>3312.49397251882</v>
      </c>
      <c r="T52" s="58" t="n">
        <f aca="false">IF(T$5="A",Inputs_Actuals!T84,T48*(1-Assumptions!$F$116)*Assumptions!$C$70)</f>
        <v>3489.00931643289</v>
      </c>
      <c r="U52" s="58" t="n">
        <f aca="false">IF(U$5="A",Inputs_Actuals!U84,U48*(1-Assumptions!$F$116)*Assumptions!$C$70)</f>
        <v>3884.78098412791</v>
      </c>
      <c r="V52" s="58" t="n">
        <f aca="false">IF(V$5="A",Inputs_Actuals!V84,V48*(1-Assumptions!$F$116)*Assumptions!$C$70)</f>
        <v>4313.74480674336</v>
      </c>
      <c r="W52" s="58" t="n">
        <f aca="false">IF(W$5="A",Inputs_Actuals!W84,W48*(1-Assumptions!$F$116)*Assumptions!$C$70)</f>
        <v>4572.74668427503</v>
      </c>
      <c r="X52" s="58" t="n">
        <f aca="false">IF(X$5="A",Inputs_Actuals!X84,X48*(1-Assumptions!$F$116)*Assumptions!$C$70)</f>
        <v>4648.69651436251</v>
      </c>
      <c r="Y52" s="58" t="n">
        <f aca="false">IF(Y$5="A",Inputs_Actuals!Y84,Y48*(1-Assumptions!$F$116)*Assumptions!$C$70)</f>
        <v>4626.51325322167</v>
      </c>
      <c r="Z52" s="58" t="n">
        <f aca="false">IF(Z$5="A",Inputs_Actuals!Z84,Z48*(1-Assumptions!$F$116)*Assumptions!$C$70)</f>
        <v>4571.01631709618</v>
      </c>
      <c r="AA52" s="58" t="n">
        <f aca="false">IF(AA$5="A",Inputs_Actuals!AA84,AA48*(1-Assumptions!$F$116)*Assumptions!$C$70)</f>
        <v>4486.61613911474</v>
      </c>
      <c r="AB52" s="58" t="n">
        <f aca="false">IF(AB$5="A",Inputs_Actuals!AB84,AB48*(1-Assumptions!$F$116)*Assumptions!$C$70)</f>
        <v>4318.71874790862</v>
      </c>
    </row>
    <row r="53" customFormat="false" ht="15" hidden="false" customHeight="false" outlineLevel="0" collapsed="false">
      <c r="A53" s="27" t="s">
        <v>726</v>
      </c>
      <c r="B53" s="56" t="s">
        <v>835</v>
      </c>
      <c r="C53" s="57" t="n">
        <f aca="false">SUM(E53:P53)</f>
        <v>103417.810975272</v>
      </c>
      <c r="D53" s="57" t="n">
        <f aca="false">SUM(Q53:AB53)</f>
        <v>115169.33527314</v>
      </c>
      <c r="E53" s="58" t="n">
        <f aca="false">IF(E$5="A",Inputs_Actuals!E85,E48*(1-Assumptions!$F$116)*Assumptions!$C$71)</f>
        <v>6265.74</v>
      </c>
      <c r="F53" s="58" t="n">
        <f aca="false">IF(F$5="A",Inputs_Actuals!F85,F48*(1-Assumptions!$F$116)*Assumptions!$C$71)</f>
        <v>5990.96</v>
      </c>
      <c r="G53" s="58" t="n">
        <f aca="false">IF(G$5="A",Inputs_Actuals!G85,G48*(1-Assumptions!$F$116)*Assumptions!$C$71)</f>
        <v>5981.64</v>
      </c>
      <c r="H53" s="58" t="n">
        <f aca="false">IF(H$5="A",Inputs_Actuals!H85,H48*(1-Assumptions!$F$116)*Assumptions!$C$71)</f>
        <v>7015.19</v>
      </c>
      <c r="I53" s="58" t="n">
        <f aca="false">IF(I$5="A",Inputs_Actuals!I85,I48*(1-Assumptions!$F$116)*Assumptions!$C$71)</f>
        <v>9279.62</v>
      </c>
      <c r="J53" s="58" t="n">
        <f aca="false">IF(J$5="A",Inputs_Actuals!J85,J48*(1-Assumptions!$F$116)*Assumptions!$C$71)</f>
        <v>10538.71</v>
      </c>
      <c r="K53" s="58" t="n">
        <f aca="false">IF(K$5="A",Inputs_Actuals!K85,K48*(1-Assumptions!$F$116)*Assumptions!$C$71)</f>
        <v>10927.25</v>
      </c>
      <c r="L53" s="58" t="n">
        <f aca="false">IF(L$5="A",Inputs_Actuals!L85,L48*(1-Assumptions!$F$116)*Assumptions!$C$71)</f>
        <v>9873.99</v>
      </c>
      <c r="M53" s="58" t="n">
        <f aca="false">IF(M$5="A",Inputs_Actuals!M85,M48*(1-Assumptions!$F$116)*Assumptions!$C$71)</f>
        <v>10129.4278775438</v>
      </c>
      <c r="N53" s="58" t="n">
        <f aca="false">IF(N$5="A",Inputs_Actuals!N85,N48*(1-Assumptions!$F$116)*Assumptions!$C$71)</f>
        <v>9257.72259185667</v>
      </c>
      <c r="O53" s="58" t="n">
        <f aca="false">IF(O$5="A",Inputs_Actuals!O85,O48*(1-Assumptions!$F$116)*Assumptions!$C$71)</f>
        <v>9339.00644619664</v>
      </c>
      <c r="P53" s="58" t="n">
        <f aca="false">IF(P$5="A",Inputs_Actuals!P85,P48*(1-Assumptions!$F$116)*Assumptions!$C$71)</f>
        <v>8818.5540596744</v>
      </c>
      <c r="Q53" s="58" t="n">
        <f aca="false">IF(Q$5="A",Inputs_Actuals!Q85,Q48*(1-Assumptions!$F$116)*Assumptions!$C$71)</f>
        <v>8672.42010631729</v>
      </c>
      <c r="R53" s="58" t="n">
        <f aca="false">IF(R$5="A",Inputs_Actuals!R85,R48*(1-Assumptions!$F$116)*Assumptions!$C$71)</f>
        <v>7973.46278328519</v>
      </c>
      <c r="S53" s="58" t="n">
        <f aca="false">IF(S$5="A",Inputs_Actuals!S85,S48*(1-Assumptions!$F$116)*Assumptions!$C$71)</f>
        <v>7729.1526025439</v>
      </c>
      <c r="T53" s="58" t="n">
        <f aca="false">IF(T$5="A",Inputs_Actuals!T85,T48*(1-Assumptions!$F$116)*Assumptions!$C$71)</f>
        <v>8141.02173834342</v>
      </c>
      <c r="U53" s="58" t="n">
        <f aca="false">IF(U$5="A",Inputs_Actuals!U85,U48*(1-Assumptions!$F$116)*Assumptions!$C$71)</f>
        <v>9064.48896296513</v>
      </c>
      <c r="V53" s="58" t="n">
        <f aca="false">IF(V$5="A",Inputs_Actuals!V85,V48*(1-Assumptions!$F$116)*Assumptions!$C$71)</f>
        <v>10065.4045490678</v>
      </c>
      <c r="W53" s="58" t="n">
        <f aca="false">IF(W$5="A",Inputs_Actuals!W85,W48*(1-Assumptions!$F$116)*Assumptions!$C$71)</f>
        <v>10669.7422633084</v>
      </c>
      <c r="X53" s="58" t="n">
        <f aca="false">IF(X$5="A",Inputs_Actuals!X85,X48*(1-Assumptions!$F$116)*Assumptions!$C$71)</f>
        <v>10846.9585335125</v>
      </c>
      <c r="Y53" s="58" t="n">
        <f aca="false">IF(Y$5="A",Inputs_Actuals!Y85,Y48*(1-Assumptions!$F$116)*Assumptions!$C$71)</f>
        <v>10795.1975908506</v>
      </c>
      <c r="Z53" s="58" t="n">
        <f aca="false">IF(Z$5="A",Inputs_Actuals!Z85,Z48*(1-Assumptions!$F$116)*Assumptions!$C$71)</f>
        <v>10665.7047398911</v>
      </c>
      <c r="AA53" s="58" t="n">
        <f aca="false">IF(AA$5="A",Inputs_Actuals!AA85,AA48*(1-Assumptions!$F$116)*Assumptions!$C$71)</f>
        <v>10468.7709912677</v>
      </c>
      <c r="AB53" s="58" t="n">
        <f aca="false">IF(AB$5="A",Inputs_Actuals!AB85,AB48*(1-Assumptions!$F$116)*Assumptions!$C$71)</f>
        <v>10077.0104117868</v>
      </c>
    </row>
    <row r="54" customFormat="false" ht="15" hidden="false" customHeight="false" outlineLevel="0" collapsed="false">
      <c r="A54" s="67" t="s">
        <v>836</v>
      </c>
      <c r="B54" s="68" t="s">
        <v>728</v>
      </c>
      <c r="C54" s="69" t="n">
        <f aca="false">SUM(E54:P54)</f>
        <v>1489057.40393245</v>
      </c>
      <c r="D54" s="69" t="n">
        <f aca="false">SUM(Q54:AB54)</f>
        <v>1645276.21818771</v>
      </c>
      <c r="E54" s="69" t="n">
        <f aca="false">SUM(E49:E53)</f>
        <v>98074.47</v>
      </c>
      <c r="F54" s="69" t="n">
        <f aca="false">SUM(F49:F53)</f>
        <v>81754.09</v>
      </c>
      <c r="G54" s="69" t="n">
        <f aca="false">SUM(G49:G53)</f>
        <v>93655.2</v>
      </c>
      <c r="H54" s="69" t="n">
        <f aca="false">SUM(H49:H53)</f>
        <v>102798.83</v>
      </c>
      <c r="I54" s="69" t="n">
        <f aca="false">SUM(I49:I53)</f>
        <v>132975.19</v>
      </c>
      <c r="J54" s="69" t="n">
        <f aca="false">SUM(J49:J53)</f>
        <v>147901.24</v>
      </c>
      <c r="K54" s="69" t="n">
        <f aca="false">SUM(K49:K53)</f>
        <v>152073.82</v>
      </c>
      <c r="L54" s="69" t="n">
        <f aca="false">SUM(L49:L53)</f>
        <v>143471.55</v>
      </c>
      <c r="M54" s="69" t="n">
        <f aca="false">SUM(M49:M53)</f>
        <v>144706.11253634</v>
      </c>
      <c r="N54" s="69" t="n">
        <f aca="false">SUM(N49:N53)</f>
        <v>132253.179883667</v>
      </c>
      <c r="O54" s="69" t="n">
        <f aca="false">SUM(O49:O53)</f>
        <v>133414.377802809</v>
      </c>
      <c r="P54" s="69" t="n">
        <f aca="false">SUM(P49:P53)</f>
        <v>125979.343709634</v>
      </c>
      <c r="Q54" s="69" t="n">
        <f aca="false">SUM(Q49:Q53)</f>
        <v>123891.715804533</v>
      </c>
      <c r="R54" s="69" t="n">
        <f aca="false">SUM(R49:R53)</f>
        <v>113906.611189788</v>
      </c>
      <c r="S54" s="69" t="n">
        <f aca="false">SUM(S49:S53)</f>
        <v>110416.465750627</v>
      </c>
      <c r="T54" s="69" t="n">
        <f aca="false">SUM(T49:T53)</f>
        <v>116300.310547763</v>
      </c>
      <c r="U54" s="69" t="n">
        <f aca="false">SUM(U49:U53)</f>
        <v>129492.69947093</v>
      </c>
      <c r="V54" s="69" t="n">
        <f aca="false">SUM(V49:V53)</f>
        <v>143791.493558112</v>
      </c>
      <c r="W54" s="69" t="n">
        <f aca="false">SUM(W49:W53)</f>
        <v>152424.889475834</v>
      </c>
      <c r="X54" s="69" t="n">
        <f aca="false">SUM(X49:X53)</f>
        <v>154956.55047875</v>
      </c>
      <c r="Y54" s="69" t="n">
        <f aca="false">SUM(Y49:Y53)</f>
        <v>154217.108440722</v>
      </c>
      <c r="Z54" s="69" t="n">
        <f aca="false">SUM(Z49:Z53)</f>
        <v>152367.210569873</v>
      </c>
      <c r="AA54" s="69" t="n">
        <f aca="false">SUM(AA49:AA53)</f>
        <v>149553.871303825</v>
      </c>
      <c r="AB54" s="69" t="n">
        <f aca="false">SUM(AB49:AB53)</f>
        <v>143957.291596954</v>
      </c>
    </row>
    <row r="55" customFormat="false" ht="15" hidden="false" customHeight="false" outlineLevel="0" collapsed="false">
      <c r="A55" s="67" t="s">
        <v>348</v>
      </c>
      <c r="B55" s="68"/>
      <c r="C55" s="69" t="n">
        <f aca="false">SUM(E55:P55)</f>
        <v>492981.865978669</v>
      </c>
      <c r="D55" s="69" t="n">
        <f aca="false">SUM(Q55:AB55)</f>
        <v>519560.911006646</v>
      </c>
      <c r="E55" s="69" t="n">
        <f aca="false">E48-E54</f>
        <v>33334.89</v>
      </c>
      <c r="F55" s="69" t="n">
        <f aca="false">F48-F54</f>
        <v>32482.36</v>
      </c>
      <c r="G55" s="69" t="n">
        <f aca="false">G48-G54</f>
        <v>35103.45</v>
      </c>
      <c r="H55" s="69" t="n">
        <f aca="false">H48-H54</f>
        <v>42326.52</v>
      </c>
      <c r="I55" s="69" t="n">
        <f aca="false">I48-I54</f>
        <v>37081.47</v>
      </c>
      <c r="J55" s="69" t="n">
        <f aca="false">J48-J54</f>
        <v>41228.21</v>
      </c>
      <c r="K55" s="69" t="n">
        <f aca="false">K48-K54</f>
        <v>51188.05</v>
      </c>
      <c r="L55" s="69" t="n">
        <f aca="false">L48-L54</f>
        <v>50862.28</v>
      </c>
      <c r="M55" s="69" t="n">
        <f aca="false">M48-M54</f>
        <v>45696.6671167391</v>
      </c>
      <c r="N55" s="69" t="n">
        <f aca="false">N48-N54</f>
        <v>41764.1620685263</v>
      </c>
      <c r="O55" s="69" t="n">
        <f aca="false">O48-O54</f>
        <v>42130.8561482555</v>
      </c>
      <c r="P55" s="69" t="n">
        <f aca="false">P48-P54</f>
        <v>39782.9506451476</v>
      </c>
      <c r="Q55" s="69" t="n">
        <f aca="false">Q48-Q54</f>
        <v>39123.6997277472</v>
      </c>
      <c r="R55" s="69" t="n">
        <f aca="false">R48-R54</f>
        <v>35970.5087967753</v>
      </c>
      <c r="S55" s="69" t="n">
        <f aca="false">S48-S54</f>
        <v>34868.3576054612</v>
      </c>
      <c r="T55" s="69" t="n">
        <f aca="false">T48-T54</f>
        <v>36726.4138571884</v>
      </c>
      <c r="U55" s="69" t="n">
        <f aca="false">U48-U54</f>
        <v>40892.4314118728</v>
      </c>
      <c r="V55" s="69" t="n">
        <f aca="false">V48-V54</f>
        <v>45407.8400709827</v>
      </c>
      <c r="W55" s="69" t="n">
        <f aca="false">W48-W54</f>
        <v>48134.1756239476</v>
      </c>
      <c r="X55" s="69" t="n">
        <f aca="false">X48-X54</f>
        <v>48933.6475196054</v>
      </c>
      <c r="Y55" s="69" t="n">
        <f aca="false">Y48-Y54</f>
        <v>48700.1395075966</v>
      </c>
      <c r="Z55" s="69" t="n">
        <f aca="false">Z48-Z54</f>
        <v>48115.9612325914</v>
      </c>
      <c r="AA55" s="69" t="n">
        <f aca="false">AA48-AA54</f>
        <v>47227.5383064709</v>
      </c>
      <c r="AB55" s="69" t="n">
        <f aca="false">AB48-AB54</f>
        <v>45460.1973464066</v>
      </c>
    </row>
    <row r="56" customFormat="false" ht="15" hidden="false" customHeight="false" outlineLevel="0" collapsed="false">
      <c r="A56" s="27" t="s">
        <v>303</v>
      </c>
      <c r="B56" s="56"/>
      <c r="C56" s="59" t="n">
        <f aca="false">IF(C48=0,0,C55/C48)</f>
        <v>0.248724570427293</v>
      </c>
      <c r="D56" s="59" t="n">
        <f aca="false">IF(D48=0,0,D55/D48)</f>
        <v>0.24</v>
      </c>
      <c r="E56" s="60" t="n">
        <f aca="false">IF(E48=0,0,E55/E48)</f>
        <v>0.253672112854061</v>
      </c>
      <c r="F56" s="60" t="n">
        <f aca="false">IF(F48=0,0,F55/F48)</f>
        <v>0.284343219699141</v>
      </c>
      <c r="G56" s="60" t="n">
        <f aca="false">IF(G48=0,0,G55/G48)</f>
        <v>0.272629838849662</v>
      </c>
      <c r="H56" s="60" t="n">
        <f aca="false">IF(H48=0,0,H55/H48)</f>
        <v>0.291654903846916</v>
      </c>
      <c r="I56" s="60" t="n">
        <f aca="false">IF(I48=0,0,I55/I48)</f>
        <v>0.218053618129393</v>
      </c>
      <c r="J56" s="60" t="n">
        <f aca="false">IF(J48=0,0,J55/J48)</f>
        <v>0.217989371829718</v>
      </c>
      <c r="K56" s="60" t="n">
        <f aca="false">IF(K48=0,0,K55/K48)</f>
        <v>0.251833017181235</v>
      </c>
      <c r="L56" s="60" t="n">
        <f aca="false">IF(L48=0,0,L55/L48)</f>
        <v>0.261726329378678</v>
      </c>
      <c r="M56" s="60" t="n">
        <f aca="false">IF(M48=0,0,M55/M48)</f>
        <v>0.24</v>
      </c>
      <c r="N56" s="60" t="n">
        <f aca="false">IF(N48=0,0,N55/N48)</f>
        <v>0.24</v>
      </c>
      <c r="O56" s="60" t="n">
        <f aca="false">IF(O48=0,0,O55/O48)</f>
        <v>0.24</v>
      </c>
      <c r="P56" s="60" t="n">
        <f aca="false">IF(P48=0,0,P55/P48)</f>
        <v>0.24</v>
      </c>
      <c r="Q56" s="60" t="n">
        <f aca="false">IF(Q48=0,0,Q55/Q48)</f>
        <v>0.24</v>
      </c>
      <c r="R56" s="60" t="n">
        <f aca="false">IF(R48=0,0,R55/R48)</f>
        <v>0.24</v>
      </c>
      <c r="S56" s="60" t="n">
        <f aca="false">IF(S48=0,0,S55/S48)</f>
        <v>0.24</v>
      </c>
      <c r="T56" s="60" t="n">
        <f aca="false">IF(T48=0,0,T55/T48)</f>
        <v>0.24</v>
      </c>
      <c r="U56" s="60" t="n">
        <f aca="false">IF(U48=0,0,U55/U48)</f>
        <v>0.24</v>
      </c>
      <c r="V56" s="60" t="n">
        <f aca="false">IF(V48=0,0,V55/V48)</f>
        <v>0.24</v>
      </c>
      <c r="W56" s="60" t="n">
        <f aca="false">IF(W48=0,0,W55/W48)</f>
        <v>0.24</v>
      </c>
      <c r="X56" s="60" t="n">
        <f aca="false">IF(X48=0,0,X55/X48)</f>
        <v>0.24</v>
      </c>
      <c r="Y56" s="60" t="n">
        <f aca="false">IF(Y48=0,0,Y55/Y48)</f>
        <v>0.24</v>
      </c>
      <c r="Z56" s="60" t="n">
        <f aca="false">IF(Z48=0,0,Z55/Z48)</f>
        <v>0.24</v>
      </c>
      <c r="AA56" s="60" t="n">
        <f aca="false">IF(AA48=0,0,AA55/AA48)</f>
        <v>0.24</v>
      </c>
      <c r="AB56" s="60" t="n">
        <f aca="false">IF(AB48=0,0,AB55/AB48)</f>
        <v>0.24</v>
      </c>
    </row>
    <row r="57" customFormat="false" ht="15" hidden="false" customHeight="false" outlineLevel="0" collapsed="false">
      <c r="A57" s="27" t="s">
        <v>857</v>
      </c>
      <c r="B57" s="56" t="s">
        <v>858</v>
      </c>
      <c r="C57" s="57" t="n">
        <f aca="false">SUM(E57:P57)</f>
        <v>2261224.99633173</v>
      </c>
      <c r="D57" s="57" t="n">
        <f aca="false">SUM(Q57:AB57)</f>
        <v>2458493.94368321</v>
      </c>
      <c r="E57" s="58" t="n">
        <f aca="false">IF(E$5="A",Inputs_Actuals!E86,(Assumptions!$C$58*E47+Assumptions!$C$59*E48+Assumptions!$C$60*IF(Assumptions!E$96-((4+Assumptions!$C$61))&lt;1,0,INDEX(Residential!$E$47:$AB$47,Assumptions!E$96-((4+Assumptions!$C$61)))))*(1+Assumptions!$C$23))</f>
        <v>154404.31</v>
      </c>
      <c r="F57" s="58" t="n">
        <f aca="false">IF(F$5="A",Inputs_Actuals!F86,(Assumptions!$C$58*F47+Assumptions!$C$59*F48+Assumptions!$C$60*IF(Assumptions!F$96-((4+Assumptions!$C$61))&lt;1,0,INDEX(Residential!$E$47:$AB$47,Assumptions!F$96-((4+Assumptions!$C$61)))))*(1+Assumptions!$C$23))</f>
        <v>127523.45</v>
      </c>
      <c r="G57" s="58" t="n">
        <f aca="false">IF(G$5="A",Inputs_Actuals!G86,(Assumptions!$C$58*G47+Assumptions!$C$59*G48+Assumptions!$C$60*IF(Assumptions!G$96-((4+Assumptions!$C$61))&lt;1,0,INDEX(Residential!$E$47:$AB$47,Assumptions!G$96-((4+Assumptions!$C$61)))))*(1+Assumptions!$C$23))</f>
        <v>172643.28</v>
      </c>
      <c r="H57" s="58" t="n">
        <f aca="false">IF(H$5="A",Inputs_Actuals!H86,(Assumptions!$C$58*H47+Assumptions!$C$59*H48+Assumptions!$C$60*IF(Assumptions!H$96-((4+Assumptions!$C$61))&lt;1,0,INDEX(Residential!$E$47:$AB$47,Assumptions!H$96-((4+Assumptions!$C$61)))))*(1+Assumptions!$C$23))</f>
        <v>158914.79</v>
      </c>
      <c r="I57" s="58" t="n">
        <f aca="false">IF(I$5="A",Inputs_Actuals!I86,(Assumptions!$C$58*I47+Assumptions!$C$59*I48+Assumptions!$C$60*IF(Assumptions!I$96-((4+Assumptions!$C$61))&lt;1,0,INDEX(Residential!$E$47:$AB$47,Assumptions!I$96-((4+Assumptions!$C$61)))))*(1+Assumptions!$C$23))</f>
        <v>209857.5</v>
      </c>
      <c r="J57" s="58" t="n">
        <f aca="false">IF(J$5="A",Inputs_Actuals!J86,(Assumptions!$C$58*J47+Assumptions!$C$59*J48+Assumptions!$C$60*IF(Assumptions!J$96-((4+Assumptions!$C$61))&lt;1,0,INDEX(Residential!$E$47:$AB$47,Assumptions!J$96-((4+Assumptions!$C$61)))))*(1+Assumptions!$C$23))</f>
        <v>201122.58</v>
      </c>
      <c r="K57" s="58" t="n">
        <f aca="false">IF(K$5="A",Inputs_Actuals!K86,(Assumptions!$C$58*K47+Assumptions!$C$59*K48+Assumptions!$C$60*IF(Assumptions!K$96-((4+Assumptions!$C$61))&lt;1,0,INDEX(Residential!$E$47:$AB$47,Assumptions!K$96-((4+Assumptions!$C$61)))))*(1+Assumptions!$C$23))</f>
        <v>233828.21</v>
      </c>
      <c r="L57" s="58" t="n">
        <f aca="false">IF(L$5="A",Inputs_Actuals!L86,(Assumptions!$C$58*L47+Assumptions!$C$59*L48+Assumptions!$C$60*IF(Assumptions!L$96-((4+Assumptions!$C$61))&lt;1,0,INDEX(Residential!$E$47:$AB$47,Assumptions!L$96-((4+Assumptions!$C$61)))))*(1+Assumptions!$C$23))</f>
        <v>202124.39</v>
      </c>
      <c r="M57" s="58" t="n">
        <f aca="false">IF(M$5="A",Inputs_Actuals!M86,(Assumptions!$C$58*M47+Assumptions!$C$59*M48+Assumptions!$C$60*IF(Assumptions!M$96-((4+Assumptions!$C$61))&lt;1,0,INDEX(Residential!$E$47:$AB$47,Assumptions!M$96-((4+Assumptions!$C$61)))))*(1+Assumptions!$C$23))</f>
        <v>219046.894059364</v>
      </c>
      <c r="N57" s="58" t="n">
        <f aca="false">IF(N$5="A",Inputs_Actuals!N86,(Assumptions!$C$58*N47+Assumptions!$C$59*N48+Assumptions!$C$60*IF(Assumptions!N$96-((4+Assumptions!$C$61))&lt;1,0,INDEX(Residential!$E$47:$AB$47,Assumptions!N$96-((4+Assumptions!$C$61)))))*(1+Assumptions!$C$23))</f>
        <v>195946.724195591</v>
      </c>
      <c r="O57" s="58" t="n">
        <f aca="false">IF(O$5="A",Inputs_Actuals!O86,(Assumptions!$C$58*O47+Assumptions!$C$59*O48+Assumptions!$C$60*IF(Assumptions!O$96-((4+Assumptions!$C$61))&lt;1,0,INDEX(Residential!$E$47:$AB$47,Assumptions!O$96-((4+Assumptions!$C$61)))))*(1+Assumptions!$C$23))</f>
        <v>203978.125331425</v>
      </c>
      <c r="P57" s="58" t="n">
        <f aca="false">IF(P$5="A",Inputs_Actuals!P86,(Assumptions!$C$58*P47+Assumptions!$C$59*P48+Assumptions!$C$60*IF(Assumptions!P$96-((4+Assumptions!$C$61))&lt;1,0,INDEX(Residential!$E$47:$AB$47,Assumptions!P$96-((4+Assumptions!$C$61)))))*(1+Assumptions!$C$23))</f>
        <v>181834.742745351</v>
      </c>
      <c r="Q57" s="58" t="n">
        <f aca="false">IF(Q$5="A",Inputs_Actuals!Q86,(Assumptions!$C$58*Q47+Assumptions!$C$59*Q48+Assumptions!$C$60*IF(Assumptions!Q$96-((4+Assumptions!$C$61))&lt;1,0,INDEX(Residential!$E$47:$AB$47,Assumptions!Q$96-((4+Assumptions!$C$61)))))*(1+Assumptions!$C$23))</f>
        <v>183071.431045502</v>
      </c>
      <c r="R57" s="58" t="n">
        <f aca="false">IF(R$5="A",Inputs_Actuals!R86,(Assumptions!$C$58*R47+Assumptions!$C$59*R48+Assumptions!$C$60*IF(Assumptions!R$96-((4+Assumptions!$C$61))&lt;1,0,INDEX(Residential!$E$47:$AB$47,Assumptions!R$96-((4+Assumptions!$C$61)))))*(1+Assumptions!$C$23))</f>
        <v>168351.794683571</v>
      </c>
      <c r="S57" s="58" t="n">
        <f aca="false">IF(S$5="A",Inputs_Actuals!S86,(Assumptions!$C$58*S47+Assumptions!$C$59*S48+Assumptions!$C$60*IF(Assumptions!S$96-((4+Assumptions!$C$61))&lt;1,0,INDEX(Residential!$E$47:$AB$47,Assumptions!S$96-((4+Assumptions!$C$61)))))*(1+Assumptions!$C$23))</f>
        <v>173009.552893547</v>
      </c>
      <c r="T57" s="58" t="n">
        <f aca="false">IF(T$5="A",Inputs_Actuals!T86,(Assumptions!$C$58*T47+Assumptions!$C$59*T48+Assumptions!$C$60*IF(Assumptions!T$96-((4+Assumptions!$C$61))&lt;1,0,INDEX(Residential!$E$47:$AB$47,Assumptions!T$96-((4+Assumptions!$C$61)))))*(1+Assumptions!$C$23))</f>
        <v>182876.163564862</v>
      </c>
      <c r="U57" s="58" t="n">
        <f aca="false">IF(U$5="A",Inputs_Actuals!U86,(Assumptions!$C$58*U47+Assumptions!$C$59*U48+Assumptions!$C$60*IF(Assumptions!U$96-((4+Assumptions!$C$61))&lt;1,0,INDEX(Residential!$E$47:$AB$47,Assumptions!U$96-((4+Assumptions!$C$61)))))*(1+Assumptions!$C$23))</f>
        <v>199477.741111294</v>
      </c>
      <c r="V57" s="58" t="n">
        <f aca="false">IF(V$5="A",Inputs_Actuals!V86,(Assumptions!$C$58*V47+Assumptions!$C$59*V48+Assumptions!$C$60*IF(Assumptions!V$96-((4+Assumptions!$C$61))&lt;1,0,INDEX(Residential!$E$47:$AB$47,Assumptions!V$96-((4+Assumptions!$C$61)))))*(1+Assumptions!$C$23))</f>
        <v>215364.767818064</v>
      </c>
      <c r="W57" s="58" t="n">
        <f aca="false">IF(W$5="A",Inputs_Actuals!W86,(Assumptions!$C$58*W47+Assumptions!$C$59*W48+Assumptions!$C$60*IF(Assumptions!W$96-((4+Assumptions!$C$61))&lt;1,0,INDEX(Residential!$E$47:$AB$47,Assumptions!W$96-((4+Assumptions!$C$61)))))*(1+Assumptions!$C$23))</f>
        <v>223406.124617862</v>
      </c>
      <c r="X57" s="58" t="n">
        <f aca="false">IF(X$5="A",Inputs_Actuals!X86,(Assumptions!$C$58*X47+Assumptions!$C$59*X48+Assumptions!$C$60*IF(Assumptions!X$96-((4+Assumptions!$C$61))&lt;1,0,INDEX(Residential!$E$47:$AB$47,Assumptions!X$96-((4+Assumptions!$C$61)))))*(1+Assumptions!$C$23))</f>
        <v>226641.025297123</v>
      </c>
      <c r="Y57" s="58" t="n">
        <f aca="false">IF(Y$5="A",Inputs_Actuals!Y86,(Assumptions!$C$58*Y47+Assumptions!$C$59*Y48+Assumptions!$C$60*IF(Assumptions!Y$96-((4+Assumptions!$C$61))&lt;1,0,INDEX(Residential!$E$47:$AB$47,Assumptions!Y$96-((4+Assumptions!$C$61)))))*(1+Assumptions!$C$23))</f>
        <v>229128.139459508</v>
      </c>
      <c r="Z57" s="58" t="n">
        <f aca="false">IF(Z$5="A",Inputs_Actuals!Z86,(Assumptions!$C$58*Z47+Assumptions!$C$59*Z48+Assumptions!$C$60*IF(Assumptions!Z$96-((4+Assumptions!$C$61))&lt;1,0,INDEX(Residential!$E$47:$AB$47,Assumptions!Z$96-((4+Assumptions!$C$61)))))*(1+Assumptions!$C$23))</f>
        <v>226641.249247445</v>
      </c>
      <c r="AA57" s="58" t="n">
        <f aca="false">IF(AA$5="A",Inputs_Actuals!AA86,(Assumptions!$C$58*AA47+Assumptions!$C$59*AA48+Assumptions!$C$60*IF(Assumptions!AA$96-((4+Assumptions!$C$61))&lt;1,0,INDEX(Residential!$E$47:$AB$47,Assumptions!AA$96-((4+Assumptions!$C$61)))))*(1+Assumptions!$C$23))</f>
        <v>220884.333861646</v>
      </c>
      <c r="AB57" s="58" t="n">
        <f aca="false">IF(AB$5="A",Inputs_Actuals!AB86,(Assumptions!$C$58*AB47+Assumptions!$C$59*AB48+Assumptions!$C$60*IF(Assumptions!AB$96-((4+Assumptions!$C$61))&lt;1,0,INDEX(Residential!$E$47:$AB$47,Assumptions!AB$96-((4+Assumptions!$C$61)))))*(1+Assumptions!$C$23))</f>
        <v>209641.62008279</v>
      </c>
    </row>
    <row r="58" customFormat="false" ht="15" hidden="false" customHeight="false" outlineLevel="0" collapsed="false">
      <c r="A58" s="27" t="s">
        <v>806</v>
      </c>
      <c r="B58" s="56"/>
      <c r="C58" s="57" t="n">
        <f aca="false">SUM(E58:P58)</f>
        <v>1992268.71923501</v>
      </c>
      <c r="D58" s="57" t="n">
        <f aca="false">SUM(Q58:AB58)</f>
        <v>2166073.95919226</v>
      </c>
      <c r="E58" s="58" t="n">
        <f aca="false">E57/(1+Assumptions!$C$23)</f>
        <v>136039.039647577</v>
      </c>
      <c r="F58" s="58" t="n">
        <f aca="false">F57/(1+Assumptions!$C$23)</f>
        <v>112355.462555066</v>
      </c>
      <c r="G58" s="58" t="n">
        <f aca="false">G57/(1+Assumptions!$C$23)</f>
        <v>152108.616740088</v>
      </c>
      <c r="H58" s="58" t="n">
        <f aca="false">H57/(1+Assumptions!$C$23)</f>
        <v>140013.030837004</v>
      </c>
      <c r="I58" s="58" t="n">
        <f aca="false">I57/(1+Assumptions!$C$23)</f>
        <v>184896.475770925</v>
      </c>
      <c r="J58" s="58" t="n">
        <f aca="false">J57/(1+Assumptions!$C$23)</f>
        <v>177200.511013216</v>
      </c>
      <c r="K58" s="58" t="n">
        <f aca="false">K57/(1+Assumptions!$C$23)</f>
        <v>206016.044052863</v>
      </c>
      <c r="L58" s="58" t="n">
        <f aca="false">L57/(1+Assumptions!$C$23)</f>
        <v>178083.162995595</v>
      </c>
      <c r="M58" s="58" t="n">
        <f aca="false">M57/(1+Assumptions!$C$23)</f>
        <v>192992.858202083</v>
      </c>
      <c r="N58" s="58" t="n">
        <f aca="false">N57/(1+Assumptions!$C$23)</f>
        <v>172640.285634882</v>
      </c>
      <c r="O58" s="58" t="n">
        <f aca="false">O57/(1+Assumptions!$C$23)</f>
        <v>179716.409983635</v>
      </c>
      <c r="P58" s="58" t="n">
        <f aca="false">P57/(1+Assumptions!$C$23)</f>
        <v>160206.821802071</v>
      </c>
      <c r="Q58" s="58" t="n">
        <f aca="false">Q57/(1+Assumptions!$C$23)</f>
        <v>161296.415018064</v>
      </c>
      <c r="R58" s="58" t="n">
        <f aca="false">R57/(1+Assumptions!$C$23)</f>
        <v>148327.572408432</v>
      </c>
      <c r="S58" s="58" t="n">
        <f aca="false">S57/(1+Assumptions!$C$23)</f>
        <v>152431.324135284</v>
      </c>
      <c r="T58" s="58" t="n">
        <f aca="false">T57/(1+Assumptions!$C$23)</f>
        <v>161124.373184901</v>
      </c>
      <c r="U58" s="58" t="n">
        <f aca="false">U57/(1+Assumptions!$C$23)</f>
        <v>175751.313754444</v>
      </c>
      <c r="V58" s="58" t="n">
        <f aca="false">V57/(1+Assumptions!$C$23)</f>
        <v>189748.694112832</v>
      </c>
      <c r="W58" s="58" t="n">
        <f aca="false">W57/(1+Assumptions!$C$23)</f>
        <v>196833.589971684</v>
      </c>
      <c r="X58" s="58" t="n">
        <f aca="false">X57/(1+Assumptions!$C$23)</f>
        <v>199683.722728743</v>
      </c>
      <c r="Y58" s="58" t="n">
        <f aca="false">Y57/(1+Assumptions!$C$23)</f>
        <v>201875.012739654</v>
      </c>
      <c r="Z58" s="58" t="n">
        <f aca="false">Z57/(1+Assumptions!$C$23)</f>
        <v>199683.920041802</v>
      </c>
      <c r="AA58" s="58" t="n">
        <f aca="false">AA57/(1+Assumptions!$C$23)</f>
        <v>194611.747895723</v>
      </c>
      <c r="AB58" s="58" t="n">
        <f aca="false">AB57/(1+Assumptions!$C$23)</f>
        <v>184706.273200696</v>
      </c>
    </row>
    <row r="59" customFormat="false" ht="15" hidden="false" customHeight="false" outlineLevel="0" collapsed="false">
      <c r="A59" s="27" t="s">
        <v>758</v>
      </c>
      <c r="B59" s="56"/>
      <c r="C59" s="57" t="n">
        <f aca="false">SUM(E59:P59)</f>
        <v>268956.277096726</v>
      </c>
      <c r="D59" s="57" t="n">
        <f aca="false">SUM(Q59:AB59)</f>
        <v>292419.984490955</v>
      </c>
      <c r="E59" s="70" t="n">
        <f aca="false">E57-E58</f>
        <v>18365.2703524229</v>
      </c>
      <c r="F59" s="70" t="n">
        <f aca="false">F57-F58</f>
        <v>15167.9874449339</v>
      </c>
      <c r="G59" s="70" t="n">
        <f aca="false">G57-G58</f>
        <v>20534.6632599119</v>
      </c>
      <c r="H59" s="70" t="n">
        <f aca="false">H57-H58</f>
        <v>18901.7591629956</v>
      </c>
      <c r="I59" s="70" t="n">
        <f aca="false">I57-I58</f>
        <v>24961.0242290749</v>
      </c>
      <c r="J59" s="70" t="n">
        <f aca="false">J57-J58</f>
        <v>23922.0689867841</v>
      </c>
      <c r="K59" s="70" t="n">
        <f aca="false">K57-K58</f>
        <v>27812.1659471366</v>
      </c>
      <c r="L59" s="70" t="n">
        <f aca="false">L57-L58</f>
        <v>24041.2270044053</v>
      </c>
      <c r="M59" s="70" t="n">
        <f aca="false">M57-M58</f>
        <v>26054.0358572812</v>
      </c>
      <c r="N59" s="70" t="n">
        <f aca="false">N57-N58</f>
        <v>23306.438560709</v>
      </c>
      <c r="O59" s="70" t="n">
        <f aca="false">O57-O58</f>
        <v>24261.7153477907</v>
      </c>
      <c r="P59" s="70" t="n">
        <f aca="false">P57-P58</f>
        <v>21627.9209432796</v>
      </c>
      <c r="Q59" s="70" t="n">
        <f aca="false">Q57-Q58</f>
        <v>21775.0160274386</v>
      </c>
      <c r="R59" s="70" t="n">
        <f aca="false">R57-R58</f>
        <v>20024.2222751384</v>
      </c>
      <c r="S59" s="70" t="n">
        <f aca="false">S57-S58</f>
        <v>20578.2287582633</v>
      </c>
      <c r="T59" s="70" t="n">
        <f aca="false">T57-T58</f>
        <v>21751.7903799616</v>
      </c>
      <c r="U59" s="70" t="n">
        <f aca="false">U57-U58</f>
        <v>23726.4273568499</v>
      </c>
      <c r="V59" s="70" t="n">
        <f aca="false">V57-V58</f>
        <v>25616.0737052323</v>
      </c>
      <c r="W59" s="70" t="n">
        <f aca="false">W57-W58</f>
        <v>26572.5346461774</v>
      </c>
      <c r="X59" s="70" t="n">
        <f aca="false">X57-X58</f>
        <v>26957.3025683803</v>
      </c>
      <c r="Y59" s="70" t="n">
        <f aca="false">Y57-Y58</f>
        <v>27253.1267198533</v>
      </c>
      <c r="Z59" s="70" t="n">
        <f aca="false">Z57-Z58</f>
        <v>26957.3292056432</v>
      </c>
      <c r="AA59" s="70" t="n">
        <f aca="false">AA57-AA58</f>
        <v>26272.5859659226</v>
      </c>
      <c r="AB59" s="70" t="n">
        <f aca="false">AB57-AB58</f>
        <v>24935.346882094</v>
      </c>
    </row>
    <row r="60" customFormat="false" ht="15" hidden="false" customHeight="false" outlineLevel="0" collapsed="false">
      <c r="A60" s="27" t="s">
        <v>844</v>
      </c>
      <c r="B60" s="56" t="s">
        <v>766</v>
      </c>
      <c r="C60" s="57" t="n">
        <f aca="false">P60</f>
        <v>-15852.8193238862</v>
      </c>
      <c r="D60" s="57" t="n">
        <f aca="false">AB60</f>
        <v>-17089.6493217856</v>
      </c>
      <c r="E60" s="58" t="n">
        <f aca="false">Inputs_Actuals!$C$125+E48-E58</f>
        <v>-10253.0496475771</v>
      </c>
      <c r="F60" s="70" t="n">
        <f aca="false">E60+F48-F58</f>
        <v>-8372.06220264318</v>
      </c>
      <c r="G60" s="70" t="n">
        <f aca="false">F60+G48-G58</f>
        <v>-31722.0289427313</v>
      </c>
      <c r="H60" s="70" t="n">
        <f aca="false">G60+H48-H58</f>
        <v>-26609.7097797357</v>
      </c>
      <c r="I60" s="70" t="n">
        <f aca="false">H60+I48-I58</f>
        <v>-41449.5255506608</v>
      </c>
      <c r="J60" s="70" t="n">
        <f aca="false">I60+J48-J58</f>
        <v>-29520.5865638766</v>
      </c>
      <c r="K60" s="70" t="n">
        <f aca="false">J60+K48-K58</f>
        <v>-32274.7606167401</v>
      </c>
      <c r="L60" s="70" t="n">
        <f aca="false">K60+L48-L58</f>
        <v>-16024.0936123348</v>
      </c>
      <c r="M60" s="70" t="n">
        <f aca="false">L60+M48-M58</f>
        <v>-18614.1721613382</v>
      </c>
      <c r="N60" s="70" t="n">
        <f aca="false">M60+N48-N58</f>
        <v>-17237.1158440268</v>
      </c>
      <c r="O60" s="70" t="n">
        <f aca="false">N60+O48-O58</f>
        <v>-21408.2918765969</v>
      </c>
      <c r="P60" s="70" t="n">
        <f aca="false">O60+P48-P58</f>
        <v>-15852.8193238862</v>
      </c>
      <c r="Q60" s="70" t="n">
        <f aca="false">P60+Q48-Q58</f>
        <v>-14133.81880967</v>
      </c>
      <c r="R60" s="70" t="n">
        <f aca="false">Q60+R48-R58</f>
        <v>-12584.2712315387</v>
      </c>
      <c r="S60" s="70" t="n">
        <f aca="false">R60+S48-S58</f>
        <v>-19730.772010734</v>
      </c>
      <c r="T60" s="70" t="n">
        <f aca="false">S60+T48-T58</f>
        <v>-27828.420790683</v>
      </c>
      <c r="U60" s="70" t="n">
        <f aca="false">T60+U48-U58</f>
        <v>-33194.6036623235</v>
      </c>
      <c r="V60" s="70" t="n">
        <f aca="false">U60+V48-V58</f>
        <v>-33743.9641460604</v>
      </c>
      <c r="W60" s="70" t="n">
        <f aca="false">V60+W48-W58</f>
        <v>-30018.4890179629</v>
      </c>
      <c r="X60" s="70" t="n">
        <f aca="false">W60+X48-X58</f>
        <v>-25812.0137483496</v>
      </c>
      <c r="Y60" s="70" t="n">
        <f aca="false">X60+Y48-Y58</f>
        <v>-24769.7785396851</v>
      </c>
      <c r="Z60" s="70" t="n">
        <f aca="false">Y60+Z48-Z58</f>
        <v>-23970.5267790228</v>
      </c>
      <c r="AA60" s="70" t="n">
        <f aca="false">Z60+AA48-AA58</f>
        <v>-21800.8650644503</v>
      </c>
      <c r="AB60" s="70" t="n">
        <f aca="false">AA60+AB48-AB58</f>
        <v>-17089.6493217856</v>
      </c>
    </row>
    <row r="61" customFormat="false" ht="15" hidden="false" customHeight="false" outlineLevel="0" collapsed="false">
      <c r="A61" s="27" t="s">
        <v>845</v>
      </c>
      <c r="B61" s="56"/>
      <c r="C61" s="57" t="n">
        <f aca="false">P61</f>
        <v>0</v>
      </c>
      <c r="D61" s="57" t="n">
        <f aca="false">AB61</f>
        <v>0</v>
      </c>
      <c r="E61" s="70" t="n">
        <f aca="false">MAX(0,E60)</f>
        <v>0</v>
      </c>
      <c r="F61" s="70" t="n">
        <f aca="false">MAX(0,F60)</f>
        <v>0</v>
      </c>
      <c r="G61" s="70" t="n">
        <f aca="false">MAX(0,G60)</f>
        <v>0</v>
      </c>
      <c r="H61" s="70" t="n">
        <f aca="false">MAX(0,H60)</f>
        <v>0</v>
      </c>
      <c r="I61" s="70" t="n">
        <f aca="false">MAX(0,I60)</f>
        <v>0</v>
      </c>
      <c r="J61" s="70" t="n">
        <f aca="false">MAX(0,J60)</f>
        <v>0</v>
      </c>
      <c r="K61" s="70" t="n">
        <f aca="false">MAX(0,K60)</f>
        <v>0</v>
      </c>
      <c r="L61" s="70" t="n">
        <f aca="false">MAX(0,L60)</f>
        <v>0</v>
      </c>
      <c r="M61" s="70" t="n">
        <f aca="false">MAX(0,M60)</f>
        <v>0</v>
      </c>
      <c r="N61" s="70" t="n">
        <f aca="false">MAX(0,N60)</f>
        <v>0</v>
      </c>
      <c r="O61" s="70" t="n">
        <f aca="false">MAX(0,O60)</f>
        <v>0</v>
      </c>
      <c r="P61" s="70" t="n">
        <f aca="false">MAX(0,P60)</f>
        <v>0</v>
      </c>
      <c r="Q61" s="70" t="n">
        <f aca="false">MAX(0,Q60)</f>
        <v>0</v>
      </c>
      <c r="R61" s="70" t="n">
        <f aca="false">MAX(0,R60)</f>
        <v>0</v>
      </c>
      <c r="S61" s="70" t="n">
        <f aca="false">MAX(0,S60)</f>
        <v>0</v>
      </c>
      <c r="T61" s="70" t="n">
        <f aca="false">MAX(0,T60)</f>
        <v>0</v>
      </c>
      <c r="U61" s="70" t="n">
        <f aca="false">MAX(0,U60)</f>
        <v>0</v>
      </c>
      <c r="V61" s="70" t="n">
        <f aca="false">MAX(0,V60)</f>
        <v>0</v>
      </c>
      <c r="W61" s="70" t="n">
        <f aca="false">MAX(0,W60)</f>
        <v>0</v>
      </c>
      <c r="X61" s="70" t="n">
        <f aca="false">MAX(0,X60)</f>
        <v>0</v>
      </c>
      <c r="Y61" s="70" t="n">
        <f aca="false">MAX(0,Y60)</f>
        <v>0</v>
      </c>
      <c r="Z61" s="70" t="n">
        <f aca="false">MAX(0,Z60)</f>
        <v>0</v>
      </c>
      <c r="AA61" s="70" t="n">
        <f aca="false">MAX(0,AA60)</f>
        <v>0</v>
      </c>
      <c r="AB61" s="70" t="n">
        <f aca="false">MAX(0,AB60)</f>
        <v>0</v>
      </c>
    </row>
    <row r="62" customFormat="false" ht="15" hidden="false" customHeight="false" outlineLevel="0" collapsed="false">
      <c r="A62" s="27" t="s">
        <v>846</v>
      </c>
      <c r="B62" s="56"/>
      <c r="C62" s="57" t="n">
        <f aca="false">P62</f>
        <v>15852.8193238862</v>
      </c>
      <c r="D62" s="57" t="n">
        <f aca="false">AB62</f>
        <v>17089.6493217856</v>
      </c>
      <c r="E62" s="70" t="n">
        <f aca="false">MAX(0,-E60)</f>
        <v>10253.0496475771</v>
      </c>
      <c r="F62" s="70" t="n">
        <f aca="false">MAX(0,-F60)</f>
        <v>8372.06220264318</v>
      </c>
      <c r="G62" s="70" t="n">
        <f aca="false">MAX(0,-G60)</f>
        <v>31722.0289427313</v>
      </c>
      <c r="H62" s="70" t="n">
        <f aca="false">MAX(0,-H60)</f>
        <v>26609.7097797357</v>
      </c>
      <c r="I62" s="70" t="n">
        <f aca="false">MAX(0,-I60)</f>
        <v>41449.5255506608</v>
      </c>
      <c r="J62" s="70" t="n">
        <f aca="false">MAX(0,-J60)</f>
        <v>29520.5865638766</v>
      </c>
      <c r="K62" s="70" t="n">
        <f aca="false">MAX(0,-K60)</f>
        <v>32274.7606167401</v>
      </c>
      <c r="L62" s="70" t="n">
        <f aca="false">MAX(0,-L60)</f>
        <v>16024.0936123348</v>
      </c>
      <c r="M62" s="70" t="n">
        <f aca="false">MAX(0,-M60)</f>
        <v>18614.1721613382</v>
      </c>
      <c r="N62" s="70" t="n">
        <f aca="false">MAX(0,-N60)</f>
        <v>17237.1158440268</v>
      </c>
      <c r="O62" s="70" t="n">
        <f aca="false">MAX(0,-O60)</f>
        <v>21408.2918765969</v>
      </c>
      <c r="P62" s="70" t="n">
        <f aca="false">MAX(0,-P60)</f>
        <v>15852.8193238862</v>
      </c>
      <c r="Q62" s="70" t="n">
        <f aca="false">MAX(0,-Q60)</f>
        <v>14133.81880967</v>
      </c>
      <c r="R62" s="70" t="n">
        <f aca="false">MAX(0,-R60)</f>
        <v>12584.2712315387</v>
      </c>
      <c r="S62" s="70" t="n">
        <f aca="false">MAX(0,-S60)</f>
        <v>19730.772010734</v>
      </c>
      <c r="T62" s="70" t="n">
        <f aca="false">MAX(0,-T60)</f>
        <v>27828.420790683</v>
      </c>
      <c r="U62" s="70" t="n">
        <f aca="false">MAX(0,-U60)</f>
        <v>33194.6036623235</v>
      </c>
      <c r="V62" s="70" t="n">
        <f aca="false">MAX(0,-V60)</f>
        <v>33743.9641460604</v>
      </c>
      <c r="W62" s="70" t="n">
        <f aca="false">MAX(0,-W60)</f>
        <v>30018.4890179629</v>
      </c>
      <c r="X62" s="70" t="n">
        <f aca="false">MAX(0,-X60)</f>
        <v>25812.0137483496</v>
      </c>
      <c r="Y62" s="70" t="n">
        <f aca="false">MAX(0,-Y60)</f>
        <v>24769.7785396851</v>
      </c>
      <c r="Z62" s="70" t="n">
        <f aca="false">MAX(0,-Z60)</f>
        <v>23970.5267790228</v>
      </c>
      <c r="AA62" s="70" t="n">
        <f aca="false">MAX(0,-AA60)</f>
        <v>21800.8650644503</v>
      </c>
      <c r="AB62" s="70" t="n">
        <f aca="false">MAX(0,-AB60)</f>
        <v>17089.6493217856</v>
      </c>
    </row>
    <row r="63" customFormat="false" ht="15" hidden="false" customHeight="false" outlineLevel="0" collapsed="false">
      <c r="A63" s="27" t="s">
        <v>847</v>
      </c>
      <c r="B63" s="56" t="s">
        <v>762</v>
      </c>
      <c r="C63" s="57" t="n">
        <f aca="false">SUM(E63:P63)</f>
        <v>2268910.05541661</v>
      </c>
      <c r="D63" s="57" t="n">
        <f aca="false">SUM(Q63:AB63)</f>
        <v>2449224.98457073</v>
      </c>
      <c r="E63" s="58" t="n">
        <f aca="false">IF(E$5="A",Inputs_Actuals!E87,Inputs_Actuals!$C$123+E57-E57*MIN(1,Assumptions!$F$124/30))</f>
        <v>166567.19</v>
      </c>
      <c r="F63" s="58" t="n">
        <f aca="false">IF(F$5="A",Inputs_Actuals!F87,E64+F57-F57*MIN(1,Assumptions!$F$124/30))</f>
        <v>124038.46</v>
      </c>
      <c r="G63" s="58" t="n">
        <f aca="false">IF(G$5="A",Inputs_Actuals!G87,F64+G57-G57*MIN(1,Assumptions!$F$124/30))</f>
        <v>159820.04</v>
      </c>
      <c r="H63" s="58" t="n">
        <f aca="false">IF(H$5="A",Inputs_Actuals!H87,G64+H57-H57*MIN(1,Assumptions!$F$124/30))</f>
        <v>151894.2</v>
      </c>
      <c r="I63" s="58" t="n">
        <f aca="false">IF(I$5="A",Inputs_Actuals!I87,H64+I57-I57*MIN(1,Assumptions!$F$124/30))</f>
        <v>204243.51</v>
      </c>
      <c r="J63" s="58" t="n">
        <f aca="false">IF(J$5="A",Inputs_Actuals!J87,I64+J57-J57*MIN(1,Assumptions!$F$124/30))</f>
        <v>214564.27</v>
      </c>
      <c r="K63" s="58" t="n">
        <f aca="false">IF(K$5="A",Inputs_Actuals!K87,J64+K57-K57*MIN(1,Assumptions!$F$124/30))</f>
        <v>194818.62</v>
      </c>
      <c r="L63" s="58" t="n">
        <f aca="false">IF(L$5="A",Inputs_Actuals!L87,K64+L57-L57*MIN(1,Assumptions!$F$124/30))</f>
        <v>235679</v>
      </c>
      <c r="M63" s="58" t="n">
        <f aca="false">IF(M$5="A",Inputs_Actuals!M87,L64+M57-M57*MIN(1,Assumptions!$F$124/30))</f>
        <v>223121.122706243</v>
      </c>
      <c r="N63" s="58" t="n">
        <f aca="false">IF(N$5="A",Inputs_Actuals!N87,M64+N57-N57*MIN(1,Assumptions!$F$124/30))</f>
        <v>203646.780816848</v>
      </c>
      <c r="O63" s="58" t="n">
        <f aca="false">IF(O$5="A",Inputs_Actuals!O87,N64+O57-O57*MIN(1,Assumptions!$F$124/30))</f>
        <v>201300.99161948</v>
      </c>
      <c r="P63" s="58" t="n">
        <f aca="false">IF(P$5="A",Inputs_Actuals!P87,O64+P57-P57*MIN(1,Assumptions!$F$124/30))</f>
        <v>189215.870274042</v>
      </c>
      <c r="Q63" s="58" t="n">
        <f aca="false">IF(Q$5="A",Inputs_Actuals!Q87,P64+Q57-Q57*MIN(1,Assumptions!$F$124/30))</f>
        <v>182659.201612119</v>
      </c>
      <c r="R63" s="58" t="n">
        <f aca="false">IF(R$5="A",Inputs_Actuals!R87,Q64+R57-R57*MIN(1,Assumptions!$F$124/30))</f>
        <v>173258.340137548</v>
      </c>
      <c r="S63" s="58" t="n">
        <f aca="false">IF(S$5="A",Inputs_Actuals!S87,R64+S57-S57*MIN(1,Assumptions!$F$124/30))</f>
        <v>171456.966823555</v>
      </c>
      <c r="T63" s="58" t="n">
        <f aca="false">IF(T$5="A",Inputs_Actuals!T87,S64+T57-T57*MIN(1,Assumptions!$F$124/30))</f>
        <v>179587.29334109</v>
      </c>
      <c r="U63" s="58" t="n">
        <f aca="false">IF(U$5="A",Inputs_Actuals!U87,T64+U57-U57*MIN(1,Assumptions!$F$124/30))</f>
        <v>193943.88192915</v>
      </c>
      <c r="V63" s="58" t="n">
        <f aca="false">IF(V$5="A",Inputs_Actuals!V87,U64+V57-V57*MIN(1,Assumptions!$F$124/30))</f>
        <v>210069.092249141</v>
      </c>
      <c r="W63" s="58" t="n">
        <f aca="false">IF(W$5="A",Inputs_Actuals!W87,V64+W57-W57*MIN(1,Assumptions!$F$124/30))</f>
        <v>220725.672351262</v>
      </c>
      <c r="X63" s="58" t="n">
        <f aca="false">IF(X$5="A",Inputs_Actuals!X87,W64+X57-X57*MIN(1,Assumptions!$F$124/30))</f>
        <v>225562.725070702</v>
      </c>
      <c r="Y63" s="58" t="n">
        <f aca="false">IF(Y$5="A",Inputs_Actuals!Y87,X64+Y57-Y57*MIN(1,Assumptions!$F$124/30))</f>
        <v>228299.10140538</v>
      </c>
      <c r="Z63" s="58" t="n">
        <f aca="false">IF(Z$5="A",Inputs_Actuals!Z87,Y64+Z57-Z57*MIN(1,Assumptions!$F$124/30))</f>
        <v>227470.212651466</v>
      </c>
      <c r="AA63" s="58" t="n">
        <f aca="false">IF(AA$5="A",Inputs_Actuals!AA87,Z64+AA57-AA57*MIN(1,Assumptions!$F$124/30))</f>
        <v>222803.305656912</v>
      </c>
      <c r="AB63" s="58" t="n">
        <f aca="false">IF(AB$5="A",Inputs_Actuals!AB87,AA64+AB57-AB57*MIN(1,Assumptions!$F$124/30))</f>
        <v>213389.191342409</v>
      </c>
    </row>
    <row r="64" customFormat="false" ht="15" hidden="false" customHeight="false" outlineLevel="0" collapsed="false">
      <c r="A64" s="27" t="s">
        <v>848</v>
      </c>
      <c r="B64" s="56"/>
      <c r="C64" s="57" t="n">
        <f aca="false">P64</f>
        <v>60611.580915117</v>
      </c>
      <c r="D64" s="57" t="n">
        <f aca="false">AB64</f>
        <v>69880.5400275966</v>
      </c>
      <c r="E64" s="58" t="n">
        <f aca="false">Inputs_Actuals!$C$123+E57-E63</f>
        <v>56133.76</v>
      </c>
      <c r="F64" s="70" t="n">
        <f aca="false">E64+F57-F63</f>
        <v>59618.75</v>
      </c>
      <c r="G64" s="70" t="n">
        <f aca="false">F64+G57-G63</f>
        <v>72441.99</v>
      </c>
      <c r="H64" s="70" t="n">
        <f aca="false">G64+H57-H63</f>
        <v>79462.58</v>
      </c>
      <c r="I64" s="70" t="n">
        <f aca="false">H64+I57-I63</f>
        <v>85076.57</v>
      </c>
      <c r="J64" s="70" t="n">
        <f aca="false">I64+J57-J63</f>
        <v>71634.88</v>
      </c>
      <c r="K64" s="70" t="n">
        <f aca="false">J64+K57-K63</f>
        <v>110644.47</v>
      </c>
      <c r="L64" s="70" t="n">
        <f aca="false">K64+L57-L63</f>
        <v>77089.86</v>
      </c>
      <c r="M64" s="70" t="n">
        <f aca="false">L64+M57-M63</f>
        <v>73015.6313531213</v>
      </c>
      <c r="N64" s="70" t="n">
        <f aca="false">M64+N57-N63</f>
        <v>65315.5747318636</v>
      </c>
      <c r="O64" s="70" t="n">
        <f aca="false">N64+O57-O63</f>
        <v>67992.7084438084</v>
      </c>
      <c r="P64" s="70" t="n">
        <f aca="false">O64+P57-P63</f>
        <v>60611.580915117</v>
      </c>
      <c r="Q64" s="70" t="n">
        <f aca="false">P64+Q57-Q63</f>
        <v>61023.8103485008</v>
      </c>
      <c r="R64" s="70" t="n">
        <f aca="false">Q64+R57-R63</f>
        <v>56117.2648945235</v>
      </c>
      <c r="S64" s="70" t="n">
        <f aca="false">R64+S57-S63</f>
        <v>57669.8509645156</v>
      </c>
      <c r="T64" s="70" t="n">
        <f aca="false">S64+T57-T63</f>
        <v>60958.7211882874</v>
      </c>
      <c r="U64" s="70" t="n">
        <f aca="false">T64+U57-U63</f>
        <v>66492.5803704312</v>
      </c>
      <c r="V64" s="70" t="n">
        <f aca="false">U64+V57-V63</f>
        <v>71788.2559393546</v>
      </c>
      <c r="W64" s="70" t="n">
        <f aca="false">V64+W57-W63</f>
        <v>74468.7082059539</v>
      </c>
      <c r="X64" s="70" t="n">
        <f aca="false">W64+X57-X63</f>
        <v>75547.0084323743</v>
      </c>
      <c r="Y64" s="70" t="n">
        <f aca="false">X64+Y57-Y63</f>
        <v>76376.0464865026</v>
      </c>
      <c r="Z64" s="70" t="n">
        <f aca="false">Y64+Z57-Z63</f>
        <v>75547.0830824817</v>
      </c>
      <c r="AA64" s="70" t="n">
        <f aca="false">Z64+AA57-AA63</f>
        <v>73628.1112872152</v>
      </c>
      <c r="AB64" s="70" t="n">
        <f aca="false">AA64+AB57-AB63</f>
        <v>69880.5400275966</v>
      </c>
    </row>
    <row r="65" customFormat="false" ht="15" hidden="false" customHeight="false" outlineLevel="0" collapsed="false">
      <c r="A65" s="27" t="s">
        <v>855</v>
      </c>
      <c r="B65" s="56"/>
      <c r="C65" s="57" t="n">
        <f aca="false">P65</f>
        <v>339137.501380716</v>
      </c>
      <c r="D65" s="57" t="n">
        <f aca="false">AB65</f>
        <v>366777.207743245</v>
      </c>
      <c r="E65" s="58" t="n">
        <f aca="false">IF(Assumptions!E$96-(0)&lt;1,0,INDEX(Residential!$E$47:$AB$47,Assumptions!E$96-(0)))*(1-(Assumptions!$C$49))+IF(Assumptions!E$96-(1)&lt;1,0,INDEX(Residential!$E$47:$AB$47,Assumptions!E$96-(1)))*(1-(Assumptions!$C$49+Assumptions!$C$50))+IF(Assumptions!E$96-(2)&lt;1,0,INDEX(Residential!$E$47:$AB$47,Assumptions!E$96-(2)))*(1-(Assumptions!$C$49+Assumptions!$C$50+Assumptions!$C$51))+IF(Assumptions!E$96-(3)&lt;1,0,INDEX(Residential!$E$47:$AB$47,Assumptions!E$96-(3)))*(1-(Assumptions!$C$49+Assumptions!$C$50+Assumptions!$C$51+Assumptions!$C$52))</f>
        <v>112214.7</v>
      </c>
      <c r="F65" s="58" t="n">
        <f aca="false">IF(Assumptions!F$96-(0)&lt;1,0,INDEX(Residential!$E$47:$AB$47,Assumptions!F$96-(0)))*(1-(Assumptions!$C$49))+IF(Assumptions!F$96-(1)&lt;1,0,INDEX(Residential!$E$47:$AB$47,Assumptions!F$96-(1)))*(1-(Assumptions!$C$49+Assumptions!$C$50))+IF(Assumptions!F$96-(2)&lt;1,0,INDEX(Residential!$E$47:$AB$47,Assumptions!F$96-(2)))*(1-(Assumptions!$C$49+Assumptions!$C$50+Assumptions!$C$51))+IF(Assumptions!F$96-(3)&lt;1,0,INDEX(Residential!$E$47:$AB$47,Assumptions!F$96-(3)))*(1-(Assumptions!$C$49+Assumptions!$C$50+Assumptions!$C$51+Assumptions!$C$52))</f>
        <v>177451.14</v>
      </c>
      <c r="G65" s="58" t="n">
        <f aca="false">IF(Assumptions!G$96-(0)&lt;1,0,INDEX(Residential!$E$47:$AB$47,Assumptions!G$96-(0)))*(1-(Assumptions!$C$49))+IF(Assumptions!G$96-(1)&lt;1,0,INDEX(Residential!$E$47:$AB$47,Assumptions!G$96-(1)))*(1-(Assumptions!$C$49+Assumptions!$C$50))+IF(Assumptions!G$96-(2)&lt;1,0,INDEX(Residential!$E$47:$AB$47,Assumptions!G$96-(2)))*(1-(Assumptions!$C$49+Assumptions!$C$50+Assumptions!$C$51))+IF(Assumptions!G$96-(3)&lt;1,0,INDEX(Residential!$E$47:$AB$47,Assumptions!G$96-(3)))*(1-(Assumptions!$C$49+Assumptions!$C$50+Assumptions!$C$51+Assumptions!$C$52))</f>
        <v>342348.24</v>
      </c>
      <c r="H65" s="58" t="n">
        <f aca="false">IF(Assumptions!H$96-(0)&lt;1,0,INDEX(Residential!$E$47:$AB$47,Assumptions!H$96-(0)))*(1-(Assumptions!$C$49))+IF(Assumptions!H$96-(1)&lt;1,0,INDEX(Residential!$E$47:$AB$47,Assumptions!H$96-(1)))*(1-(Assumptions!$C$49+Assumptions!$C$50))+IF(Assumptions!H$96-(2)&lt;1,0,INDEX(Residential!$E$47:$AB$47,Assumptions!H$96-(2)))*(1-(Assumptions!$C$49+Assumptions!$C$50+Assumptions!$C$51))+IF(Assumptions!H$96-(3)&lt;1,0,INDEX(Residential!$E$47:$AB$47,Assumptions!H$96-(3)))*(1-(Assumptions!$C$49+Assumptions!$C$50+Assumptions!$C$51+Assumptions!$C$52))</f>
        <v>340010.59</v>
      </c>
      <c r="I65" s="58" t="n">
        <f aca="false">IF(Assumptions!I$96-(0)&lt;1,0,INDEX(Residential!$E$47:$AB$47,Assumptions!I$96-(0)))*(1-(Assumptions!$C$49))+IF(Assumptions!I$96-(1)&lt;1,0,INDEX(Residential!$E$47:$AB$47,Assumptions!I$96-(1)))*(1-(Assumptions!$C$49+Assumptions!$C$50))+IF(Assumptions!I$96-(2)&lt;1,0,INDEX(Residential!$E$47:$AB$47,Assumptions!I$96-(2)))*(1-(Assumptions!$C$49+Assumptions!$C$50+Assumptions!$C$51))+IF(Assumptions!I$96-(3)&lt;1,0,INDEX(Residential!$E$47:$AB$47,Assumptions!I$96-(3)))*(1-(Assumptions!$C$49+Assumptions!$C$50+Assumptions!$C$51+Assumptions!$C$52))</f>
        <v>460109.93</v>
      </c>
      <c r="J65" s="58" t="n">
        <f aca="false">IF(Assumptions!J$96-(0)&lt;1,0,INDEX(Residential!$E$47:$AB$47,Assumptions!J$96-(0)))*(1-(Assumptions!$C$49))+IF(Assumptions!J$96-(1)&lt;1,0,INDEX(Residential!$E$47:$AB$47,Assumptions!J$96-(1)))*(1-(Assumptions!$C$49+Assumptions!$C$50))+IF(Assumptions!J$96-(2)&lt;1,0,INDEX(Residential!$E$47:$AB$47,Assumptions!J$96-(2)))*(1-(Assumptions!$C$49+Assumptions!$C$50+Assumptions!$C$51))+IF(Assumptions!J$96-(3)&lt;1,0,INDEX(Residential!$E$47:$AB$47,Assumptions!J$96-(3)))*(1-(Assumptions!$C$49+Assumptions!$C$50+Assumptions!$C$51+Assumptions!$C$52))</f>
        <v>402967.48</v>
      </c>
      <c r="K65" s="58" t="n">
        <f aca="false">IF(Assumptions!K$96-(0)&lt;1,0,INDEX(Residential!$E$47:$AB$47,Assumptions!K$96-(0)))*(1-(Assumptions!$C$49))+IF(Assumptions!K$96-(1)&lt;1,0,INDEX(Residential!$E$47:$AB$47,Assumptions!K$96-(1)))*(1-(Assumptions!$C$49+Assumptions!$C$50))+IF(Assumptions!K$96-(2)&lt;1,0,INDEX(Residential!$E$47:$AB$47,Assumptions!K$96-(2)))*(1-(Assumptions!$C$49+Assumptions!$C$50+Assumptions!$C$51))+IF(Assumptions!K$96-(3)&lt;1,0,INDEX(Residential!$E$47:$AB$47,Assumptions!K$96-(3)))*(1-(Assumptions!$C$49+Assumptions!$C$50+Assumptions!$C$51+Assumptions!$C$52))</f>
        <v>447521.61</v>
      </c>
      <c r="L65" s="58" t="n">
        <f aca="false">IF(Assumptions!L$96-(0)&lt;1,0,INDEX(Residential!$E$47:$AB$47,Assumptions!L$96-(0)))*(1-(Assumptions!$C$49))+IF(Assumptions!L$96-(1)&lt;1,0,INDEX(Residential!$E$47:$AB$47,Assumptions!L$96-(1)))*(1-(Assumptions!$C$49+Assumptions!$C$50))+IF(Assumptions!L$96-(2)&lt;1,0,INDEX(Residential!$E$47:$AB$47,Assumptions!L$96-(2)))*(1-(Assumptions!$C$49+Assumptions!$C$50+Assumptions!$C$51))+IF(Assumptions!L$96-(3)&lt;1,0,INDEX(Residential!$E$47:$AB$47,Assumptions!L$96-(3)))*(1-(Assumptions!$C$49+Assumptions!$C$50+Assumptions!$C$51+Assumptions!$C$52))</f>
        <v>369640.78</v>
      </c>
      <c r="M65" s="58" t="n">
        <f aca="false">IF(Assumptions!M$96-(0)&lt;1,0,INDEX(Residential!$E$47:$AB$47,Assumptions!M$96-(0)))*(1-(Assumptions!$C$49))+IF(Assumptions!M$96-(1)&lt;1,0,INDEX(Residential!$E$47:$AB$47,Assumptions!M$96-(1)))*(1-(Assumptions!$C$49+Assumptions!$C$50))+IF(Assumptions!M$96-(2)&lt;1,0,INDEX(Residential!$E$47:$AB$47,Assumptions!M$96-(2)))*(1-(Assumptions!$C$49+Assumptions!$C$50+Assumptions!$C$51))+IF(Assumptions!M$96-(3)&lt;1,0,INDEX(Residential!$E$47:$AB$47,Assumptions!M$96-(3)))*(1-(Assumptions!$C$49+Assumptions!$C$50+Assumptions!$C$51+Assumptions!$C$52))</f>
        <v>367982.896877716</v>
      </c>
      <c r="N65" s="58" t="n">
        <f aca="false">IF(Assumptions!N$96-(0)&lt;1,0,INDEX(Residential!$E$47:$AB$47,Assumptions!N$96-(0)))*(1-(Assumptions!$C$49))+IF(Assumptions!N$96-(1)&lt;1,0,INDEX(Residential!$E$47:$AB$47,Assumptions!N$96-(1)))*(1-(Assumptions!$C$49+Assumptions!$C$50))+IF(Assumptions!N$96-(2)&lt;1,0,INDEX(Residential!$E$47:$AB$47,Assumptions!N$96-(2)))*(1-(Assumptions!$C$49+Assumptions!$C$50+Assumptions!$C$51))+IF(Assumptions!N$96-(3)&lt;1,0,INDEX(Residential!$E$47:$AB$47,Assumptions!N$96-(3)))*(1-(Assumptions!$C$49+Assumptions!$C$50+Assumptions!$C$51+Assumptions!$C$52))</f>
        <v>375311.302079704</v>
      </c>
      <c r="O65" s="58" t="n">
        <f aca="false">IF(Assumptions!O$96-(0)&lt;1,0,INDEX(Residential!$E$47:$AB$47,Assumptions!O$96-(0)))*(1-(Assumptions!$C$49))+IF(Assumptions!O$96-(1)&lt;1,0,INDEX(Residential!$E$47:$AB$47,Assumptions!O$96-(1)))*(1-(Assumptions!$C$49+Assumptions!$C$50))+IF(Assumptions!O$96-(2)&lt;1,0,INDEX(Residential!$E$47:$AB$47,Assumptions!O$96-(2)))*(1-(Assumptions!$C$49+Assumptions!$C$50+Assumptions!$C$51))+IF(Assumptions!O$96-(3)&lt;1,0,INDEX(Residential!$E$47:$AB$47,Assumptions!O$96-(3)))*(1-(Assumptions!$C$49+Assumptions!$C$50+Assumptions!$C$51+Assumptions!$C$52))</f>
        <v>364915.55361386</v>
      </c>
      <c r="P65" s="58" t="n">
        <f aca="false">IF(Assumptions!P$96-(0)&lt;1,0,INDEX(Residential!$E$47:$AB$47,Assumptions!P$96-(0)))*(1-(Assumptions!$C$49))+IF(Assumptions!P$96-(1)&lt;1,0,INDEX(Residential!$E$47:$AB$47,Assumptions!P$96-(1)))*(1-(Assumptions!$C$49+Assumptions!$C$50))+IF(Assumptions!P$96-(2)&lt;1,0,INDEX(Residential!$E$47:$AB$47,Assumptions!P$96-(2)))*(1-(Assumptions!$C$49+Assumptions!$C$50+Assumptions!$C$51))+IF(Assumptions!P$96-(3)&lt;1,0,INDEX(Residential!$E$47:$AB$47,Assumptions!P$96-(3)))*(1-(Assumptions!$C$49+Assumptions!$C$50+Assumptions!$C$51+Assumptions!$C$52))</f>
        <v>339137.501380716</v>
      </c>
      <c r="Q65" s="58" t="n">
        <f aca="false">IF(Assumptions!Q$96-(0)&lt;1,0,INDEX(Residential!$E$47:$AB$47,Assumptions!Q$96-(0)))*(1-(Assumptions!$C$49))+IF(Assumptions!Q$96-(1)&lt;1,0,INDEX(Residential!$E$47:$AB$47,Assumptions!Q$96-(1)))*(1-(Assumptions!$C$49+Assumptions!$C$50))+IF(Assumptions!Q$96-(2)&lt;1,0,INDEX(Residential!$E$47:$AB$47,Assumptions!Q$96-(2)))*(1-(Assumptions!$C$49+Assumptions!$C$50+Assumptions!$C$51))+IF(Assumptions!Q$96-(3)&lt;1,0,INDEX(Residential!$E$47:$AB$47,Assumptions!Q$96-(3)))*(1-(Assumptions!$C$49+Assumptions!$C$50+Assumptions!$C$51+Assumptions!$C$52))</f>
        <v>299410.636463368</v>
      </c>
      <c r="R65" s="58" t="n">
        <f aca="false">IF(Assumptions!R$96-(0)&lt;1,0,INDEX(Residential!$E$47:$AB$47,Assumptions!R$96-(0)))*(1-(Assumptions!$C$49))+IF(Assumptions!R$96-(1)&lt;1,0,INDEX(Residential!$E$47:$AB$47,Assumptions!R$96-(1)))*(1-(Assumptions!$C$49+Assumptions!$C$50))+IF(Assumptions!R$96-(2)&lt;1,0,INDEX(Residential!$E$47:$AB$47,Assumptions!R$96-(2)))*(1-(Assumptions!$C$49+Assumptions!$C$50+Assumptions!$C$51))+IF(Assumptions!R$96-(3)&lt;1,0,INDEX(Residential!$E$47:$AB$47,Assumptions!R$96-(3)))*(1-(Assumptions!$C$49+Assumptions!$C$50+Assumptions!$C$51+Assumptions!$C$52))</f>
        <v>300221.69260468</v>
      </c>
      <c r="S65" s="58" t="n">
        <f aca="false">IF(Assumptions!S$96-(0)&lt;1,0,INDEX(Residential!$E$47:$AB$47,Assumptions!S$96-(0)))*(1-(Assumptions!$C$49))+IF(Assumptions!S$96-(1)&lt;1,0,INDEX(Residential!$E$47:$AB$47,Assumptions!S$96-(1)))*(1-(Assumptions!$C$49+Assumptions!$C$50))+IF(Assumptions!S$96-(2)&lt;1,0,INDEX(Residential!$E$47:$AB$47,Assumptions!S$96-(2)))*(1-(Assumptions!$C$49+Assumptions!$C$50+Assumptions!$C$51))+IF(Assumptions!S$96-(3)&lt;1,0,INDEX(Residential!$E$47:$AB$47,Assumptions!S$96-(3)))*(1-(Assumptions!$C$49+Assumptions!$C$50+Assumptions!$C$51+Assumptions!$C$52))</f>
        <v>333378.340074413</v>
      </c>
      <c r="T65" s="58" t="n">
        <f aca="false">IF(Assumptions!T$96-(0)&lt;1,0,INDEX(Residential!$E$47:$AB$47,Assumptions!T$96-(0)))*(1-(Assumptions!$C$49))+IF(Assumptions!T$96-(1)&lt;1,0,INDEX(Residential!$E$47:$AB$47,Assumptions!T$96-(1)))*(1-(Assumptions!$C$49+Assumptions!$C$50))+IF(Assumptions!T$96-(2)&lt;1,0,INDEX(Residential!$E$47:$AB$47,Assumptions!T$96-(2)))*(1-(Assumptions!$C$49+Assumptions!$C$50+Assumptions!$C$51))+IF(Assumptions!T$96-(3)&lt;1,0,INDEX(Residential!$E$47:$AB$47,Assumptions!T$96-(3)))*(1-(Assumptions!$C$49+Assumptions!$C$50+Assumptions!$C$51+Assumptions!$C$52))</f>
        <v>377922.99102433</v>
      </c>
      <c r="U65" s="58" t="n">
        <f aca="false">IF(Assumptions!U$96-(0)&lt;1,0,INDEX(Residential!$E$47:$AB$47,Assumptions!U$96-(0)))*(1-(Assumptions!$C$49))+IF(Assumptions!U$96-(1)&lt;1,0,INDEX(Residential!$E$47:$AB$47,Assumptions!U$96-(1)))*(1-(Assumptions!$C$49+Assumptions!$C$50))+IF(Assumptions!U$96-(2)&lt;1,0,INDEX(Residential!$E$47:$AB$47,Assumptions!U$96-(2)))*(1-(Assumptions!$C$49+Assumptions!$C$50+Assumptions!$C$51))+IF(Assumptions!U$96-(3)&lt;1,0,INDEX(Residential!$E$47:$AB$47,Assumptions!U$96-(3)))*(1-(Assumptions!$C$49+Assumptions!$C$50+Assumptions!$C$51+Assumptions!$C$52))</f>
        <v>415442.758634461</v>
      </c>
      <c r="V65" s="58" t="n">
        <f aca="false">IF(Assumptions!V$96-(0)&lt;1,0,INDEX(Residential!$E$47:$AB$47,Assumptions!V$96-(0)))*(1-(Assumptions!$C$49))+IF(Assumptions!V$96-(1)&lt;1,0,INDEX(Residential!$E$47:$AB$47,Assumptions!V$96-(1)))*(1-(Assumptions!$C$49+Assumptions!$C$50))+IF(Assumptions!V$96-(2)&lt;1,0,INDEX(Residential!$E$47:$AB$47,Assumptions!V$96-(2)))*(1-(Assumptions!$C$49+Assumptions!$C$50+Assumptions!$C$51))+IF(Assumptions!V$96-(3)&lt;1,0,INDEX(Residential!$E$47:$AB$47,Assumptions!V$96-(3)))*(1-(Assumptions!$C$49+Assumptions!$C$50+Assumptions!$C$51+Assumptions!$C$52))</f>
        <v>435510.192361859</v>
      </c>
      <c r="W65" s="58" t="n">
        <f aca="false">IF(Assumptions!W$96-(0)&lt;1,0,INDEX(Residential!$E$47:$AB$47,Assumptions!W$96-(0)))*(1-(Assumptions!$C$49))+IF(Assumptions!W$96-(1)&lt;1,0,INDEX(Residential!$E$47:$AB$47,Assumptions!W$96-(1)))*(1-(Assumptions!$C$49+Assumptions!$C$50))+IF(Assumptions!W$96-(2)&lt;1,0,INDEX(Residential!$E$47:$AB$47,Assumptions!W$96-(2)))*(1-(Assumptions!$C$49+Assumptions!$C$50+Assumptions!$C$51))+IF(Assumptions!W$96-(3)&lt;1,0,INDEX(Residential!$E$47:$AB$47,Assumptions!W$96-(3)))*(1-(Assumptions!$C$49+Assumptions!$C$50+Assumptions!$C$51+Assumptions!$C$52))</f>
        <v>436430.529669492</v>
      </c>
      <c r="X65" s="58" t="n">
        <f aca="false">IF(Assumptions!X$96-(0)&lt;1,0,INDEX(Residential!$E$47:$AB$47,Assumptions!X$96-(0)))*(1-(Assumptions!$C$49))+IF(Assumptions!X$96-(1)&lt;1,0,INDEX(Residential!$E$47:$AB$47,Assumptions!X$96-(1)))*(1-(Assumptions!$C$49+Assumptions!$C$50))+IF(Assumptions!X$96-(2)&lt;1,0,INDEX(Residential!$E$47:$AB$47,Assumptions!X$96-(2)))*(1-(Assumptions!$C$49+Assumptions!$C$50+Assumptions!$C$51))+IF(Assumptions!X$96-(3)&lt;1,0,INDEX(Residential!$E$47:$AB$47,Assumptions!X$96-(3)))*(1-(Assumptions!$C$49+Assumptions!$C$50+Assumptions!$C$51+Assumptions!$C$52))</f>
        <v>426121.368495564</v>
      </c>
      <c r="Y65" s="58" t="n">
        <f aca="false">IF(Assumptions!Y$96-(0)&lt;1,0,INDEX(Residential!$E$47:$AB$47,Assumptions!Y$96-(0)))*(1-(Assumptions!$C$49))+IF(Assumptions!Y$96-(1)&lt;1,0,INDEX(Residential!$E$47:$AB$47,Assumptions!Y$96-(1)))*(1-(Assumptions!$C$49+Assumptions!$C$50))+IF(Assumptions!Y$96-(2)&lt;1,0,INDEX(Residential!$E$47:$AB$47,Assumptions!Y$96-(2)))*(1-(Assumptions!$C$49+Assumptions!$C$50+Assumptions!$C$51))+IF(Assumptions!Y$96-(3)&lt;1,0,INDEX(Residential!$E$47:$AB$47,Assumptions!Y$96-(3)))*(1-(Assumptions!$C$49+Assumptions!$C$50+Assumptions!$C$51+Assumptions!$C$52))</f>
        <v>427331.7261453</v>
      </c>
      <c r="Z65" s="58" t="n">
        <f aca="false">IF(Assumptions!Z$96-(0)&lt;1,0,INDEX(Residential!$E$47:$AB$47,Assumptions!Z$96-(0)))*(1-(Assumptions!$C$49))+IF(Assumptions!Z$96-(1)&lt;1,0,INDEX(Residential!$E$47:$AB$47,Assumptions!Z$96-(1)))*(1-(Assumptions!$C$49+Assumptions!$C$50))+IF(Assumptions!Z$96-(2)&lt;1,0,INDEX(Residential!$E$47:$AB$47,Assumptions!Z$96-(2)))*(1-(Assumptions!$C$49+Assumptions!$C$50+Assumptions!$C$51))+IF(Assumptions!Z$96-(3)&lt;1,0,INDEX(Residential!$E$47:$AB$47,Assumptions!Z$96-(3)))*(1-(Assumptions!$C$49+Assumptions!$C$50+Assumptions!$C$51+Assumptions!$C$52))</f>
        <v>422973.979890083</v>
      </c>
      <c r="AA65" s="58" t="n">
        <f aca="false">IF(Assumptions!AA$96-(0)&lt;1,0,INDEX(Residential!$E$47:$AB$47,Assumptions!AA$96-(0)))*(1-(Assumptions!$C$49))+IF(Assumptions!AA$96-(1)&lt;1,0,INDEX(Residential!$E$47:$AB$47,Assumptions!AA$96-(1)))*(1-(Assumptions!$C$49+Assumptions!$C$50))+IF(Assumptions!AA$96-(2)&lt;1,0,INDEX(Residential!$E$47:$AB$47,Assumptions!AA$96-(2)))*(1-(Assumptions!$C$49+Assumptions!$C$50+Assumptions!$C$51))+IF(Assumptions!AA$96-(3)&lt;1,0,INDEX(Residential!$E$47:$AB$47,Assumptions!AA$96-(3)))*(1-(Assumptions!$C$49+Assumptions!$C$50+Assumptions!$C$51+Assumptions!$C$52))</f>
        <v>404801.738832053</v>
      </c>
      <c r="AB65" s="58" t="n">
        <f aca="false">IF(Assumptions!AB$96-(0)&lt;1,0,INDEX(Residential!$E$47:$AB$47,Assumptions!AB$96-(0)))*(1-(Assumptions!$C$49))+IF(Assumptions!AB$96-(1)&lt;1,0,INDEX(Residential!$E$47:$AB$47,Assumptions!AB$96-(1)))*(1-(Assumptions!$C$49+Assumptions!$C$50))+IF(Assumptions!AB$96-(2)&lt;1,0,INDEX(Residential!$E$47:$AB$47,Assumptions!AB$96-(2)))*(1-(Assumptions!$C$49+Assumptions!$C$50+Assumptions!$C$51))+IF(Assumptions!AB$96-(3)&lt;1,0,INDEX(Residential!$E$47:$AB$47,Assumptions!AB$96-(3)))*(1-(Assumptions!$C$49+Assumptions!$C$50+Assumptions!$C$51+Assumptions!$C$52))</f>
        <v>366777.207743245</v>
      </c>
    </row>
    <row r="67" customFormat="false" ht="15" hidden="false" customHeight="false" outlineLevel="0" collapsed="false">
      <c r="A67" s="21" t="s">
        <v>859</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row>
    <row r="68" customFormat="false" ht="15" hidden="false" customHeight="false" outlineLevel="0" collapsed="false">
      <c r="A68" s="67" t="s">
        <v>301</v>
      </c>
      <c r="B68" s="68" t="s">
        <v>860</v>
      </c>
      <c r="C68" s="69" t="n">
        <f aca="false">SUM(E68:P68)</f>
        <v>4114858.25159232</v>
      </c>
      <c r="D68" s="69" t="n">
        <f aca="false">SUM(Q68:AB68)</f>
        <v>5069845.54940332</v>
      </c>
      <c r="E68" s="69" t="n">
        <f aca="false">E16+E48</f>
        <v>270001.41</v>
      </c>
      <c r="F68" s="69" t="n">
        <f aca="false">F16+F48</f>
        <v>238680.45</v>
      </c>
      <c r="G68" s="69" t="n">
        <f aca="false">G16+G48</f>
        <v>271008.05</v>
      </c>
      <c r="H68" s="69" t="n">
        <f aca="false">H16+H48</f>
        <v>296229.3</v>
      </c>
      <c r="I68" s="69" t="n">
        <f aca="false">I16+I48</f>
        <v>307324.21</v>
      </c>
      <c r="J68" s="69" t="n">
        <f aca="false">J16+J48</f>
        <v>328577.95</v>
      </c>
      <c r="K68" s="69" t="n">
        <f aca="false">K16+K48</f>
        <v>388528.87</v>
      </c>
      <c r="L68" s="69" t="n">
        <f aca="false">L16+L48</f>
        <v>423284.23</v>
      </c>
      <c r="M68" s="69" t="n">
        <f aca="false">M16+M48</f>
        <v>429482.344207328</v>
      </c>
      <c r="N68" s="69" t="n">
        <f aca="false">N16+N48</f>
        <v>403614.397990685</v>
      </c>
      <c r="O68" s="69" t="n">
        <f aca="false">O16+O48</f>
        <v>393066.646351801</v>
      </c>
      <c r="P68" s="69" t="n">
        <f aca="false">P16+P48</f>
        <v>365060.393042511</v>
      </c>
      <c r="Q68" s="69" t="n">
        <f aca="false">Q16+Q48</f>
        <v>339114.14426598</v>
      </c>
      <c r="R68" s="69" t="n">
        <f aca="false">R16+R48</f>
        <v>321108.629390815</v>
      </c>
      <c r="S68" s="69" t="n">
        <f aca="false">S16+S48</f>
        <v>339624.631440841</v>
      </c>
      <c r="T68" s="69" t="n">
        <f aca="false">T16+T48</f>
        <v>381858.521305966</v>
      </c>
      <c r="U68" s="69" t="n">
        <f aca="false">U16+U48</f>
        <v>426032.577174487</v>
      </c>
      <c r="V68" s="69" t="n">
        <f aca="false">V16+V48</f>
        <v>460617.14280619</v>
      </c>
      <c r="W68" s="69" t="n">
        <f aca="false">W16+W48</f>
        <v>476087.451115653</v>
      </c>
      <c r="X68" s="69" t="n">
        <f aca="false">X16+X48</f>
        <v>475002.120342277</v>
      </c>
      <c r="Y68" s="69" t="n">
        <f aca="false">Y16+Y48</f>
        <v>473954.853872437</v>
      </c>
      <c r="Z68" s="69" t="n">
        <f aca="false">Z16+Z48</f>
        <v>475057.663429676</v>
      </c>
      <c r="AA68" s="69" t="n">
        <f aca="false">AA16+AA48</f>
        <v>465637.875337605</v>
      </c>
      <c r="AB68" s="69" t="n">
        <f aca="false">AB16+AB48</f>
        <v>435749.938921394</v>
      </c>
    </row>
    <row r="69" customFormat="false" ht="15" hidden="false" customHeight="false" outlineLevel="0" collapsed="false">
      <c r="A69" s="27" t="s">
        <v>794</v>
      </c>
      <c r="B69" s="56" t="s">
        <v>860</v>
      </c>
      <c r="C69" s="57" t="n">
        <f aca="false">SUM(E69:P69)</f>
        <v>3140465.66466857</v>
      </c>
      <c r="D69" s="57" t="n">
        <f aca="false">SUM(Q69:AB69)</f>
        <v>3867607.65964757</v>
      </c>
      <c r="E69" s="70" t="n">
        <f aca="false">E22+E54</f>
        <v>204709.09</v>
      </c>
      <c r="F69" s="70" t="n">
        <f aca="false">F22+F54</f>
        <v>179653.17</v>
      </c>
      <c r="G69" s="70" t="n">
        <f aca="false">G22+G54</f>
        <v>209786.89</v>
      </c>
      <c r="H69" s="70" t="n">
        <f aca="false">H22+H54</f>
        <v>215772.87</v>
      </c>
      <c r="I69" s="70" t="n">
        <f aca="false">I22+I54</f>
        <v>240956.67</v>
      </c>
      <c r="J69" s="70" t="n">
        <f aca="false">J22+J54</f>
        <v>258144.23</v>
      </c>
      <c r="K69" s="70" t="n">
        <f aca="false">K22+K54</f>
        <v>297790.15</v>
      </c>
      <c r="L69" s="70" t="n">
        <f aca="false">L22+L54</f>
        <v>319895.04</v>
      </c>
      <c r="M69" s="70" t="n">
        <f aca="false">M22+M54</f>
        <v>327601.97942034</v>
      </c>
      <c r="N69" s="70" t="n">
        <f aca="false">N22+N54</f>
        <v>307894.927753113</v>
      </c>
      <c r="O69" s="70" t="n">
        <f aca="false">O22+O54</f>
        <v>299818.258289372</v>
      </c>
      <c r="P69" s="70" t="n">
        <f aca="false">P22+P54</f>
        <v>278442.389205747</v>
      </c>
      <c r="Q69" s="70" t="n">
        <f aca="false">Q22+Q54</f>
        <v>258607.243285813</v>
      </c>
      <c r="R69" s="70" t="n">
        <f aca="false">R22+R54</f>
        <v>244898.715884041</v>
      </c>
      <c r="S69" s="70" t="n">
        <f aca="false">S22+S54</f>
        <v>259086.418935463</v>
      </c>
      <c r="T69" s="70" t="n">
        <f aca="false">T22+T54</f>
        <v>291356.635177039</v>
      </c>
      <c r="U69" s="70" t="n">
        <f aca="false">U22+U54</f>
        <v>325062.995884068</v>
      </c>
      <c r="V69" s="70" t="n">
        <f aca="false">V22+V54</f>
        <v>351426.11757859</v>
      </c>
      <c r="W69" s="70" t="n">
        <f aca="false">W22+W54</f>
        <v>363204.104777976</v>
      </c>
      <c r="X69" s="70" t="n">
        <f aca="false">X22+X54</f>
        <v>362357.17107185</v>
      </c>
      <c r="Y69" s="70" t="n">
        <f aca="false">Y22+Y54</f>
        <v>361560.876972673</v>
      </c>
      <c r="Z69" s="70" t="n">
        <f aca="false">Z22+Z54</f>
        <v>362416.69666469</v>
      </c>
      <c r="AA69" s="70" t="n">
        <f aca="false">AA22+AA54</f>
        <v>355229.067585217</v>
      </c>
      <c r="AB69" s="70" t="n">
        <f aca="false">AB22+AB54</f>
        <v>332401.61583015</v>
      </c>
    </row>
    <row r="70" customFormat="false" ht="15" hidden="false" customHeight="false" outlineLevel="0" collapsed="false">
      <c r="A70" s="27" t="s">
        <v>795</v>
      </c>
      <c r="B70" s="56" t="s">
        <v>860</v>
      </c>
      <c r="C70" s="57" t="n">
        <f aca="false">SUM(E70:P70)</f>
        <v>923153.176797321</v>
      </c>
      <c r="D70" s="57" t="n">
        <f aca="false">SUM(Q70:AB70)</f>
        <v>1155370.64017784</v>
      </c>
      <c r="E70" s="70" t="n">
        <f aca="false">E17+E49</f>
        <v>61697.3</v>
      </c>
      <c r="F70" s="70" t="n">
        <f aca="false">F17+F49</f>
        <v>52653.6</v>
      </c>
      <c r="G70" s="70" t="n">
        <f aca="false">G17+G49</f>
        <v>60617.06</v>
      </c>
      <c r="H70" s="70" t="n">
        <f aca="false">H17+H49</f>
        <v>63167.19</v>
      </c>
      <c r="I70" s="70" t="n">
        <f aca="false">I17+I49</f>
        <v>71344.9</v>
      </c>
      <c r="J70" s="70" t="n">
        <f aca="false">J17+J49</f>
        <v>73995.31</v>
      </c>
      <c r="K70" s="70" t="n">
        <f aca="false">K17+K49</f>
        <v>87831.57</v>
      </c>
      <c r="L70" s="70" t="n">
        <f aca="false">L17+L49</f>
        <v>90261.48</v>
      </c>
      <c r="M70" s="70" t="n">
        <f aca="false">M17+M49</f>
        <v>97597.3277876919</v>
      </c>
      <c r="N70" s="70" t="n">
        <f aca="false">N17+N49</f>
        <v>91913.7178868128</v>
      </c>
      <c r="O70" s="70" t="n">
        <f aca="false">O17+O49</f>
        <v>89271.1237624587</v>
      </c>
      <c r="P70" s="70" t="n">
        <f aca="false">P17+P49</f>
        <v>82802.5973603574</v>
      </c>
      <c r="Q70" s="70" t="n">
        <f aca="false">Q17+Q49</f>
        <v>76559.7320612336</v>
      </c>
      <c r="R70" s="70" t="n">
        <f aca="false">R17+R49</f>
        <v>72672.2585234036</v>
      </c>
      <c r="S70" s="70" t="n">
        <f aca="false">S17+S49</f>
        <v>77386.8307718167</v>
      </c>
      <c r="T70" s="70" t="n">
        <f aca="false">T17+T49</f>
        <v>87419.1077292644</v>
      </c>
      <c r="U70" s="70" t="n">
        <f aca="false">U17+U49</f>
        <v>97545.5237093554</v>
      </c>
      <c r="V70" s="70" t="n">
        <f aca="false">V17+V49</f>
        <v>105266.782947243</v>
      </c>
      <c r="W70" s="70" t="n">
        <f aca="false">W17+W49</f>
        <v>108604.069055161</v>
      </c>
      <c r="X70" s="70" t="n">
        <f aca="false">X17+X49</f>
        <v>108206.467219054</v>
      </c>
      <c r="Y70" s="70" t="n">
        <f aca="false">Y17+Y49</f>
        <v>107988.625209219</v>
      </c>
      <c r="Z70" s="70" t="n">
        <f aca="false">Z17+Z49</f>
        <v>108354.982404207</v>
      </c>
      <c r="AA70" s="70" t="n">
        <f aca="false">AA17+AA49</f>
        <v>106195.608062078</v>
      </c>
      <c r="AB70" s="70" t="n">
        <f aca="false">AB17+AB49</f>
        <v>99170.6524858002</v>
      </c>
    </row>
    <row r="71" customFormat="false" ht="15" hidden="false" customHeight="false" outlineLevel="0" collapsed="false">
      <c r="A71" s="27" t="s">
        <v>796</v>
      </c>
      <c r="B71" s="56" t="s">
        <v>860</v>
      </c>
      <c r="C71" s="57" t="n">
        <f aca="false">SUM(E71:P71)</f>
        <v>985093.476818545</v>
      </c>
      <c r="D71" s="57" t="n">
        <f aca="false">SUM(Q71:AB71)</f>
        <v>1209640.5844399</v>
      </c>
      <c r="E71" s="70" t="n">
        <f aca="false">E18+E50</f>
        <v>64438.48</v>
      </c>
      <c r="F71" s="70" t="n">
        <f aca="false">F18+F50</f>
        <v>57936.96</v>
      </c>
      <c r="G71" s="70" t="n">
        <f aca="false">G18+G50</f>
        <v>66782.62</v>
      </c>
      <c r="H71" s="70" t="n">
        <f aca="false">H18+H50</f>
        <v>66868.3</v>
      </c>
      <c r="I71" s="70" t="n">
        <f aca="false">I18+I50</f>
        <v>74403.82</v>
      </c>
      <c r="J71" s="70" t="n">
        <f aca="false">J18+J50</f>
        <v>80801.19</v>
      </c>
      <c r="K71" s="70" t="n">
        <f aca="false">K18+K50</f>
        <v>92024.39</v>
      </c>
      <c r="L71" s="70" t="n">
        <f aca="false">L18+L50</f>
        <v>101619.86</v>
      </c>
      <c r="M71" s="70" t="n">
        <f aca="false">M18+M50</f>
        <v>102621.777202192</v>
      </c>
      <c r="N71" s="70" t="n">
        <f aca="false">N18+N50</f>
        <v>96336.0737224439</v>
      </c>
      <c r="O71" s="70" t="n">
        <f aca="false">O18+O50</f>
        <v>93947.9088208959</v>
      </c>
      <c r="P71" s="70" t="n">
        <f aca="false">P18+P50</f>
        <v>87312.0970730132</v>
      </c>
      <c r="Q71" s="70" t="n">
        <f aca="false">Q18+Q50</f>
        <v>81298.92445988</v>
      </c>
      <c r="R71" s="70" t="n">
        <f aca="false">R18+R50</f>
        <v>76886.8131009058</v>
      </c>
      <c r="S71" s="70" t="n">
        <f aca="false">S18+S50</f>
        <v>81038.4196531577</v>
      </c>
      <c r="T71" s="70" t="n">
        <f aca="false">T18+T50</f>
        <v>90895.9998695446</v>
      </c>
      <c r="U71" s="70" t="n">
        <f aca="false">U18+U50</f>
        <v>101403.679749348</v>
      </c>
      <c r="V71" s="70" t="n">
        <f aca="false">V18+V50</f>
        <v>109741.58008032</v>
      </c>
      <c r="W71" s="70" t="n">
        <f aca="false">W18+W50</f>
        <v>113533.978117668</v>
      </c>
      <c r="X71" s="70" t="n">
        <f aca="false">X18+X50</f>
        <v>113355.847835917</v>
      </c>
      <c r="Y71" s="70" t="n">
        <f aca="false">Y18+Y50</f>
        <v>113094.776345023</v>
      </c>
      <c r="Z71" s="70" t="n">
        <f aca="false">Z18+Z50</f>
        <v>113296.025316503</v>
      </c>
      <c r="AA71" s="70" t="n">
        <f aca="false">AA18+AA50</f>
        <v>111055.33641468</v>
      </c>
      <c r="AB71" s="70" t="n">
        <f aca="false">AB18+AB50</f>
        <v>104039.203496954</v>
      </c>
    </row>
    <row r="72" customFormat="false" ht="15" hidden="false" customHeight="false" outlineLevel="0" collapsed="false">
      <c r="A72" s="27" t="s">
        <v>797</v>
      </c>
      <c r="B72" s="56" t="s">
        <v>860</v>
      </c>
      <c r="C72" s="57" t="n">
        <f aca="false">SUM(E72:P72)</f>
        <v>920018.425585849</v>
      </c>
      <c r="D72" s="57" t="n">
        <f aca="false">SUM(Q72:AB72)</f>
        <v>1115835.66906507</v>
      </c>
      <c r="E72" s="70" t="n">
        <f aca="false">E19+E51</f>
        <v>58979.87</v>
      </c>
      <c r="F72" s="70" t="n">
        <f aca="false">F19+F51</f>
        <v>51269.33</v>
      </c>
      <c r="G72" s="70" t="n">
        <f aca="false">G19+G51</f>
        <v>62879.81</v>
      </c>
      <c r="H72" s="70" t="n">
        <f aca="false">H19+H51</f>
        <v>64331.11</v>
      </c>
      <c r="I72" s="70" t="n">
        <f aca="false">I19+I51</f>
        <v>71424.34</v>
      </c>
      <c r="J72" s="70" t="n">
        <f aca="false">J19+J51</f>
        <v>76711.97</v>
      </c>
      <c r="K72" s="70" t="n">
        <f aca="false">K19+K51</f>
        <v>87599.17</v>
      </c>
      <c r="L72" s="70" t="n">
        <f aca="false">L19+L51</f>
        <v>96243.65</v>
      </c>
      <c r="M72" s="70" t="n">
        <f aca="false">M19+M51</f>
        <v>94622.6764884221</v>
      </c>
      <c r="N72" s="70" t="n">
        <f aca="false">N19+N51</f>
        <v>88855.6433685449</v>
      </c>
      <c r="O72" s="70" t="n">
        <f aca="false">O19+O51</f>
        <v>86617.3998770804</v>
      </c>
      <c r="P72" s="70" t="n">
        <f aca="false">P19+P51</f>
        <v>80483.4558518019</v>
      </c>
      <c r="Q72" s="70" t="n">
        <f aca="false">Q19+Q51</f>
        <v>74887.8624361184</v>
      </c>
      <c r="R72" s="70" t="n">
        <f aca="false">R19+R51</f>
        <v>70849.7726713271</v>
      </c>
      <c r="S72" s="70" t="n">
        <f aca="false">S19+S51</f>
        <v>74752.5266169421</v>
      </c>
      <c r="T72" s="70" t="n">
        <f aca="false">T19+T51</f>
        <v>83905.8640605262</v>
      </c>
      <c r="U72" s="70" t="n">
        <f aca="false">U19+U51</f>
        <v>93607.4928369578</v>
      </c>
      <c r="V72" s="70" t="n">
        <f aca="false">V19+V51</f>
        <v>101275.142793167</v>
      </c>
      <c r="W72" s="70" t="n">
        <f aca="false">W19+W51</f>
        <v>104745.64712735</v>
      </c>
      <c r="X72" s="70" t="n">
        <f aca="false">X19+X51</f>
        <v>104559.138909693</v>
      </c>
      <c r="Y72" s="70" t="n">
        <f aca="false">Y19+Y51</f>
        <v>104321.387721163</v>
      </c>
      <c r="Z72" s="70" t="n">
        <f aca="false">Z19+Z51</f>
        <v>104524.019277511</v>
      </c>
      <c r="AA72" s="70" t="n">
        <f aca="false">AA19+AA51</f>
        <v>102455.216349937</v>
      </c>
      <c r="AB72" s="70" t="n">
        <f aca="false">AB19+AB51</f>
        <v>95951.598264381</v>
      </c>
    </row>
    <row r="73" customFormat="false" ht="15" hidden="false" customHeight="false" outlineLevel="0" collapsed="false">
      <c r="A73" s="27" t="s">
        <v>798</v>
      </c>
      <c r="B73" s="56" t="s">
        <v>860</v>
      </c>
      <c r="C73" s="57" t="n">
        <f aca="false">SUM(E73:P73)</f>
        <v>95154.4766400572</v>
      </c>
      <c r="D73" s="57" t="n">
        <f aca="false">SUM(Q73:AB73)</f>
        <v>116028.229789427</v>
      </c>
      <c r="E73" s="70" t="n">
        <f aca="false">E20+E52</f>
        <v>6363.57</v>
      </c>
      <c r="F73" s="70" t="n">
        <f aca="false">F20+F52</f>
        <v>5591.06</v>
      </c>
      <c r="G73" s="70" t="n">
        <f aca="false">G20+G52</f>
        <v>6467.61</v>
      </c>
      <c r="H73" s="70" t="n">
        <f aca="false">H20+H52</f>
        <v>6407.18</v>
      </c>
      <c r="I73" s="70" t="n">
        <f aca="false">I20+I52</f>
        <v>7223.01</v>
      </c>
      <c r="J73" s="70" t="n">
        <f aca="false">J20+J52</f>
        <v>8214.39</v>
      </c>
      <c r="K73" s="70" t="n">
        <f aca="false">K20+K52</f>
        <v>9202.95</v>
      </c>
      <c r="L73" s="70" t="n">
        <f aca="false">L20+L52</f>
        <v>9271.98</v>
      </c>
      <c r="M73" s="70" t="n">
        <f aca="false">M20+M52</f>
        <v>9828.05938261021</v>
      </c>
      <c r="N73" s="70" t="n">
        <f aca="false">N20+N52</f>
        <v>9236.84783259339</v>
      </c>
      <c r="O73" s="70" t="n">
        <f aca="false">O20+O52</f>
        <v>8994.54774868117</v>
      </c>
      <c r="P73" s="70" t="n">
        <f aca="false">P20+P52</f>
        <v>8353.27167617242</v>
      </c>
      <c r="Q73" s="70" t="n">
        <f aca="false">Q20+Q52</f>
        <v>7758.2172985744</v>
      </c>
      <c r="R73" s="70" t="n">
        <f aca="false">R20+R52</f>
        <v>7346.96147652122</v>
      </c>
      <c r="S73" s="70" t="n">
        <f aca="false">S20+S52</f>
        <v>7772.59256806388</v>
      </c>
      <c r="T73" s="70" t="n">
        <f aca="false">T20+T52</f>
        <v>8740.69905531117</v>
      </c>
      <c r="U73" s="70" t="n">
        <f aca="false">U20+U52</f>
        <v>9751.88987652205</v>
      </c>
      <c r="V73" s="70" t="n">
        <f aca="false">V20+V52</f>
        <v>10542.7835273577</v>
      </c>
      <c r="W73" s="70" t="n">
        <f aca="false">W20+W52</f>
        <v>10896.1231433393</v>
      </c>
      <c r="X73" s="70" t="n">
        <f aca="false">X20+X52</f>
        <v>10870.7151321555</v>
      </c>
      <c r="Y73" s="70" t="n">
        <f aca="false">Y20+Y52</f>
        <v>10846.8263091802</v>
      </c>
      <c r="Z73" s="70" t="n">
        <f aca="false">Z20+Z52</f>
        <v>10872.5008999407</v>
      </c>
      <c r="AA73" s="70" t="n">
        <f aca="false">AA20+AA52</f>
        <v>10656.8720275565</v>
      </c>
      <c r="AB73" s="70" t="n">
        <f aca="false">AB20+AB52</f>
        <v>9972.04847490449</v>
      </c>
    </row>
    <row r="74" customFormat="false" ht="15" hidden="false" customHeight="false" outlineLevel="0" collapsed="false">
      <c r="A74" s="27" t="s">
        <v>799</v>
      </c>
      <c r="B74" s="56" t="s">
        <v>860</v>
      </c>
      <c r="C74" s="57" t="n">
        <f aca="false">SUM(E74:P74)</f>
        <v>217046.1088268</v>
      </c>
      <c r="D74" s="57" t="n">
        <f aca="false">SUM(Q74:AB74)</f>
        <v>270732.53617533</v>
      </c>
      <c r="E74" s="70" t="n">
        <f aca="false">E21+E53</f>
        <v>13229.87</v>
      </c>
      <c r="F74" s="70" t="n">
        <f aca="false">F21+F53</f>
        <v>12202.22</v>
      </c>
      <c r="G74" s="70" t="n">
        <f aca="false">G21+G53</f>
        <v>13039.79</v>
      </c>
      <c r="H74" s="70" t="n">
        <f aca="false">H21+H53</f>
        <v>14999.09</v>
      </c>
      <c r="I74" s="70" t="n">
        <f aca="false">I21+I53</f>
        <v>16560.6</v>
      </c>
      <c r="J74" s="70" t="n">
        <f aca="false">J21+J53</f>
        <v>18421.37</v>
      </c>
      <c r="K74" s="70" t="n">
        <f aca="false">K21+K53</f>
        <v>21132.07</v>
      </c>
      <c r="L74" s="70" t="n">
        <f aca="false">L21+L53</f>
        <v>22498.07</v>
      </c>
      <c r="M74" s="70" t="n">
        <f aca="false">M21+M53</f>
        <v>22932.1385594238</v>
      </c>
      <c r="N74" s="70" t="n">
        <f aca="false">N21+N53</f>
        <v>21552.6449427179</v>
      </c>
      <c r="O74" s="70" t="n">
        <f aca="false">O21+O53</f>
        <v>20987.2780802561</v>
      </c>
      <c r="P74" s="70" t="n">
        <f aca="false">P21+P53</f>
        <v>19490.9672444023</v>
      </c>
      <c r="Q74" s="70" t="n">
        <f aca="false">Q21+Q53</f>
        <v>18102.5070300069</v>
      </c>
      <c r="R74" s="70" t="n">
        <f aca="false">R21+R53</f>
        <v>17142.9101118828</v>
      </c>
      <c r="S74" s="70" t="n">
        <f aca="false">S21+S53</f>
        <v>18136.0493254824</v>
      </c>
      <c r="T74" s="70" t="n">
        <f aca="false">T21+T53</f>
        <v>20394.9644623927</v>
      </c>
      <c r="U74" s="70" t="n">
        <f aca="false">U21+U53</f>
        <v>22754.4097118848</v>
      </c>
      <c r="V74" s="70" t="n">
        <f aca="false">V21+V53</f>
        <v>24599.8282305013</v>
      </c>
      <c r="W74" s="70" t="n">
        <f aca="false">W21+W53</f>
        <v>25424.2873344583</v>
      </c>
      <c r="X74" s="70" t="n">
        <f aca="false">X21+X53</f>
        <v>25365.0019750295</v>
      </c>
      <c r="Y74" s="70" t="n">
        <f aca="false">Y21+Y53</f>
        <v>25309.2613880871</v>
      </c>
      <c r="Z74" s="70" t="n">
        <f aca="false">Z21+Z53</f>
        <v>25369.1687665283</v>
      </c>
      <c r="AA74" s="70" t="n">
        <f aca="false">AA21+AA53</f>
        <v>24866.0347309652</v>
      </c>
      <c r="AB74" s="70" t="n">
        <f aca="false">AB21+AB53</f>
        <v>23268.1131081105</v>
      </c>
    </row>
    <row r="75" customFormat="false" ht="15" hidden="false" customHeight="false" outlineLevel="0" collapsed="false">
      <c r="A75" s="67" t="s">
        <v>801</v>
      </c>
      <c r="B75" s="68" t="s">
        <v>860</v>
      </c>
      <c r="C75" s="69" t="n">
        <f aca="false">SUM(E75:P75)</f>
        <v>974392.586923752</v>
      </c>
      <c r="D75" s="69" t="n">
        <f aca="false">SUM(Q75:AB75)</f>
        <v>1202237.88975575</v>
      </c>
      <c r="E75" s="69" t="n">
        <f aca="false">E23+E55</f>
        <v>65292.32</v>
      </c>
      <c r="F75" s="69" t="n">
        <f aca="false">F23+F55</f>
        <v>59027.28</v>
      </c>
      <c r="G75" s="69" t="n">
        <f aca="false">G23+G55</f>
        <v>61221.16</v>
      </c>
      <c r="H75" s="69" t="n">
        <f aca="false">H23+H55</f>
        <v>80456.43</v>
      </c>
      <c r="I75" s="69" t="n">
        <f aca="false">I23+I55</f>
        <v>66367.54</v>
      </c>
      <c r="J75" s="69" t="n">
        <f aca="false">J23+J55</f>
        <v>70433.72</v>
      </c>
      <c r="K75" s="69" t="n">
        <f aca="false">K23+K55</f>
        <v>90738.72</v>
      </c>
      <c r="L75" s="69" t="n">
        <f aca="false">L23+L55</f>
        <v>103389.19</v>
      </c>
      <c r="M75" s="69" t="n">
        <f aca="false">M23+M55</f>
        <v>101880.364786987</v>
      </c>
      <c r="N75" s="69" t="n">
        <f aca="false">N23+N55</f>
        <v>95719.4702375718</v>
      </c>
      <c r="O75" s="69" t="n">
        <f aca="false">O23+O55</f>
        <v>93248.3880624285</v>
      </c>
      <c r="P75" s="69" t="n">
        <f aca="false">P23+P55</f>
        <v>86618.003836764</v>
      </c>
      <c r="Q75" s="69" t="n">
        <f aca="false">Q23+Q55</f>
        <v>80506.9009801667</v>
      </c>
      <c r="R75" s="69" t="n">
        <f aca="false">R23+R55</f>
        <v>76209.9135067743</v>
      </c>
      <c r="S75" s="69" t="n">
        <f aca="false">S23+S55</f>
        <v>80538.212505378</v>
      </c>
      <c r="T75" s="69" t="n">
        <f aca="false">T23+T55</f>
        <v>90501.8861289267</v>
      </c>
      <c r="U75" s="69" t="n">
        <f aca="false">U23+U55</f>
        <v>100969.581290418</v>
      </c>
      <c r="V75" s="69" t="n">
        <f aca="false">V23+V55</f>
        <v>109191.0252276</v>
      </c>
      <c r="W75" s="69" t="n">
        <f aca="false">W23+W55</f>
        <v>112883.346337677</v>
      </c>
      <c r="X75" s="69" t="n">
        <f aca="false">X23+X55</f>
        <v>112644.949270427</v>
      </c>
      <c r="Y75" s="69" t="n">
        <f aca="false">Y23+Y55</f>
        <v>112393.976899764</v>
      </c>
      <c r="Z75" s="69" t="n">
        <f aca="false">Z23+Z55</f>
        <v>112640.966764986</v>
      </c>
      <c r="AA75" s="69" t="n">
        <f aca="false">AA23+AA55</f>
        <v>110408.807752389</v>
      </c>
      <c r="AB75" s="69" t="n">
        <f aca="false">AB23+AB55</f>
        <v>103348.323091244</v>
      </c>
    </row>
    <row r="76" customFormat="false" ht="15" hidden="false" customHeight="false" outlineLevel="0" collapsed="false">
      <c r="A76" s="27" t="s">
        <v>321</v>
      </c>
      <c r="B76" s="56" t="s">
        <v>860</v>
      </c>
      <c r="C76" s="57" t="n">
        <f aca="false">P76</f>
        <v>163623.11183293</v>
      </c>
      <c r="D76" s="57" t="n">
        <f aca="false">AB76</f>
        <v>197342.703510988</v>
      </c>
      <c r="E76" s="70" t="n">
        <f aca="false">E32+E61</f>
        <v>120956.087488987</v>
      </c>
      <c r="F76" s="70" t="n">
        <f aca="false">F32+F61</f>
        <v>100405.787929515</v>
      </c>
      <c r="G76" s="70" t="n">
        <f aca="false">G32+G61</f>
        <v>113372.967665198</v>
      </c>
      <c r="H76" s="70" t="n">
        <f aca="false">H32+H61</f>
        <v>121215.48154185</v>
      </c>
      <c r="I76" s="70" t="n">
        <f aca="false">I32+I61</f>
        <v>117492.30907489</v>
      </c>
      <c r="J76" s="70" t="n">
        <f aca="false">J32+J61</f>
        <v>103230.271629956</v>
      </c>
      <c r="K76" s="70" t="n">
        <f aca="false">K32+K61</f>
        <v>134114.390572687</v>
      </c>
      <c r="L76" s="70" t="n">
        <f aca="false">L32+L61</f>
        <v>176176.543876652</v>
      </c>
      <c r="M76" s="70" t="n">
        <f aca="false">M32+M61</f>
        <v>192726.286977434</v>
      </c>
      <c r="N76" s="70" t="n">
        <f aca="false">N32+N61</f>
        <v>184633.738035777</v>
      </c>
      <c r="O76" s="70" t="n">
        <f aca="false">O32+O61</f>
        <v>176128.223480022</v>
      </c>
      <c r="P76" s="70" t="n">
        <f aca="false">P32+P61</f>
        <v>163623.11183293</v>
      </c>
      <c r="Q76" s="70" t="n">
        <f aca="false">Q32+Q61</f>
        <v>145742.064597854</v>
      </c>
      <c r="R76" s="70" t="n">
        <f aca="false">R32+R61</f>
        <v>136212.000214521</v>
      </c>
      <c r="S76" s="70" t="n">
        <f aca="false">S32+S61</f>
        <v>146337.330096196</v>
      </c>
      <c r="T76" s="70" t="n">
        <f aca="false">T32+T61</f>
        <v>173921.119108276</v>
      </c>
      <c r="U76" s="70" t="n">
        <f aca="false">U32+U61</f>
        <v>197000.109547477</v>
      </c>
      <c r="V76" s="70" t="n">
        <f aca="false">V32+V61</f>
        <v>211394.652553438</v>
      </c>
      <c r="W76" s="70" t="n">
        <f aca="false">W32+W61</f>
        <v>216676.739479807</v>
      </c>
      <c r="X76" s="70" t="n">
        <f aca="false">X32+X61</f>
        <v>214498.59475745</v>
      </c>
      <c r="Y76" s="70" t="n">
        <f aca="false">Y32+Y61</f>
        <v>212327.829553369</v>
      </c>
      <c r="Z76" s="70" t="n">
        <f aca="false">Z32+Z61</f>
        <v>212945.009673222</v>
      </c>
      <c r="AA76" s="70" t="n">
        <f aca="false">AA32+AA61</f>
        <v>212485.096725636</v>
      </c>
      <c r="AB76" s="70" t="n">
        <f aca="false">AB32+AB61</f>
        <v>197342.703510988</v>
      </c>
    </row>
    <row r="77" customFormat="false" ht="15" hidden="false" customHeight="false" outlineLevel="0" collapsed="false">
      <c r="A77" s="27" t="s">
        <v>802</v>
      </c>
      <c r="B77" s="56" t="s">
        <v>860</v>
      </c>
      <c r="C77" s="57" t="n">
        <f aca="false">P77</f>
        <v>15852.8193238862</v>
      </c>
      <c r="D77" s="57" t="n">
        <f aca="false">AB77</f>
        <v>17089.6493217856</v>
      </c>
      <c r="E77" s="70" t="n">
        <f aca="false">E33+E62</f>
        <v>10253.0496475771</v>
      </c>
      <c r="F77" s="70" t="n">
        <f aca="false">F33+F62</f>
        <v>8372.06220264318</v>
      </c>
      <c r="G77" s="70" t="n">
        <f aca="false">G33+G62</f>
        <v>31722.0289427313</v>
      </c>
      <c r="H77" s="70" t="n">
        <f aca="false">H33+H62</f>
        <v>26609.7097797357</v>
      </c>
      <c r="I77" s="70" t="n">
        <f aca="false">I33+I62</f>
        <v>41449.5255506608</v>
      </c>
      <c r="J77" s="70" t="n">
        <f aca="false">J33+J62</f>
        <v>29520.5865638766</v>
      </c>
      <c r="K77" s="70" t="n">
        <f aca="false">K33+K62</f>
        <v>32274.7606167401</v>
      </c>
      <c r="L77" s="70" t="n">
        <f aca="false">L33+L62</f>
        <v>16024.0936123348</v>
      </c>
      <c r="M77" s="70" t="n">
        <f aca="false">M33+M62</f>
        <v>18614.1721613382</v>
      </c>
      <c r="N77" s="70" t="n">
        <f aca="false">N33+N62</f>
        <v>17237.1158440268</v>
      </c>
      <c r="O77" s="70" t="n">
        <f aca="false">O33+O62</f>
        <v>21408.2918765969</v>
      </c>
      <c r="P77" s="70" t="n">
        <f aca="false">P33+P62</f>
        <v>15852.8193238862</v>
      </c>
      <c r="Q77" s="70" t="n">
        <f aca="false">Q33+Q62</f>
        <v>14133.81880967</v>
      </c>
      <c r="R77" s="70" t="n">
        <f aca="false">R33+R62</f>
        <v>12584.2712315387</v>
      </c>
      <c r="S77" s="70" t="n">
        <f aca="false">S33+S62</f>
        <v>19730.772010734</v>
      </c>
      <c r="T77" s="70" t="n">
        <f aca="false">T33+T62</f>
        <v>27828.420790683</v>
      </c>
      <c r="U77" s="70" t="n">
        <f aca="false">U33+U62</f>
        <v>33194.6036623235</v>
      </c>
      <c r="V77" s="70" t="n">
        <f aca="false">V33+V62</f>
        <v>33743.9641460604</v>
      </c>
      <c r="W77" s="70" t="n">
        <f aca="false">W33+W62</f>
        <v>30018.4890179629</v>
      </c>
      <c r="X77" s="70" t="n">
        <f aca="false">X33+X62</f>
        <v>25812.0137483496</v>
      </c>
      <c r="Y77" s="70" t="n">
        <f aca="false">Y33+Y62</f>
        <v>24769.7785396851</v>
      </c>
      <c r="Z77" s="70" t="n">
        <f aca="false">Z33+Z62</f>
        <v>23970.5267790228</v>
      </c>
      <c r="AA77" s="70" t="n">
        <f aca="false">AA33+AA62</f>
        <v>21800.8650644503</v>
      </c>
      <c r="AB77" s="70" t="n">
        <f aca="false">AB33+AB62</f>
        <v>17089.6493217856</v>
      </c>
    </row>
    <row r="78" customFormat="false" ht="15" hidden="false" customHeight="false" outlineLevel="0" collapsed="false">
      <c r="A78" s="27" t="s">
        <v>807</v>
      </c>
      <c r="B78" s="56" t="s">
        <v>860</v>
      </c>
      <c r="C78" s="57" t="n">
        <f aca="false">SUM(E78:P78)</f>
        <v>553966.522076243</v>
      </c>
      <c r="D78" s="57" t="n">
        <f aca="false">SUM(Q78:AB78)</f>
        <v>680043.976342627</v>
      </c>
      <c r="E78" s="70" t="n">
        <f aca="false">E30+E59</f>
        <v>39914.9278414097</v>
      </c>
      <c r="F78" s="70" t="n">
        <f aca="false">F30+F59</f>
        <v>34742.2178854626</v>
      </c>
      <c r="G78" s="70" t="n">
        <f aca="false">G30+G59</f>
        <v>37987.7629955947</v>
      </c>
      <c r="H78" s="70" t="n">
        <f aca="false">H30+H59</f>
        <v>38242.0530396476</v>
      </c>
      <c r="I78" s="70" t="n">
        <f aca="false">I30+I59</f>
        <v>43994.7717621145</v>
      </c>
      <c r="J78" s="70" t="n">
        <f aca="false">J30+J59</f>
        <v>44672.9915418502</v>
      </c>
      <c r="K78" s="70" t="n">
        <f aca="false">K30+K59</f>
        <v>48653.8548898678</v>
      </c>
      <c r="L78" s="70" t="n">
        <f aca="false">L30+L59</f>
        <v>49271.1403083701</v>
      </c>
      <c r="M78" s="70" t="n">
        <f aca="false">M30+M59</f>
        <v>56095.5617534992</v>
      </c>
      <c r="N78" s="70" t="n">
        <f aca="false">N30+N59</f>
        <v>55394.5352330291</v>
      </c>
      <c r="O78" s="70" t="n">
        <f aca="false">O30+O59</f>
        <v>54775.3504869169</v>
      </c>
      <c r="P78" s="70" t="n">
        <f aca="false">P30+P59</f>
        <v>50221.3543384806</v>
      </c>
      <c r="Q78" s="70" t="n">
        <f aca="false">Q30+Q59</f>
        <v>47962.2857832234</v>
      </c>
      <c r="R78" s="70" t="n">
        <f aca="false">R30+R59</f>
        <v>44427.0347364623</v>
      </c>
      <c r="S78" s="70" t="n">
        <f aca="false">S30+S59</f>
        <v>45447.1833156788</v>
      </c>
      <c r="T78" s="70" t="n">
        <f aca="false">T30+T59</f>
        <v>48920.2714449677</v>
      </c>
      <c r="U78" s="70" t="n">
        <f aca="false">U30+U59</f>
        <v>55123.1688969351</v>
      </c>
      <c r="V78" s="70" t="n">
        <f aca="false">V30+V59</f>
        <v>60314.2146383353</v>
      </c>
      <c r="W78" s="70" t="n">
        <f aca="false">W30+W59</f>
        <v>63055.7850232602</v>
      </c>
      <c r="X78" s="70" t="n">
        <f aca="false">X30+X59</f>
        <v>63851.4616223277</v>
      </c>
      <c r="Y78" s="70" t="n">
        <f aca="false">Y30+Y59</f>
        <v>64136.2568221602</v>
      </c>
      <c r="Z78" s="70" t="n">
        <f aca="false">Z30+Z59</f>
        <v>63941.5662591366</v>
      </c>
      <c r="AA78" s="70" t="n">
        <f aca="false">AA30+AA59</f>
        <v>62630.2970870335</v>
      </c>
      <c r="AB78" s="70" t="n">
        <f aca="false">AB30+AB59</f>
        <v>60234.4507131061</v>
      </c>
    </row>
    <row r="79" customFormat="false" ht="15" hidden="false" customHeight="false" outlineLevel="0" collapsed="false">
      <c r="A79" s="27" t="s">
        <v>861</v>
      </c>
      <c r="B79" s="56" t="s">
        <v>860</v>
      </c>
      <c r="C79" s="57" t="n">
        <f aca="false">SUM(E79:P79)</f>
        <v>3836392.50290208</v>
      </c>
      <c r="D79" s="57" t="n">
        <f aca="false">SUM(Q79:AB79)</f>
        <v>4623866.907715</v>
      </c>
      <c r="E79" s="70" t="n">
        <f aca="false">E34+E63</f>
        <v>272835.2</v>
      </c>
      <c r="F79" s="70" t="n">
        <f aca="false">F34+F63</f>
        <v>217709.43</v>
      </c>
      <c r="G79" s="70" t="n">
        <f aca="false">G34+G63</f>
        <v>256275.7</v>
      </c>
      <c r="H79" s="70" t="n">
        <f aca="false">H34+H63</f>
        <v>260747.39</v>
      </c>
      <c r="I79" s="70" t="n">
        <f aca="false">I34+I63</f>
        <v>306550.96</v>
      </c>
      <c r="J79" s="70" t="n">
        <f aca="false">J34+J63</f>
        <v>320250.33</v>
      </c>
      <c r="K79" s="70" t="n">
        <f aca="false">K34+K63</f>
        <v>320384.25</v>
      </c>
      <c r="L79" s="70" t="n">
        <f aca="false">L34+L63</f>
        <v>380301.44</v>
      </c>
      <c r="M79" s="70" t="n">
        <f aca="false">M34+M63</f>
        <v>408614.570939366</v>
      </c>
      <c r="N79" s="70" t="n">
        <f aca="false">N34+N63</f>
        <v>379147.031035056</v>
      </c>
      <c r="O79" s="70" t="n">
        <f aca="false">O34+O63</f>
        <v>368383.266900715</v>
      </c>
      <c r="P79" s="70" t="n">
        <f aca="false">P34+P63</f>
        <v>345192.93402694</v>
      </c>
      <c r="Q79" s="70" t="n">
        <f aca="false">Q34+Q63</f>
        <v>322919.103549687</v>
      </c>
      <c r="R79" s="70" t="n">
        <f aca="false">R34+R63</f>
        <v>302334.870925745</v>
      </c>
      <c r="S79" s="70" t="n">
        <f aca="false">S34+S63</f>
        <v>308085.223324355</v>
      </c>
      <c r="T79" s="70" t="n">
        <f aca="false">T34+T63</f>
        <v>339227.959340408</v>
      </c>
      <c r="U79" s="70" t="n">
        <f aca="false">U34+U63</f>
        <v>376945.194258301</v>
      </c>
      <c r="V79" s="70" t="n">
        <f aca="false">V34+V63</f>
        <v>409216.984647678</v>
      </c>
      <c r="W79" s="70" t="n">
        <f aca="false">W34+W63</f>
        <v>427486.852269871</v>
      </c>
      <c r="X79" s="70" t="n">
        <f aca="false">X34+X63</f>
        <v>432166.760643123</v>
      </c>
      <c r="Y79" s="70" t="n">
        <f aca="false">Y34+Y63</f>
        <v>432911.063405702</v>
      </c>
      <c r="Z79" s="70" t="n">
        <f aca="false">Z34+Z63</f>
        <v>434123.435576731</v>
      </c>
      <c r="AA79" s="70" t="n">
        <f aca="false">AA34+AA63</f>
        <v>429364.925014098</v>
      </c>
      <c r="AB79" s="70" t="n">
        <f aca="false">AB34+AB63</f>
        <v>409084.534759298</v>
      </c>
    </row>
    <row r="80" customFormat="false" ht="15" hidden="false" customHeight="false" outlineLevel="0" collapsed="false">
      <c r="A80" s="27" t="s">
        <v>862</v>
      </c>
      <c r="B80" s="56" t="s">
        <v>860</v>
      </c>
      <c r="C80" s="57" t="n">
        <f aca="false">P80</f>
        <v>111254.019108963</v>
      </c>
      <c r="D80" s="57" t="n">
        <f aca="false">AB80</f>
        <v>133417.457376101</v>
      </c>
      <c r="E80" s="70" t="n">
        <f aca="false">E35+E64</f>
        <v>87344.47</v>
      </c>
      <c r="F80" s="70" t="n">
        <f aca="false">F35+F64</f>
        <v>88398.02</v>
      </c>
      <c r="G80" s="70" t="n">
        <f aca="false">G35+G64</f>
        <v>103988.92</v>
      </c>
      <c r="H80" s="70" t="n">
        <f aca="false">H35+H64</f>
        <v>115662.05</v>
      </c>
      <c r="I80" s="70" t="n">
        <f aca="false">I35+I64</f>
        <v>125821.06</v>
      </c>
      <c r="J80" s="70" t="n">
        <f aca="false">J35+J64</f>
        <v>108290.77</v>
      </c>
      <c r="K80" s="70" t="n">
        <f aca="false">K35+K64</f>
        <v>152547.3</v>
      </c>
      <c r="L80" s="70" t="n">
        <f aca="false">L35+L64</f>
        <v>142374.41</v>
      </c>
      <c r="M80" s="70" t="n">
        <f aca="false">M35+M64</f>
        <v>133120.080469683</v>
      </c>
      <c r="N80" s="70" t="n">
        <f aca="false">N35+N64</f>
        <v>123013.475282687</v>
      </c>
      <c r="O80" s="70" t="n">
        <f aca="false">O35+O64</f>
        <v>122684.895809014</v>
      </c>
      <c r="P80" s="70" t="n">
        <f aca="false">P35+P64</f>
        <v>111254.019108963</v>
      </c>
      <c r="Q80" s="70" t="n">
        <f aca="false">Q35+Q64</f>
        <v>105832.542220362</v>
      </c>
      <c r="R80" s="70" t="n">
        <f aca="false">R35+R64</f>
        <v>98251.1643526913</v>
      </c>
      <c r="S80" s="70" t="n">
        <f aca="false">S35+S64</f>
        <v>104917.029485832</v>
      </c>
      <c r="T80" s="70" t="n">
        <f aca="false">T35+T64</f>
        <v>117155.464927288</v>
      </c>
      <c r="U80" s="70" t="n">
        <f aca="false">U35+U64</f>
        <v>129894.864665506</v>
      </c>
      <c r="V80" s="70" t="n">
        <f aca="false">V35+V64</f>
        <v>139661.059991086</v>
      </c>
      <c r="W80" s="70" t="n">
        <f aca="false">W35+W64</f>
        <v>143912.896139393</v>
      </c>
      <c r="X80" s="70" t="n">
        <f aca="false">X35+X64</f>
        <v>144126.932251865</v>
      </c>
      <c r="Y80" s="70" t="n">
        <f aca="false">Y35+Y64</f>
        <v>144392.065576919</v>
      </c>
      <c r="Z80" s="70" t="n">
        <f aca="false">Z35+Z64</f>
        <v>144865.684999906</v>
      </c>
      <c r="AA80" s="70" t="n">
        <f aca="false">AA35+AA64</f>
        <v>142249.620007096</v>
      </c>
      <c r="AB80" s="70" t="n">
        <f aca="false">AB35+AB64</f>
        <v>133417.457376101</v>
      </c>
    </row>
    <row r="81" customFormat="false" ht="15" hidden="false" customHeight="false" outlineLevel="0" collapsed="false">
      <c r="A81" s="27" t="s">
        <v>863</v>
      </c>
      <c r="B81" s="56" t="s">
        <v>860</v>
      </c>
      <c r="C81" s="57" t="n">
        <f aca="false">P81</f>
        <v>512238.099851974</v>
      </c>
      <c r="D81" s="57" t="n">
        <f aca="false">AB81</f>
        <v>580729.547453719</v>
      </c>
      <c r="E81" s="70" t="n">
        <f aca="false">E40+E65</f>
        <v>196984.7</v>
      </c>
      <c r="F81" s="70" t="n">
        <f aca="false">F40+F65</f>
        <v>297613.14</v>
      </c>
      <c r="G81" s="70" t="n">
        <f aca="false">G40+G65</f>
        <v>500893.84</v>
      </c>
      <c r="H81" s="70" t="n">
        <f aca="false">H40+H65</f>
        <v>473174.24</v>
      </c>
      <c r="I81" s="70" t="n">
        <f aca="false">I40+I65</f>
        <v>574454.03</v>
      </c>
      <c r="J81" s="70" t="n">
        <f aca="false">J40+J65</f>
        <v>560251.08</v>
      </c>
      <c r="K81" s="70" t="n">
        <f aca="false">K40+K65</f>
        <v>664806.21</v>
      </c>
      <c r="L81" s="70" t="n">
        <f aca="false">L40+L65</f>
        <v>601250.98</v>
      </c>
      <c r="M81" s="70" t="n">
        <f aca="false">M40+M65</f>
        <v>588141.414170961</v>
      </c>
      <c r="N81" s="70" t="n">
        <f aca="false">N40+N65</f>
        <v>587024.460691523</v>
      </c>
      <c r="O81" s="70" t="n">
        <f aca="false">O40+O65</f>
        <v>562761.226918888</v>
      </c>
      <c r="P81" s="70" t="n">
        <f aca="false">P40+P65</f>
        <v>512238.099851974</v>
      </c>
      <c r="Q81" s="70" t="n">
        <f aca="false">Q40+Q65</f>
        <v>451867.126954033</v>
      </c>
      <c r="R81" s="70" t="n">
        <f aca="false">R40+R65</f>
        <v>473575.587363972</v>
      </c>
      <c r="S81" s="70" t="n">
        <f aca="false">S40+S65</f>
        <v>542452.899227888</v>
      </c>
      <c r="T81" s="70" t="n">
        <f aca="false">T40+T65</f>
        <v>615740.27283437</v>
      </c>
      <c r="U81" s="70" t="n">
        <f aca="false">U40+U65</f>
        <v>671691.908722947</v>
      </c>
      <c r="V81" s="70" t="n">
        <f aca="false">V40+V65</f>
        <v>699303.159043724</v>
      </c>
      <c r="W81" s="70" t="n">
        <f aca="false">W40+W65</f>
        <v>696281.196257571</v>
      </c>
      <c r="X81" s="70" t="n">
        <f aca="false">X40+X65</f>
        <v>678719.370194267</v>
      </c>
      <c r="Y81" s="70" t="n">
        <f aca="false">Y40+Y65</f>
        <v>690240.183883388</v>
      </c>
      <c r="Z81" s="70" t="n">
        <f aca="false">Z40+Z65</f>
        <v>684651.443934291</v>
      </c>
      <c r="AA81" s="70" t="n">
        <f aca="false">AA40+AA65</f>
        <v>649338.991037068</v>
      </c>
      <c r="AB81" s="70" t="n">
        <f aca="false">AB40+AB65</f>
        <v>580729.547453719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864</v>
      </c>
    </row>
    <row r="3" customFormat="false" ht="15" hidden="false" customHeight="false" outlineLevel="0" collapsed="false">
      <c r="A3" s="47" t="s">
        <v>865</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866</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867</v>
      </c>
      <c r="B9" s="56" t="s">
        <v>46</v>
      </c>
      <c r="C9" s="57" t="n">
        <f aca="false">P9</f>
        <v>2347567.62842334</v>
      </c>
      <c r="D9" s="57" t="n">
        <f aca="false">AB9</f>
        <v>0</v>
      </c>
      <c r="E9" s="58" t="n">
        <f aca="false">WIP!E719</f>
        <v>515563.33</v>
      </c>
      <c r="F9" s="58" t="n">
        <f aca="false">WIP!F719</f>
        <v>1396294.87</v>
      </c>
      <c r="G9" s="58" t="n">
        <f aca="false">WIP!G719</f>
        <v>1189063.82</v>
      </c>
      <c r="H9" s="58" t="n">
        <f aca="false">WIP!H719</f>
        <v>2360170.36</v>
      </c>
      <c r="I9" s="58" t="n">
        <f aca="false">WIP!I719</f>
        <v>3140033.02</v>
      </c>
      <c r="J9" s="58" t="n">
        <f aca="false">WIP!J719</f>
        <v>2866188.12</v>
      </c>
      <c r="K9" s="58" t="n">
        <f aca="false">WIP!K719</f>
        <v>2798984</v>
      </c>
      <c r="L9" s="58" t="n">
        <f aca="false">WIP!L719</f>
        <v>4740176.59</v>
      </c>
      <c r="M9" s="58" t="n">
        <f aca="false">WIP!M719</f>
        <v>4097803.72462082</v>
      </c>
      <c r="N9" s="58" t="n">
        <f aca="false">WIP!N719</f>
        <v>3438248.9784384</v>
      </c>
      <c r="O9" s="58" t="n">
        <f aca="false">WIP!O719</f>
        <v>2828874.63554443</v>
      </c>
      <c r="P9" s="58" t="n">
        <f aca="false">WIP!P719</f>
        <v>2347567.62842334</v>
      </c>
      <c r="Q9" s="58" t="n">
        <f aca="false">WIP!Q719</f>
        <v>1998276.18680505</v>
      </c>
      <c r="R9" s="58" t="n">
        <f aca="false">WIP!R719</f>
        <v>1807407.40740741</v>
      </c>
      <c r="S9" s="58" t="n">
        <f aca="false">WIP!S719</f>
        <v>1699643.34705075</v>
      </c>
      <c r="T9" s="58" t="n">
        <f aca="false">WIP!T719</f>
        <v>1537887.51714678</v>
      </c>
      <c r="U9" s="58" t="n">
        <f aca="false">WIP!U719</f>
        <v>1303703.7037037</v>
      </c>
      <c r="V9" s="58" t="n">
        <f aca="false">WIP!V719</f>
        <v>1026063.10013717</v>
      </c>
      <c r="W9" s="58" t="n">
        <f aca="false">WIP!W719</f>
        <v>733936.899862826</v>
      </c>
      <c r="X9" s="58" t="n">
        <f aca="false">WIP!X719</f>
        <v>456296.296296296</v>
      </c>
      <c r="Y9" s="58" t="n">
        <f aca="false">WIP!Y719</f>
        <v>222112.482853224</v>
      </c>
      <c r="Z9" s="58" t="n">
        <f aca="false">WIP!Z719</f>
        <v>60356.6529492454</v>
      </c>
      <c r="AA9" s="58" t="n">
        <f aca="false">WIP!AA719</f>
        <v>0</v>
      </c>
      <c r="AB9" s="58" t="n">
        <f aca="false">WIP!AB719</f>
        <v>0</v>
      </c>
    </row>
    <row r="10" customFormat="false" ht="15" hidden="false" customHeight="false" outlineLevel="0" collapsed="false">
      <c r="A10" s="27" t="s">
        <v>868</v>
      </c>
      <c r="B10" s="56" t="s">
        <v>49</v>
      </c>
      <c r="C10" s="57" t="n">
        <f aca="false">P10</f>
        <v>512238.099851974</v>
      </c>
      <c r="D10" s="57" t="n">
        <f aca="false">AB10</f>
        <v>580729.547453719</v>
      </c>
      <c r="E10" s="58" t="n">
        <f aca="false">Residential!E81</f>
        <v>196984.7</v>
      </c>
      <c r="F10" s="58" t="n">
        <f aca="false">Residential!F81</f>
        <v>297613.14</v>
      </c>
      <c r="G10" s="58" t="n">
        <f aca="false">Residential!G81</f>
        <v>500893.84</v>
      </c>
      <c r="H10" s="58" t="n">
        <f aca="false">Residential!H81</f>
        <v>473174.24</v>
      </c>
      <c r="I10" s="58" t="n">
        <f aca="false">Residential!I81</f>
        <v>574454.03</v>
      </c>
      <c r="J10" s="58" t="n">
        <f aca="false">Residential!J81</f>
        <v>560251.08</v>
      </c>
      <c r="K10" s="58" t="n">
        <f aca="false">Residential!K81</f>
        <v>664806.21</v>
      </c>
      <c r="L10" s="58" t="n">
        <f aca="false">Residential!L81</f>
        <v>601250.98</v>
      </c>
      <c r="M10" s="58" t="n">
        <f aca="false">Residential!M81</f>
        <v>588141.414170961</v>
      </c>
      <c r="N10" s="58" t="n">
        <f aca="false">Residential!N81</f>
        <v>587024.460691523</v>
      </c>
      <c r="O10" s="58" t="n">
        <f aca="false">Residential!O81</f>
        <v>562761.226918888</v>
      </c>
      <c r="P10" s="58" t="n">
        <f aca="false">Residential!P81</f>
        <v>512238.099851974</v>
      </c>
      <c r="Q10" s="58" t="n">
        <f aca="false">Residential!Q81</f>
        <v>451867.126954033</v>
      </c>
      <c r="R10" s="58" t="n">
        <f aca="false">Residential!R81</f>
        <v>473575.587363972</v>
      </c>
      <c r="S10" s="58" t="n">
        <f aca="false">Residential!S81</f>
        <v>542452.899227888</v>
      </c>
      <c r="T10" s="58" t="n">
        <f aca="false">Residential!T81</f>
        <v>615740.27283437</v>
      </c>
      <c r="U10" s="58" t="n">
        <f aca="false">Residential!U81</f>
        <v>671691.908722947</v>
      </c>
      <c r="V10" s="58" t="n">
        <f aca="false">Residential!V81</f>
        <v>699303.159043724</v>
      </c>
      <c r="W10" s="58" t="n">
        <f aca="false">Residential!W81</f>
        <v>696281.196257571</v>
      </c>
      <c r="X10" s="58" t="n">
        <f aca="false">Residential!X81</f>
        <v>678719.370194267</v>
      </c>
      <c r="Y10" s="58" t="n">
        <f aca="false">Residential!Y81</f>
        <v>690240.183883388</v>
      </c>
      <c r="Z10" s="58" t="n">
        <f aca="false">Residential!Z81</f>
        <v>684651.443934291</v>
      </c>
      <c r="AA10" s="58" t="n">
        <f aca="false">Residential!AA81</f>
        <v>649338.991037068</v>
      </c>
      <c r="AB10" s="58" t="n">
        <f aca="false">Residential!AB81</f>
        <v>580729.547453719</v>
      </c>
    </row>
    <row r="11" customFormat="false" ht="15" hidden="false" customHeight="false" outlineLevel="0" collapsed="false">
      <c r="A11" s="67" t="s">
        <v>869</v>
      </c>
      <c r="B11" s="68"/>
      <c r="C11" s="69" t="n">
        <f aca="false">P11</f>
        <v>2859805.72827531</v>
      </c>
      <c r="D11" s="69" t="n">
        <f aca="false">AB11</f>
        <v>580729.547453719</v>
      </c>
      <c r="E11" s="69" t="n">
        <f aca="false">E9+E10</f>
        <v>712548.03</v>
      </c>
      <c r="F11" s="69" t="n">
        <f aca="false">F9+F10</f>
        <v>1693908.01</v>
      </c>
      <c r="G11" s="69" t="n">
        <f aca="false">G9+G10</f>
        <v>1689957.66</v>
      </c>
      <c r="H11" s="69" t="n">
        <f aca="false">H9+H10</f>
        <v>2833344.6</v>
      </c>
      <c r="I11" s="69" t="n">
        <f aca="false">I9+I10</f>
        <v>3714487.05</v>
      </c>
      <c r="J11" s="69" t="n">
        <f aca="false">J9+J10</f>
        <v>3426439.2</v>
      </c>
      <c r="K11" s="69" t="n">
        <f aca="false">K9+K10</f>
        <v>3463790.21</v>
      </c>
      <c r="L11" s="69" t="n">
        <f aca="false">L9+L10</f>
        <v>5341427.57</v>
      </c>
      <c r="M11" s="69" t="n">
        <f aca="false">M9+M10</f>
        <v>4685945.13879178</v>
      </c>
      <c r="N11" s="69" t="n">
        <f aca="false">N9+N10</f>
        <v>4025273.43912993</v>
      </c>
      <c r="O11" s="69" t="n">
        <f aca="false">O9+O10</f>
        <v>3391635.86246332</v>
      </c>
      <c r="P11" s="69" t="n">
        <f aca="false">P9+P10</f>
        <v>2859805.72827531</v>
      </c>
      <c r="Q11" s="69" t="n">
        <f aca="false">Q9+Q10</f>
        <v>2450143.31375909</v>
      </c>
      <c r="R11" s="69" t="n">
        <f aca="false">R9+R10</f>
        <v>2280982.99477138</v>
      </c>
      <c r="S11" s="69" t="n">
        <f aca="false">S9+S10</f>
        <v>2242096.24627864</v>
      </c>
      <c r="T11" s="69" t="n">
        <f aca="false">T9+T10</f>
        <v>2153627.78998115</v>
      </c>
      <c r="U11" s="69" t="n">
        <f aca="false">U9+U10</f>
        <v>1975395.61242665</v>
      </c>
      <c r="V11" s="69" t="n">
        <f aca="false">V9+V10</f>
        <v>1725366.2591809</v>
      </c>
      <c r="W11" s="69" t="n">
        <f aca="false">W9+W10</f>
        <v>1430218.0961204</v>
      </c>
      <c r="X11" s="69" t="n">
        <f aca="false">X9+X10</f>
        <v>1135015.66649056</v>
      </c>
      <c r="Y11" s="69" t="n">
        <f aca="false">Y9+Y10</f>
        <v>912352.666736612</v>
      </c>
      <c r="Z11" s="69" t="n">
        <f aca="false">Z9+Z10</f>
        <v>745008.096883536</v>
      </c>
      <c r="AA11" s="69" t="n">
        <f aca="false">AA9+AA10</f>
        <v>649338.991037068</v>
      </c>
      <c r="AB11" s="69" t="n">
        <f aca="false">AB9+AB10</f>
        <v>580729.547453719</v>
      </c>
    </row>
    <row r="12" customFormat="false" ht="15" hidden="false" customHeight="false" outlineLevel="0" collapsed="false">
      <c r="A12" s="27" t="s">
        <v>817</v>
      </c>
      <c r="B12" s="56" t="s">
        <v>46</v>
      </c>
      <c r="C12" s="57" t="n">
        <f aca="false">P12</f>
        <v>3106562.5</v>
      </c>
      <c r="D12" s="57" t="n">
        <f aca="false">AB12</f>
        <v>820550.154883382</v>
      </c>
      <c r="E12" s="58" t="n">
        <f aca="false">WIP!E720</f>
        <v>3167500</v>
      </c>
      <c r="F12" s="58" t="n">
        <f aca="false">WIP!F720</f>
        <v>3167500</v>
      </c>
      <c r="G12" s="58" t="n">
        <f aca="false">WIP!G720</f>
        <v>3167500</v>
      </c>
      <c r="H12" s="58" t="n">
        <f aca="false">WIP!H720</f>
        <v>3167500</v>
      </c>
      <c r="I12" s="58" t="n">
        <f aca="false">WIP!I720</f>
        <v>3167500</v>
      </c>
      <c r="J12" s="58" t="n">
        <f aca="false">WIP!J720</f>
        <v>3167500</v>
      </c>
      <c r="K12" s="58" t="n">
        <f aca="false">WIP!K720</f>
        <v>3167500</v>
      </c>
      <c r="L12" s="58" t="n">
        <f aca="false">WIP!L720</f>
        <v>3167500</v>
      </c>
      <c r="M12" s="58" t="n">
        <f aca="false">WIP!M720</f>
        <v>3167500</v>
      </c>
      <c r="N12" s="58" t="n">
        <f aca="false">WIP!N720</f>
        <v>3167500</v>
      </c>
      <c r="O12" s="58" t="n">
        <f aca="false">WIP!O720</f>
        <v>3167500</v>
      </c>
      <c r="P12" s="58" t="n">
        <f aca="false">WIP!P720</f>
        <v>3106562.5</v>
      </c>
      <c r="Q12" s="58" t="n">
        <f aca="false">WIP!Q720</f>
        <v>2972500</v>
      </c>
      <c r="R12" s="58" t="n">
        <f aca="false">WIP!R720</f>
        <v>2810615.234375</v>
      </c>
      <c r="S12" s="58" t="n">
        <f aca="false">WIP!S720</f>
        <v>2676328.125</v>
      </c>
      <c r="T12" s="58" t="n">
        <f aca="false">WIP!T720</f>
        <v>2543738.06423611</v>
      </c>
      <c r="U12" s="58" t="n">
        <f aca="false">WIP!U720</f>
        <v>2352638.88888889</v>
      </c>
      <c r="V12" s="58" t="n">
        <f aca="false">WIP!V720</f>
        <v>2121153.046875</v>
      </c>
      <c r="W12" s="58" t="n">
        <f aca="false">WIP!W720</f>
        <v>1878922.98611111</v>
      </c>
      <c r="X12" s="58" t="n">
        <f aca="false">WIP!X720</f>
        <v>1658800.01748765</v>
      </c>
      <c r="Y12" s="58" t="n">
        <f aca="false">WIP!Y720</f>
        <v>1488669.84511662</v>
      </c>
      <c r="Z12" s="58" t="n">
        <f aca="false">WIP!Z720</f>
        <v>1321628.59876093</v>
      </c>
      <c r="AA12" s="58" t="n">
        <f aca="false">WIP!AA720</f>
        <v>1091496.40123907</v>
      </c>
      <c r="AB12" s="58" t="n">
        <f aca="false">WIP!AB720</f>
        <v>820550.154883382</v>
      </c>
    </row>
    <row r="13" customFormat="false" ht="15" hidden="false" customHeight="false" outlineLevel="0" collapsed="false">
      <c r="A13" s="27" t="s">
        <v>301</v>
      </c>
      <c r="B13" s="56" t="s">
        <v>30</v>
      </c>
      <c r="C13" s="57" t="n">
        <f aca="false">SUM(E13:P13)</f>
        <v>9197434.24316899</v>
      </c>
      <c r="D13" s="57" t="n">
        <f aca="false">SUM(Q13:AB13)</f>
        <v>9703425.52294328</v>
      </c>
      <c r="E13" s="58" t="n">
        <f aca="false">PL!E13</f>
        <v>664034.2</v>
      </c>
      <c r="F13" s="58" t="n">
        <f aca="false">PL!F13</f>
        <v>566098.91</v>
      </c>
      <c r="G13" s="58" t="n">
        <f aca="false">PL!G13</f>
        <v>490939.1</v>
      </c>
      <c r="H13" s="58" t="n">
        <f aca="false">PL!H13</f>
        <v>453372.76</v>
      </c>
      <c r="I13" s="58" t="n">
        <f aca="false">PL!I13</f>
        <v>476711.55</v>
      </c>
      <c r="J13" s="58" t="n">
        <f aca="false">PL!J13</f>
        <v>646422.85</v>
      </c>
      <c r="K13" s="58" t="n">
        <f aca="false">PL!K13</f>
        <v>880782.99</v>
      </c>
      <c r="L13" s="58" t="n">
        <f aca="false">PL!L13</f>
        <v>949041.64</v>
      </c>
      <c r="M13" s="58" t="n">
        <f aca="false">PL!M13</f>
        <v>1074285.20958651</v>
      </c>
      <c r="N13" s="58" t="n">
        <f aca="false">PL!N13</f>
        <v>1074569.1441731</v>
      </c>
      <c r="O13" s="58" t="n">
        <f aca="false">PL!O13</f>
        <v>1008230.98924577</v>
      </c>
      <c r="P13" s="58" t="n">
        <f aca="false">PL!P13</f>
        <v>912944.900163607</v>
      </c>
      <c r="Q13" s="58" t="n">
        <f aca="false">PL!Q13</f>
        <v>822468.085884264</v>
      </c>
      <c r="R13" s="58" t="n">
        <f aca="false">PL!R13</f>
        <v>673862.17441346</v>
      </c>
      <c r="S13" s="58" t="n">
        <f aca="false">PL!S13</f>
        <v>581675.801172494</v>
      </c>
      <c r="T13" s="58" t="n">
        <f aca="false">PL!T13</f>
        <v>676204.411973833</v>
      </c>
      <c r="U13" s="58" t="n">
        <f aca="false">PL!U13</f>
        <v>851315.565964782</v>
      </c>
      <c r="V13" s="58" t="n">
        <f aca="false">PL!V13</f>
        <v>969743.588386608</v>
      </c>
      <c r="W13" s="58" t="n">
        <f aca="false">PL!W13</f>
        <v>1010443.71215389</v>
      </c>
      <c r="X13" s="58" t="n">
        <f aca="false">PL!X13</f>
        <v>972765.692532268</v>
      </c>
      <c r="Y13" s="58" t="n">
        <f aca="false">PL!Y13</f>
        <v>878268.839686541</v>
      </c>
      <c r="Z13" s="58" t="n">
        <f aca="false">PL!Z13</f>
        <v>803854.73968934</v>
      </c>
      <c r="AA13" s="58" t="n">
        <f aca="false">PL!AA13</f>
        <v>756126.725808716</v>
      </c>
      <c r="AB13" s="58" t="n">
        <f aca="false">PL!AB13</f>
        <v>706696.185277079</v>
      </c>
    </row>
    <row r="14" customFormat="false" ht="15" hidden="false" customHeight="false" outlineLevel="0" collapsed="false">
      <c r="A14" s="27" t="s">
        <v>870</v>
      </c>
      <c r="B14" s="56"/>
      <c r="C14" s="62" t="n">
        <f aca="false">P14</f>
        <v>2.8638676151175</v>
      </c>
      <c r="D14" s="62" t="n">
        <f aca="false">AB14</f>
        <v>0.768608911710662</v>
      </c>
      <c r="E14" s="72" t="n">
        <f aca="false">IFERROR(E11/AVERAGE(E13:E13),0)</f>
        <v>1.07305923399729</v>
      </c>
      <c r="F14" s="72" t="n">
        <f aca="false">IFERROR(F11/AVERAGE(E13:F13),0)</f>
        <v>2.75402392835358</v>
      </c>
      <c r="G14" s="72" t="n">
        <f aca="false">IFERROR(G11/AVERAGE(E13:G13),0)</f>
        <v>2.94576424541769</v>
      </c>
      <c r="H14" s="72" t="n">
        <f aca="false">IFERROR(H11/AVERAGE(F13:H13),0)</f>
        <v>5.62763055509727</v>
      </c>
      <c r="I14" s="72" t="n">
        <f aca="false">IFERROR(I11/AVERAGE(G13:I13),0)</f>
        <v>7.84185613803505</v>
      </c>
      <c r="J14" s="72" t="n">
        <f aca="false">IFERROR(J11/AVERAGE(H13:J13),0)</f>
        <v>6.52031139522386</v>
      </c>
      <c r="K14" s="72" t="n">
        <f aca="false">IFERROR(K11/AVERAGE(I13:K13),0)</f>
        <v>5.18552844635976</v>
      </c>
      <c r="L14" s="72" t="n">
        <f aca="false">IFERROR(L11/AVERAGE(J13:L13),0)</f>
        <v>6.47119596866788</v>
      </c>
      <c r="M14" s="72" t="n">
        <f aca="false">IFERROR(M11/AVERAGE(K13:M13),0)</f>
        <v>4.84066932481345</v>
      </c>
      <c r="N14" s="72" t="n">
        <f aca="false">IFERROR(N11/AVERAGE(L13:N13),0)</f>
        <v>3.89807157558397</v>
      </c>
      <c r="O14" s="72" t="n">
        <f aca="false">IFERROR(O11/AVERAGE(M13:O13),0)</f>
        <v>3.22288011945346</v>
      </c>
      <c r="P14" s="72" t="n">
        <f aca="false">IFERROR(P11/AVERAGE(N13:P13),0)</f>
        <v>2.8638676151175</v>
      </c>
      <c r="Q14" s="72" t="n">
        <f aca="false">IFERROR(Q11/AVERAGE(O13:Q13),0)</f>
        <v>2.67907571371047</v>
      </c>
      <c r="R14" s="72" t="n">
        <f aca="false">IFERROR(R11/AVERAGE(P13:R13),0)</f>
        <v>2.84025216239885</v>
      </c>
      <c r="S14" s="72" t="n">
        <f aca="false">IFERROR(S11/AVERAGE(Q13:S13),0)</f>
        <v>3.23689562968694</v>
      </c>
      <c r="T14" s="72" t="n">
        <f aca="false">IFERROR(T11/AVERAGE(R13:T13),0)</f>
        <v>3.34458849769557</v>
      </c>
      <c r="U14" s="72" t="n">
        <f aca="false">IFERROR(U11/AVERAGE(S13:U13),0)</f>
        <v>2.80969026013197</v>
      </c>
      <c r="V14" s="72" t="n">
        <f aca="false">IFERROR(V11/AVERAGE(T13:V13),0)</f>
        <v>2.07270824247015</v>
      </c>
      <c r="W14" s="72" t="n">
        <f aca="false">IFERROR(W11/AVERAGE(U13:W13),0)</f>
        <v>1.51532754535292</v>
      </c>
      <c r="X14" s="72" t="n">
        <f aca="false">IFERROR(X11/AVERAGE(V13:X13),0)</f>
        <v>1.15309895127334</v>
      </c>
      <c r="Y14" s="72" t="n">
        <f aca="false">IFERROR(Y11/AVERAGE(W13:Y13),0)</f>
        <v>0.956518892146902</v>
      </c>
      <c r="Z14" s="72" t="n">
        <f aca="false">IFERROR(Z11/AVERAGE(X13:Z13),0)</f>
        <v>0.841852168487701</v>
      </c>
      <c r="AA14" s="72" t="n">
        <f aca="false">IFERROR(AA11/AVERAGE(Y13:AA13),0)</f>
        <v>0.798940522623547</v>
      </c>
      <c r="AB14" s="72" t="n">
        <f aca="false">IFERROR(AB11/AVERAGE(Z13:AB13),0)</f>
        <v>0.768608911710662</v>
      </c>
    </row>
    <row r="15" customFormat="false" ht="15" hidden="false" customHeight="false" outlineLevel="0" collapsed="false">
      <c r="A15" s="21" t="s">
        <v>871</v>
      </c>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row>
    <row r="16" customFormat="false" ht="15" hidden="false" customHeight="false" outlineLevel="0" collapsed="false">
      <c r="A16" s="27" t="s">
        <v>872</v>
      </c>
      <c r="B16" s="56" t="s">
        <v>46</v>
      </c>
      <c r="C16" s="57" t="n">
        <f aca="false">SUM(E16:P16)</f>
        <v>6620000</v>
      </c>
      <c r="D16" s="57" t="n">
        <f aca="false">SUM(Q16:AB16)</f>
        <v>2777500</v>
      </c>
      <c r="E16" s="58" t="n">
        <f aca="false">WIP!E718</f>
        <v>0</v>
      </c>
      <c r="F16" s="58" t="n">
        <f aca="false">WIP!F718</f>
        <v>1180000</v>
      </c>
      <c r="G16" s="58" t="n">
        <f aca="false">WIP!G718</f>
        <v>0</v>
      </c>
      <c r="H16" s="58" t="n">
        <f aca="false">WIP!H718</f>
        <v>1320000</v>
      </c>
      <c r="I16" s="58" t="n">
        <f aca="false">WIP!I718</f>
        <v>940000</v>
      </c>
      <c r="J16" s="58" t="n">
        <f aca="false">WIP!J718</f>
        <v>0</v>
      </c>
      <c r="K16" s="58" t="n">
        <f aca="false">WIP!K718</f>
        <v>390000</v>
      </c>
      <c r="L16" s="58" t="n">
        <f aca="false">WIP!L718</f>
        <v>2400000</v>
      </c>
      <c r="M16" s="58" t="n">
        <f aca="false">WIP!M718</f>
        <v>0</v>
      </c>
      <c r="N16" s="58" t="n">
        <f aca="false">WIP!N718</f>
        <v>0</v>
      </c>
      <c r="O16" s="58" t="n">
        <f aca="false">WIP!O718</f>
        <v>390000</v>
      </c>
      <c r="P16" s="58" t="n">
        <f aca="false">WIP!P718</f>
        <v>0</v>
      </c>
      <c r="Q16" s="58" t="n">
        <f aca="false">WIP!Q718</f>
        <v>647500</v>
      </c>
      <c r="R16" s="58" t="n">
        <f aca="false">WIP!R718</f>
        <v>0</v>
      </c>
      <c r="S16" s="58" t="n">
        <f aca="false">WIP!S718</f>
        <v>390000</v>
      </c>
      <c r="T16" s="58" t="n">
        <f aca="false">WIP!T718</f>
        <v>0</v>
      </c>
      <c r="U16" s="58" t="n">
        <f aca="false">WIP!U718</f>
        <v>180000</v>
      </c>
      <c r="V16" s="58" t="n">
        <f aca="false">WIP!V718</f>
        <v>0</v>
      </c>
      <c r="W16" s="58" t="n">
        <f aca="false">WIP!W718</f>
        <v>384000</v>
      </c>
      <c r="X16" s="58" t="n">
        <f aca="false">WIP!X718</f>
        <v>324000</v>
      </c>
      <c r="Y16" s="58" t="n">
        <f aca="false">WIP!Y718</f>
        <v>852000</v>
      </c>
      <c r="Z16" s="58" t="n">
        <f aca="false">WIP!Z718</f>
        <v>0</v>
      </c>
      <c r="AA16" s="58" t="n">
        <f aca="false">WIP!AA718</f>
        <v>0</v>
      </c>
      <c r="AB16" s="58" t="n">
        <f aca="false">WIP!AB718</f>
        <v>0</v>
      </c>
    </row>
    <row r="17" customFormat="false" ht="15" hidden="false" customHeight="false" outlineLevel="0" collapsed="false">
      <c r="A17" s="27" t="s">
        <v>873</v>
      </c>
      <c r="B17" s="56" t="s">
        <v>49</v>
      </c>
      <c r="C17" s="57" t="n">
        <f aca="false">SUM(E17:P17)</f>
        <v>4233182.9014443</v>
      </c>
      <c r="D17" s="57" t="n">
        <f aca="false">SUM(Q17:AB17)</f>
        <v>5138336.99700507</v>
      </c>
      <c r="E17" s="58" t="n">
        <f aca="false">Residential!E14+Residential!E47</f>
        <v>245783</v>
      </c>
      <c r="F17" s="58" t="n">
        <f aca="false">Residential!F14+Residential!F47</f>
        <v>231373</v>
      </c>
      <c r="G17" s="58" t="n">
        <f aca="false">Residential!G14+Residential!G47</f>
        <v>427811</v>
      </c>
      <c r="H17" s="58" t="n">
        <f aca="false">Residential!H14+Residential!H47</f>
        <v>250213</v>
      </c>
      <c r="I17" s="58" t="n">
        <f aca="false">Residential!I14+Residential!I47</f>
        <v>408604</v>
      </c>
      <c r="J17" s="58" t="n">
        <f aca="false">Residential!J14+Residential!J47</f>
        <v>314375</v>
      </c>
      <c r="K17" s="58" t="n">
        <f aca="false">Residential!K14+Residential!K47</f>
        <v>493084</v>
      </c>
      <c r="L17" s="58" t="n">
        <f aca="false">Residential!L14+Residential!L47</f>
        <v>359729</v>
      </c>
      <c r="M17" s="58" t="n">
        <f aca="false">Residential!M14+Residential!M47</f>
        <v>416372.778378289</v>
      </c>
      <c r="N17" s="58" t="n">
        <f aca="false">Residential!N14+Residential!N47</f>
        <v>402497.444511246</v>
      </c>
      <c r="O17" s="58" t="n">
        <f aca="false">Residential!O14+Residential!O47</f>
        <v>368803.412579166</v>
      </c>
      <c r="P17" s="58" t="n">
        <f aca="false">Residential!P14+Residential!P47</f>
        <v>314537.265975597</v>
      </c>
      <c r="Q17" s="58" t="n">
        <f aca="false">Residential!Q14+Residential!Q47</f>
        <v>278743.171368039</v>
      </c>
      <c r="R17" s="58" t="n">
        <f aca="false">Residential!R14+Residential!R47</f>
        <v>342817.089800754</v>
      </c>
      <c r="S17" s="58" t="n">
        <f aca="false">Residential!S14+Residential!S47</f>
        <v>408501.943304757</v>
      </c>
      <c r="T17" s="58" t="n">
        <f aca="false">Residential!T14+Residential!T47</f>
        <v>455145.894912448</v>
      </c>
      <c r="U17" s="58" t="n">
        <f aca="false">Residential!U14+Residential!U47</f>
        <v>481984.213063064</v>
      </c>
      <c r="V17" s="58" t="n">
        <f aca="false">Residential!V14+Residential!V47</f>
        <v>488228.393126966</v>
      </c>
      <c r="W17" s="58" t="n">
        <f aca="false">Residential!W14+Residential!W47</f>
        <v>473065.488329501</v>
      </c>
      <c r="X17" s="58" t="n">
        <f aca="false">Residential!X14+Residential!X47</f>
        <v>457440.294278973</v>
      </c>
      <c r="Y17" s="58" t="n">
        <f aca="false">Residential!Y14+Residential!Y47</f>
        <v>485475.667561558</v>
      </c>
      <c r="Z17" s="58" t="n">
        <f aca="false">Residential!Z14+Residential!Z47</f>
        <v>469468.923480579</v>
      </c>
      <c r="AA17" s="58" t="n">
        <f aca="false">Residential!AA14+Residential!AA47</f>
        <v>430325.422440383</v>
      </c>
      <c r="AB17" s="58" t="n">
        <f aca="false">Residential!AB14+Residential!AB47</f>
        <v>367140.495338045</v>
      </c>
    </row>
    <row r="18" customFormat="false" ht="15" hidden="false" customHeight="false" outlineLevel="0" collapsed="false">
      <c r="A18" s="67" t="s">
        <v>874</v>
      </c>
      <c r="B18" s="68"/>
      <c r="C18" s="69" t="n">
        <f aca="false">SUM(E18:P18)</f>
        <v>10853182.9014443</v>
      </c>
      <c r="D18" s="69" t="n">
        <f aca="false">SUM(Q18:AB18)</f>
        <v>7915836.99700507</v>
      </c>
      <c r="E18" s="69" t="n">
        <f aca="false">E16+E17</f>
        <v>245783</v>
      </c>
      <c r="F18" s="69" t="n">
        <f aca="false">F16+F17</f>
        <v>1411373</v>
      </c>
      <c r="G18" s="69" t="n">
        <f aca="false">G16+G17</f>
        <v>427811</v>
      </c>
      <c r="H18" s="69" t="n">
        <f aca="false">H16+H17</f>
        <v>1570213</v>
      </c>
      <c r="I18" s="69" t="n">
        <f aca="false">I16+I17</f>
        <v>1348604</v>
      </c>
      <c r="J18" s="69" t="n">
        <f aca="false">J16+J17</f>
        <v>314375</v>
      </c>
      <c r="K18" s="69" t="n">
        <f aca="false">K16+K17</f>
        <v>883084</v>
      </c>
      <c r="L18" s="69" t="n">
        <f aca="false">L16+L17</f>
        <v>2759729</v>
      </c>
      <c r="M18" s="69" t="n">
        <f aca="false">M16+M17</f>
        <v>416372.778378289</v>
      </c>
      <c r="N18" s="69" t="n">
        <f aca="false">N16+N17</f>
        <v>402497.444511246</v>
      </c>
      <c r="O18" s="69" t="n">
        <f aca="false">O16+O17</f>
        <v>758803.412579166</v>
      </c>
      <c r="P18" s="69" t="n">
        <f aca="false">P16+P17</f>
        <v>314537.265975597</v>
      </c>
      <c r="Q18" s="69" t="n">
        <f aca="false">Q16+Q17</f>
        <v>926243.171368039</v>
      </c>
      <c r="R18" s="69" t="n">
        <f aca="false">R16+R17</f>
        <v>342817.089800754</v>
      </c>
      <c r="S18" s="69" t="n">
        <f aca="false">S16+S17</f>
        <v>798501.943304757</v>
      </c>
      <c r="T18" s="69" t="n">
        <f aca="false">T16+T17</f>
        <v>455145.894912448</v>
      </c>
      <c r="U18" s="69" t="n">
        <f aca="false">U16+U17</f>
        <v>661984.213063064</v>
      </c>
      <c r="V18" s="69" t="n">
        <f aca="false">V16+V17</f>
        <v>488228.393126966</v>
      </c>
      <c r="W18" s="69" t="n">
        <f aca="false">W16+W17</f>
        <v>857065.488329501</v>
      </c>
      <c r="X18" s="69" t="n">
        <f aca="false">X16+X17</f>
        <v>781440.294278973</v>
      </c>
      <c r="Y18" s="69" t="n">
        <f aca="false">Y16+Y17</f>
        <v>1337475.66756156</v>
      </c>
      <c r="Z18" s="69" t="n">
        <f aca="false">Z16+Z17</f>
        <v>469468.923480579</v>
      </c>
      <c r="AA18" s="69" t="n">
        <f aca="false">AA16+AA17</f>
        <v>430325.422440383</v>
      </c>
      <c r="AB18" s="69" t="n">
        <f aca="false">AB16+AB17</f>
        <v>367140.495338045</v>
      </c>
    </row>
    <row r="19" customFormat="false" ht="15" hidden="false" customHeight="false" outlineLevel="0" collapsed="false">
      <c r="A19" s="27" t="s">
        <v>312</v>
      </c>
      <c r="B19" s="56" t="s">
        <v>875</v>
      </c>
      <c r="E19" s="109" t="n">
        <f aca="false">IFERROR(SUM(E18:E18)/SUM(E13:E13),0)</f>
        <v>0.370136056245296</v>
      </c>
      <c r="F19" s="109" t="n">
        <f aca="false">IFERROR(SUM(E18:F18)/SUM(E13:F13),0)</f>
        <v>1.34713551446477</v>
      </c>
      <c r="G19" s="109" t="n">
        <f aca="false">IFERROR(SUM(E18:G18)/SUM(E13:G13),0)</f>
        <v>1.21143493450516</v>
      </c>
      <c r="H19" s="109" t="n">
        <f aca="false">IFERROR(SUM(F18:H18)/SUM(F13:H13),0)</f>
        <v>2.2572647571892</v>
      </c>
      <c r="I19" s="109" t="n">
        <f aca="false">IFERROR(SUM(G18:I18)/SUM(G13:I13),0)</f>
        <v>2.35508294687418</v>
      </c>
      <c r="J19" s="109" t="n">
        <f aca="false">IFERROR(SUM(H18:J18)/SUM(H13:J13),0)</f>
        <v>2.05085779629444</v>
      </c>
      <c r="K19" s="109" t="n">
        <f aca="false">IFERROR(SUM(I18:K18)/SUM(I13:K13),0)</f>
        <v>1.27054289398626</v>
      </c>
      <c r="L19" s="109" t="n">
        <f aca="false">IFERROR(SUM(J18:L18)/SUM(J13:L13),0)</f>
        <v>1.59805836531331</v>
      </c>
      <c r="M19" s="109" t="n">
        <f aca="false">IFERROR(SUM(K18:M18)/SUM(K13:M13),0)</f>
        <v>1.39773837857188</v>
      </c>
      <c r="N19" s="109" t="n">
        <f aca="false">IFERROR(SUM(L18:N18)/SUM(L13:N13),0)</f>
        <v>1.1551708740701</v>
      </c>
      <c r="O19" s="109" t="n">
        <f aca="false">IFERROR(SUM(M18:O18)/SUM(M13:O13),0)</f>
        <v>0.499724734703192</v>
      </c>
      <c r="P19" s="109" t="n">
        <f aca="false">IFERROR(SUM(N18:P18)/SUM(N13:P13),0)</f>
        <v>0.492644770006051</v>
      </c>
      <c r="Q19" s="109" t="n">
        <f aca="false">IFERROR(SUM(O18:Q18)/SUM(O13:Q13),0)</f>
        <v>0.728805875663512</v>
      </c>
      <c r="R19" s="109" t="n">
        <f aca="false">IFERROR(SUM(P18:R18)/SUM(P13:R13),0)</f>
        <v>0.657292098940314</v>
      </c>
      <c r="S19" s="109" t="n">
        <f aca="false">IFERROR(SUM(Q18:S18)/SUM(Q13:S13),0)</f>
        <v>0.994974096952692</v>
      </c>
      <c r="T19" s="109" t="n">
        <f aca="false">IFERROR(SUM(R18:T18)/SUM(R13:T13),0)</f>
        <v>0.826437799521831</v>
      </c>
      <c r="U19" s="109" t="n">
        <f aca="false">IFERROR(SUM(S18:U18)/SUM(S13:U13),0)</f>
        <v>0.908228657696056</v>
      </c>
      <c r="V19" s="109" t="n">
        <f aca="false">IFERROR(SUM(T18:V18)/SUM(T13:V13),0)</f>
        <v>0.642847043760302</v>
      </c>
      <c r="W19" s="109" t="n">
        <f aca="false">IFERROR(SUM(U18:W18)/SUM(U13:W13),0)</f>
        <v>0.7089090808504</v>
      </c>
      <c r="X19" s="109" t="n">
        <f aca="false">IFERROR(SUM(V18:X18)/SUM(V13:X13),0)</f>
        <v>0.72020590260816</v>
      </c>
      <c r="Y19" s="109" t="n">
        <f aca="false">IFERROR(SUM(W18:Y18)/SUM(W13:Y13),0)</f>
        <v>1.0400154032352</v>
      </c>
      <c r="Z19" s="109" t="n">
        <f aca="false">IFERROR(SUM(X18:Z18)/SUM(X13:Z13),0)</f>
        <v>0.974950222108796</v>
      </c>
      <c r="AA19" s="109" t="n">
        <f aca="false">IFERROR(SUM(Y18:AA18)/SUM(Y13:AA13),0)</f>
        <v>0.917571919800555</v>
      </c>
      <c r="AB19" s="109" t="n">
        <f aca="false">IFERROR(SUM(Z18:AB18)/SUM(Z13:AB13),0)</f>
        <v>0.558939133151886</v>
      </c>
    </row>
    <row r="21" customFormat="false" ht="15" hidden="false" customHeight="false" outlineLevel="0" collapsed="false">
      <c r="A21" s="19" t="s">
        <v>876</v>
      </c>
    </row>
    <row r="22" customFormat="false" ht="36" hidden="false" customHeight="true" outlineLevel="0" collapsed="false">
      <c r="A22" s="25" t="s">
        <v>877</v>
      </c>
      <c r="B22" s="26" t="s">
        <v>878</v>
      </c>
      <c r="C22" s="26" t="s">
        <v>879</v>
      </c>
      <c r="D22" s="26" t="s">
        <v>880</v>
      </c>
      <c r="E22" s="26" t="s">
        <v>881</v>
      </c>
      <c r="F22" s="26" t="s">
        <v>882</v>
      </c>
      <c r="G22" s="26" t="s">
        <v>883</v>
      </c>
      <c r="H22" s="26" t="s">
        <v>884</v>
      </c>
      <c r="I22" s="26" t="s">
        <v>885</v>
      </c>
      <c r="J22" s="26" t="s">
        <v>886</v>
      </c>
      <c r="K22" s="26" t="s">
        <v>887</v>
      </c>
      <c r="L22" s="26" t="s">
        <v>888</v>
      </c>
    </row>
    <row r="23" customFormat="false" ht="15" hidden="false" customHeight="false" outlineLevel="0" collapsed="false">
      <c r="A23" s="110" t="str">
        <f aca="false">Project_Register!$A$13</f>
        <v>CF-2604</v>
      </c>
      <c r="B23" s="110" t="str">
        <f aca="false">Project_Register!$C$13</f>
        <v>Liffeyside Medical Partners</v>
      </c>
      <c r="C23" s="110" t="str">
        <f aca="false">IF(Project_Register!$E$13="Pipeline",Project_Register!$F$13,Project_Register!$E$13)</f>
        <v>Contracted</v>
      </c>
      <c r="D23" s="58" t="n">
        <f aca="false">Project_Register!$N$13</f>
        <v>640000</v>
      </c>
      <c r="E23" s="61" t="n">
        <f aca="false">Project_Register!$H$13</f>
        <v>1</v>
      </c>
      <c r="F23" s="61" t="n">
        <f aca="false">Project_Register!$I$13</f>
        <v>1</v>
      </c>
      <c r="G23" s="61" t="n">
        <f aca="false">Project_Register!$J$13</f>
        <v>1</v>
      </c>
      <c r="H23" s="61" t="n">
        <f aca="false">Project_Register!$K$13</f>
        <v>1</v>
      </c>
      <c r="I23" s="58" t="n">
        <f aca="false">Project_Register!$AO$13</f>
        <v>640000</v>
      </c>
      <c r="J23" s="92" t="n">
        <f aca="false">EOMONTH(Assumptions!$C$8,Project_Register!$AJ$13-1)</f>
        <v>46326</v>
      </c>
      <c r="K23" s="58" t="n">
        <f aca="false">Project_Register!$V$13*Project_Register!$N$13</f>
        <v>64000</v>
      </c>
      <c r="L23" s="61" t="n">
        <f aca="false">Project_Register!$P$13</f>
        <v>0.1421875</v>
      </c>
    </row>
    <row r="24" customFormat="false" ht="15" hidden="false" customHeight="false" outlineLevel="0" collapsed="false">
      <c r="A24" s="110" t="str">
        <f aca="false">Project_Register!$A$14</f>
        <v>PS-2602</v>
      </c>
      <c r="B24" s="110" t="str">
        <f aca="false">Project_Register!$C$14</f>
        <v>Kildrum County Council</v>
      </c>
      <c r="C24" s="110" t="str">
        <f aca="false">IF(Project_Register!$E$14="Pipeline",Project_Register!$F$14,Project_Register!$E$14)</f>
        <v>Contracted</v>
      </c>
      <c r="D24" s="58" t="n">
        <f aca="false">Project_Register!$N$14</f>
        <v>1760000</v>
      </c>
      <c r="E24" s="61" t="n">
        <f aca="false">Project_Register!$H$14</f>
        <v>1</v>
      </c>
      <c r="F24" s="61" t="n">
        <f aca="false">Project_Register!$I$14</f>
        <v>1</v>
      </c>
      <c r="G24" s="61" t="n">
        <f aca="false">Project_Register!$J$14</f>
        <v>1</v>
      </c>
      <c r="H24" s="61" t="n">
        <f aca="false">Project_Register!$K$14</f>
        <v>1</v>
      </c>
      <c r="I24" s="58" t="n">
        <f aca="false">Project_Register!$AO$14</f>
        <v>1760000</v>
      </c>
      <c r="J24" s="92" t="n">
        <f aca="false">EOMONTH(Assumptions!$C$8,Project_Register!$AJ$14-1)</f>
        <v>46477</v>
      </c>
      <c r="K24" s="58" t="n">
        <f aca="false">Project_Register!$V$14*Project_Register!$N$14</f>
        <v>176000</v>
      </c>
      <c r="L24" s="61" t="n">
        <f aca="false">Project_Register!$P$14</f>
        <v>0.120454545454545</v>
      </c>
    </row>
    <row r="25" customFormat="false" ht="15" hidden="false" customHeight="false" outlineLevel="0" collapsed="false">
      <c r="A25" s="110" t="str">
        <f aca="false">Project_Register!$A$15</f>
        <v>CF-P01</v>
      </c>
      <c r="B25" s="110" t="str">
        <f aca="false">Project_Register!$C$15</f>
        <v>Quayside Capital Partners</v>
      </c>
      <c r="C25" s="110" t="str">
        <f aca="false">IF(Project_Register!$E$15="Pipeline",Project_Register!$F$15,Project_Register!$E$15)</f>
        <v>Tender submitted</v>
      </c>
      <c r="D25" s="58" t="n">
        <f aca="false">Project_Register!$N$15</f>
        <v>1850000</v>
      </c>
      <c r="E25" s="61" t="n">
        <f aca="false">Project_Register!$H$15</f>
        <v>0.35</v>
      </c>
      <c r="F25" s="61" t="n">
        <f aca="false">Project_Register!$I$15</f>
        <v>0.2</v>
      </c>
      <c r="G25" s="61" t="n">
        <f aca="false">Project_Register!$J$15</f>
        <v>0.5</v>
      </c>
      <c r="H25" s="61" t="n">
        <f aca="false">Project_Register!$K$15</f>
        <v>0.35</v>
      </c>
      <c r="I25" s="58" t="n">
        <f aca="false">Project_Register!$AO$15</f>
        <v>647500</v>
      </c>
      <c r="J25" s="92" t="n">
        <f aca="false">EOMONTH(Assumptions!$C$8,Project_Register!$AJ$15-1)</f>
        <v>46446</v>
      </c>
      <c r="K25" s="58" t="n">
        <f aca="false">Project_Register!$V$15*Project_Register!$N$15</f>
        <v>185000</v>
      </c>
      <c r="L25" s="61" t="n">
        <f aca="false">Project_Register!$P$15</f>
        <v>0.135135135135135</v>
      </c>
    </row>
    <row r="26" customFormat="false" ht="15" hidden="false" customHeight="false" outlineLevel="0" collapsed="false">
      <c r="A26" s="110" t="str">
        <f aca="false">Project_Register!$A$16</f>
        <v>CF-P02</v>
      </c>
      <c r="B26" s="110" t="str">
        <f aca="false">Project_Register!$C$16</f>
        <v>Maple &amp; Rowe Retail Ltd</v>
      </c>
      <c r="C26" s="110" t="str">
        <f aca="false">IF(Project_Register!$E$16="Pipeline",Project_Register!$F$16,Project_Register!$E$16)</f>
        <v>Preferred bidder</v>
      </c>
      <c r="D26" s="58" t="n">
        <f aca="false">Project_Register!$N$16</f>
        <v>520000</v>
      </c>
      <c r="E26" s="61" t="n">
        <f aca="false">Project_Register!$H$16</f>
        <v>0.75</v>
      </c>
      <c r="F26" s="61" t="n">
        <f aca="false">Project_Register!$I$16</f>
        <v>0.55</v>
      </c>
      <c r="G26" s="61" t="n">
        <f aca="false">Project_Register!$J$16</f>
        <v>0.85</v>
      </c>
      <c r="H26" s="61" t="n">
        <f aca="false">Project_Register!$K$16</f>
        <v>0.75</v>
      </c>
      <c r="I26" s="58" t="n">
        <f aca="false">Project_Register!$AO$16</f>
        <v>390000</v>
      </c>
      <c r="J26" s="92" t="n">
        <f aca="false">EOMONTH(Assumptions!$C$8,Project_Register!$AJ$16-1)</f>
        <v>46387</v>
      </c>
      <c r="K26" s="58" t="n">
        <f aca="false">Project_Register!$V$16*Project_Register!$N$16</f>
        <v>52000</v>
      </c>
      <c r="L26" s="61" t="n">
        <f aca="false">Project_Register!$P$16</f>
        <v>0.140384615384615</v>
      </c>
    </row>
    <row r="27" customFormat="false" ht="15" hidden="false" customHeight="false" outlineLevel="0" collapsed="false">
      <c r="A27" s="110" t="str">
        <f aca="false">Project_Register!$A$17</f>
        <v>CF-P03</v>
      </c>
      <c r="B27" s="110" t="str">
        <f aca="false">Project_Register!$C$17</f>
        <v>Tolka Hospitality Ltd</v>
      </c>
      <c r="C27" s="110" t="str">
        <f aca="false">IF(Project_Register!$E$17="Pipeline",Project_Register!$F$17,Project_Register!$E$17)</f>
        <v>Shortlisted</v>
      </c>
      <c r="D27" s="58" t="n">
        <f aca="false">Project_Register!$N$17</f>
        <v>780000</v>
      </c>
      <c r="E27" s="61" t="n">
        <f aca="false">Project_Register!$H$17</f>
        <v>0.5</v>
      </c>
      <c r="F27" s="61" t="n">
        <f aca="false">Project_Register!$I$17</f>
        <v>0.3</v>
      </c>
      <c r="G27" s="61" t="n">
        <f aca="false">Project_Register!$J$17</f>
        <v>0.65</v>
      </c>
      <c r="H27" s="61" t="n">
        <f aca="false">Project_Register!$K$17</f>
        <v>0.5</v>
      </c>
      <c r="I27" s="58" t="n">
        <f aca="false">Project_Register!$AO$17</f>
        <v>390000</v>
      </c>
      <c r="J27" s="92" t="n">
        <f aca="false">EOMONTH(Assumptions!$C$8,Project_Register!$AJ$17-1)</f>
        <v>46507</v>
      </c>
      <c r="K27" s="58" t="n">
        <f aca="false">Project_Register!$V$17*Project_Register!$N$17</f>
        <v>78000</v>
      </c>
      <c r="L27" s="61" t="n">
        <f aca="false">Project_Register!$P$17</f>
        <v>0.135897435897436</v>
      </c>
    </row>
    <row r="28" customFormat="false" ht="15" hidden="false" customHeight="false" outlineLevel="0" collapsed="false">
      <c r="A28" s="110" t="str">
        <f aca="false">Project_Register!$A$18</f>
        <v>PS-P01</v>
      </c>
      <c r="B28" s="110" t="str">
        <f aca="false">Project_Register!$C$18</f>
        <v>Kildrum County Council</v>
      </c>
      <c r="C28" s="110" t="str">
        <f aca="false">IF(Project_Register!$E$18="Pipeline",Project_Register!$F$18,Project_Register!$E$18)</f>
        <v>Framework call-off expected</v>
      </c>
      <c r="D28" s="58" t="n">
        <f aca="false">Project_Register!$N$18</f>
        <v>1420000</v>
      </c>
      <c r="E28" s="61" t="n">
        <f aca="false">Project_Register!$H$18</f>
        <v>0.6</v>
      </c>
      <c r="F28" s="61" t="n">
        <f aca="false">Project_Register!$I$18</f>
        <v>0.4</v>
      </c>
      <c r="G28" s="61" t="n">
        <f aca="false">Project_Register!$J$18</f>
        <v>0.75</v>
      </c>
      <c r="H28" s="61" t="n">
        <f aca="false">Project_Register!$K$18</f>
        <v>0.6</v>
      </c>
      <c r="I28" s="58" t="n">
        <f aca="false">Project_Register!$AO$18</f>
        <v>852000</v>
      </c>
      <c r="J28" s="92" t="n">
        <f aca="false">EOMONTH(Assumptions!$C$8,Project_Register!$AJ$18-1)</f>
        <v>46691</v>
      </c>
      <c r="K28" s="58" t="n">
        <f aca="false">Project_Register!$V$18*Project_Register!$N$18</f>
        <v>142000</v>
      </c>
      <c r="L28" s="61" t="n">
        <f aca="false">Project_Register!$P$18</f>
        <v>0.119718309859155</v>
      </c>
    </row>
    <row r="29" customFormat="false" ht="15" hidden="false" customHeight="false" outlineLevel="0" collapsed="false">
      <c r="A29" s="110" t="str">
        <f aca="false">Project_Register!$A$19</f>
        <v>CF-P04</v>
      </c>
      <c r="B29" s="110" t="str">
        <f aca="false">Project_Register!$C$19</f>
        <v>Brightlane Software Ltd</v>
      </c>
      <c r="C29" s="110" t="str">
        <f aca="false">IF(Project_Register!$E$19="Pipeline",Project_Register!$F$19,Project_Register!$E$19)</f>
        <v>Tender in preparation</v>
      </c>
      <c r="D29" s="58" t="n">
        <f aca="false">Project_Register!$N$19</f>
        <v>720000</v>
      </c>
      <c r="E29" s="61" t="n">
        <f aca="false">Project_Register!$H$19</f>
        <v>0.25</v>
      </c>
      <c r="F29" s="61" t="n">
        <f aca="false">Project_Register!$I$19</f>
        <v>0.15</v>
      </c>
      <c r="G29" s="61" t="n">
        <f aca="false">Project_Register!$J$19</f>
        <v>0.35</v>
      </c>
      <c r="H29" s="61" t="n">
        <f aca="false">Project_Register!$K$19</f>
        <v>0.25</v>
      </c>
      <c r="I29" s="58" t="n">
        <f aca="false">Project_Register!$AO$19</f>
        <v>180000</v>
      </c>
      <c r="J29" s="92" t="n">
        <f aca="false">EOMONTH(Assumptions!$C$8,Project_Register!$AJ$19-1)</f>
        <v>46568</v>
      </c>
      <c r="K29" s="58" t="n">
        <f aca="false">Project_Register!$V$19*Project_Register!$N$19</f>
        <v>72000</v>
      </c>
      <c r="L29" s="61" t="n">
        <f aca="false">Project_Register!$P$19</f>
        <v>0.136111111111111</v>
      </c>
    </row>
    <row r="30" customFormat="false" ht="15" hidden="false" customHeight="false" outlineLevel="0" collapsed="false">
      <c r="A30" s="110" t="str">
        <f aca="false">Project_Register!$A$20</f>
        <v>CF-P05</v>
      </c>
      <c r="B30" s="110" t="str">
        <f aca="false">Project_Register!$C$20</f>
        <v>Merrion Row Holdings Ltd</v>
      </c>
      <c r="C30" s="110" t="str">
        <f aca="false">IF(Project_Register!$E$20="Pipeline",Project_Register!$F$20,Project_Register!$E$20)</f>
        <v>Early engagement</v>
      </c>
      <c r="D30" s="58" t="n">
        <f aca="false">Project_Register!$N$20</f>
        <v>960000</v>
      </c>
      <c r="E30" s="61" t="n">
        <f aca="false">Project_Register!$H$20</f>
        <v>0.4</v>
      </c>
      <c r="F30" s="61" t="n">
        <f aca="false">Project_Register!$I$20</f>
        <v>0.25</v>
      </c>
      <c r="G30" s="61" t="n">
        <f aca="false">Project_Register!$J$20</f>
        <v>0.55</v>
      </c>
      <c r="H30" s="61" t="n">
        <f aca="false">Project_Register!$K$20</f>
        <v>0.4</v>
      </c>
      <c r="I30" s="58" t="n">
        <f aca="false">Project_Register!$AO$20</f>
        <v>384000</v>
      </c>
      <c r="J30" s="92" t="n">
        <f aca="false">EOMONTH(Assumptions!$C$8,Project_Register!$AJ$20-1)</f>
        <v>46630</v>
      </c>
      <c r="K30" s="58" t="n">
        <f aca="false">Project_Register!$V$20*Project_Register!$N$20</f>
        <v>96000</v>
      </c>
      <c r="L30" s="61" t="n">
        <f aca="false">Project_Register!$P$20</f>
        <v>0.135416666666667</v>
      </c>
    </row>
    <row r="31" customFormat="false" ht="15" hidden="false" customHeight="false" outlineLevel="0" collapsed="false">
      <c r="A31" s="110" t="str">
        <f aca="false">Project_Register!$A$21</f>
        <v>CF-P06</v>
      </c>
      <c r="B31" s="110" t="str">
        <f aca="false">Project_Register!$C$21</f>
        <v>Corrib Bay Hotels Ltd</v>
      </c>
      <c r="C31" s="110" t="str">
        <f aca="false">IF(Project_Register!$E$21="Pipeline",Project_Register!$F$21,Project_Register!$E$21)</f>
        <v>Early engagement</v>
      </c>
      <c r="D31" s="58" t="n">
        <f aca="false">Project_Register!$N$21</f>
        <v>1080000</v>
      </c>
      <c r="E31" s="61" t="n">
        <f aca="false">Project_Register!$H$21</f>
        <v>0.3</v>
      </c>
      <c r="F31" s="61" t="n">
        <f aca="false">Project_Register!$I$21</f>
        <v>0.2</v>
      </c>
      <c r="G31" s="61" t="n">
        <f aca="false">Project_Register!$J$21</f>
        <v>0.4</v>
      </c>
      <c r="H31" s="61" t="n">
        <f aca="false">Project_Register!$K$21</f>
        <v>0.3</v>
      </c>
      <c r="I31" s="58" t="n">
        <f aca="false">Project_Register!$AO$21</f>
        <v>324000</v>
      </c>
      <c r="J31" s="92" t="n">
        <f aca="false">EOMONTH(Assumptions!$C$8,Project_Register!$AJ$21-1)</f>
        <v>46660</v>
      </c>
      <c r="K31" s="58" t="n">
        <f aca="false">Project_Register!$V$21*Project_Register!$N$21</f>
        <v>108000</v>
      </c>
      <c r="L31" s="61" t="n">
        <f aca="false">Project_Register!$P$21</f>
        <v>0.134259259259259</v>
      </c>
    </row>
    <row r="32" customFormat="false" ht="15" hidden="false" customHeight="false" outlineLevel="0" collapsed="false">
      <c r="A32" s="79" t="s">
        <v>524</v>
      </c>
      <c r="D32" s="80" t="n">
        <f aca="false">SUM(D23:D31)</f>
        <v>9730000</v>
      </c>
      <c r="I32" s="80" t="n">
        <f aca="false">SUM(I23:I31)</f>
        <v>5567500</v>
      </c>
      <c r="K32" s="80" t="n">
        <f aca="false">SUM(K23:K31)</f>
        <v>973000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4"/>
    <col collapsed="false" customWidth="true" hidden="false" outlineLevel="0" max="3" min="3" style="0" width="46"/>
    <col collapsed="false" customWidth="true" hidden="false" outlineLevel="0" max="4" min="4" style="0" width="11"/>
    <col collapsed="false" customWidth="true" hidden="false" outlineLevel="0" max="6" min="5" style="0" width="12"/>
    <col collapsed="false" customWidth="true" hidden="false" outlineLevel="0" max="7" min="7" style="0" width="13"/>
    <col collapsed="false" customWidth="true" hidden="false" outlineLevel="0" max="8" min="8" style="0" width="12"/>
    <col collapsed="false" customWidth="true" hidden="false" outlineLevel="0" max="10" min="9" style="0" width="14"/>
    <col collapsed="false" customWidth="true" hidden="false" outlineLevel="0" max="11" min="11" style="0" width="11"/>
    <col collapsed="false" customWidth="true" hidden="false" outlineLevel="0" max="12" min="12" style="0" width="10"/>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889</v>
      </c>
    </row>
    <row r="3" customFormat="false" ht="15" hidden="false" customHeight="false" outlineLevel="0" collapsed="false">
      <c r="A3" s="24" t="s">
        <v>890</v>
      </c>
    </row>
    <row r="5" customFormat="false" ht="42" hidden="false" customHeight="true" outlineLevel="0" collapsed="false">
      <c r="A5" s="25" t="s">
        <v>891</v>
      </c>
      <c r="B5" s="26" t="s">
        <v>892</v>
      </c>
      <c r="C5" s="26" t="s">
        <v>893</v>
      </c>
      <c r="D5" s="26" t="s">
        <v>894</v>
      </c>
      <c r="E5" s="26" t="s">
        <v>895</v>
      </c>
      <c r="F5" s="26" t="s">
        <v>896</v>
      </c>
      <c r="G5" s="26" t="s">
        <v>897</v>
      </c>
      <c r="H5" s="26" t="s">
        <v>898</v>
      </c>
      <c r="I5" s="26" t="s">
        <v>899</v>
      </c>
      <c r="J5" s="26" t="s">
        <v>900</v>
      </c>
      <c r="K5" s="26" t="s">
        <v>901</v>
      </c>
      <c r="L5" s="26" t="s">
        <v>902</v>
      </c>
    </row>
    <row r="6" customFormat="false" ht="15" hidden="false" customHeight="false" outlineLevel="0" collapsed="false">
      <c r="A6" s="111" t="s">
        <v>903</v>
      </c>
      <c r="B6" s="111" t="s">
        <v>690</v>
      </c>
      <c r="C6" s="111" t="s">
        <v>904</v>
      </c>
      <c r="D6" s="112" t="n">
        <v>45981</v>
      </c>
      <c r="E6" s="71" t="n">
        <v>22400</v>
      </c>
      <c r="F6" s="111" t="s">
        <v>905</v>
      </c>
      <c r="G6" s="112" t="n">
        <v>46037</v>
      </c>
      <c r="H6" s="71" t="n">
        <v>22400</v>
      </c>
      <c r="I6" s="28" t="n">
        <f aca="false">IF(F6="Approved",IF(G6&lt;=Assumptions!$C$9,H6,IF(D6&lt;=Assumptions!$C$9,Assumptions!$C$74*E6,0)),IF(F6="Pending",IF(D6&lt;=Assumptions!$C$9,Assumptions!$C$74*E6,0),IF(G6&lt;=Assumptions!$C$9,0,IF(D6&lt;=Assumptions!$C$9,Assumptions!$C$74*E6,0))))</f>
        <v>22400</v>
      </c>
      <c r="J6" s="28" t="n">
        <f aca="false">IF(F6="Approved",H6,IF(F6="Pending",Assumptions!$F$121*E6,0))</f>
        <v>22400</v>
      </c>
      <c r="K6" s="78" t="n">
        <f aca="false">IF(AND(F6="Approved",E6&gt;0),H6/E6,"")</f>
        <v>1</v>
      </c>
      <c r="L6" s="113" t="str">
        <f aca="false">IF(F6="Pending",Assumptions!$C$9-D6,"")</f>
        <v/>
      </c>
    </row>
    <row r="7" customFormat="false" ht="15" hidden="false" customHeight="false" outlineLevel="0" collapsed="false">
      <c r="A7" s="111" t="s">
        <v>906</v>
      </c>
      <c r="B7" s="111" t="s">
        <v>690</v>
      </c>
      <c r="C7" s="111" t="s">
        <v>907</v>
      </c>
      <c r="D7" s="112" t="n">
        <v>46001</v>
      </c>
      <c r="E7" s="71" t="n">
        <v>31800</v>
      </c>
      <c r="F7" s="111" t="s">
        <v>905</v>
      </c>
      <c r="G7" s="112" t="n">
        <v>46101</v>
      </c>
      <c r="H7" s="71" t="n">
        <v>28600</v>
      </c>
      <c r="I7" s="28" t="n">
        <f aca="false">IF(F7="Approved",IF(G7&lt;=Assumptions!$C$9,H7,IF(D7&lt;=Assumptions!$C$9,Assumptions!$C$74*E7,0)),IF(F7="Pending",IF(D7&lt;=Assumptions!$C$9,Assumptions!$C$74*E7,0),IF(G7&lt;=Assumptions!$C$9,0,IF(D7&lt;=Assumptions!$C$9,Assumptions!$C$74*E7,0))))</f>
        <v>28600</v>
      </c>
      <c r="J7" s="28" t="n">
        <f aca="false">IF(F7="Approved",H7,IF(F7="Pending",Assumptions!$F$121*E7,0))</f>
        <v>28600</v>
      </c>
      <c r="K7" s="78" t="n">
        <f aca="false">IF(AND(F7="Approved",E7&gt;0),H7/E7,"")</f>
        <v>0.89937106918239</v>
      </c>
      <c r="L7" s="113" t="str">
        <f aca="false">IF(F7="Pending",Assumptions!$C$9-D7,"")</f>
        <v/>
      </c>
    </row>
    <row r="8" customFormat="false" ht="15" hidden="false" customHeight="false" outlineLevel="0" collapsed="false">
      <c r="A8" s="111" t="s">
        <v>908</v>
      </c>
      <c r="B8" s="111" t="s">
        <v>690</v>
      </c>
      <c r="C8" s="111" t="s">
        <v>909</v>
      </c>
      <c r="D8" s="112" t="n">
        <v>46045</v>
      </c>
      <c r="E8" s="71" t="n">
        <v>14900</v>
      </c>
      <c r="F8" s="111" t="s">
        <v>905</v>
      </c>
      <c r="G8" s="112" t="n">
        <v>46164</v>
      </c>
      <c r="H8" s="71" t="n">
        <v>12700</v>
      </c>
      <c r="I8" s="28" t="n">
        <f aca="false">IF(F8="Approved",IF(G8&lt;=Assumptions!$C$9,H8,IF(D8&lt;=Assumptions!$C$9,Assumptions!$C$74*E8,0)),IF(F8="Pending",IF(D8&lt;=Assumptions!$C$9,Assumptions!$C$74*E8,0),IF(G8&lt;=Assumptions!$C$9,0,IF(D8&lt;=Assumptions!$C$9,Assumptions!$C$74*E8,0))))</f>
        <v>12700</v>
      </c>
      <c r="J8" s="28" t="n">
        <f aca="false">IF(F8="Approved",H8,IF(F8="Pending",Assumptions!$F$121*E8,0))</f>
        <v>12700</v>
      </c>
      <c r="K8" s="78" t="n">
        <f aca="false">IF(AND(F8="Approved",E8&gt;0),H8/E8,"")</f>
        <v>0.852348993288591</v>
      </c>
      <c r="L8" s="113" t="str">
        <f aca="false">IF(F8="Pending",Assumptions!$C$9-D8,"")</f>
        <v/>
      </c>
    </row>
    <row r="9" customFormat="false" ht="15" hidden="false" customHeight="false" outlineLevel="0" collapsed="false">
      <c r="A9" s="111" t="s">
        <v>910</v>
      </c>
      <c r="B9" s="111" t="s">
        <v>690</v>
      </c>
      <c r="C9" s="111" t="s">
        <v>911</v>
      </c>
      <c r="D9" s="112" t="n">
        <v>46080</v>
      </c>
      <c r="E9" s="71" t="n">
        <v>26500</v>
      </c>
      <c r="F9" s="111" t="s">
        <v>912</v>
      </c>
      <c r="G9" s="112" t="n">
        <v>46164</v>
      </c>
      <c r="H9" s="71" t="n">
        <v>0</v>
      </c>
      <c r="I9" s="28" t="n">
        <f aca="false">IF(F9="Approved",IF(G9&lt;=Assumptions!$C$9,H9,IF(D9&lt;=Assumptions!$C$9,Assumptions!$C$74*E9,0)),IF(F9="Pending",IF(D9&lt;=Assumptions!$C$9,Assumptions!$C$74*E9,0),IF(G9&lt;=Assumptions!$C$9,0,IF(D9&lt;=Assumptions!$C$9,Assumptions!$C$74*E9,0))))</f>
        <v>0</v>
      </c>
      <c r="J9" s="28" t="n">
        <f aca="false">IF(F9="Approved",H9,IF(F9="Pending",Assumptions!$F$121*E9,0))</f>
        <v>0</v>
      </c>
      <c r="K9" s="78" t="str">
        <f aca="false">IF(AND(F9="Approved",E9&gt;0),H9/E9,"")</f>
        <v/>
      </c>
      <c r="L9" s="113" t="str">
        <f aca="false">IF(F9="Pending",Assumptions!$C$9-D9,"")</f>
        <v/>
      </c>
    </row>
    <row r="10" customFormat="false" ht="15" hidden="false" customHeight="false" outlineLevel="0" collapsed="false">
      <c r="A10" s="111" t="s">
        <v>913</v>
      </c>
      <c r="B10" s="111" t="s">
        <v>691</v>
      </c>
      <c r="C10" s="111" t="s">
        <v>914</v>
      </c>
      <c r="D10" s="112" t="n">
        <v>45996</v>
      </c>
      <c r="E10" s="71" t="n">
        <v>18600</v>
      </c>
      <c r="F10" s="111" t="s">
        <v>905</v>
      </c>
      <c r="G10" s="112" t="n">
        <v>46065</v>
      </c>
      <c r="H10" s="71" t="n">
        <v>18600</v>
      </c>
      <c r="I10" s="28" t="n">
        <f aca="false">IF(F10="Approved",IF(G10&lt;=Assumptions!$C$9,H10,IF(D10&lt;=Assumptions!$C$9,Assumptions!$C$74*E10,0)),IF(F10="Pending",IF(D10&lt;=Assumptions!$C$9,Assumptions!$C$74*E10,0),IF(G10&lt;=Assumptions!$C$9,0,IF(D10&lt;=Assumptions!$C$9,Assumptions!$C$74*E10,0))))</f>
        <v>18600</v>
      </c>
      <c r="J10" s="28" t="n">
        <f aca="false">IF(F10="Approved",H10,IF(F10="Pending",Assumptions!$F$121*E10,0))</f>
        <v>18600</v>
      </c>
      <c r="K10" s="78" t="n">
        <f aca="false">IF(AND(F10="Approved",E10&gt;0),H10/E10,"")</f>
        <v>1</v>
      </c>
      <c r="L10" s="113" t="str">
        <f aca="false">IF(F10="Pending",Assumptions!$C$9-D10,"")</f>
        <v/>
      </c>
    </row>
    <row r="11" customFormat="false" ht="15" hidden="false" customHeight="false" outlineLevel="0" collapsed="false">
      <c r="A11" s="111" t="s">
        <v>915</v>
      </c>
      <c r="B11" s="111" t="s">
        <v>691</v>
      </c>
      <c r="C11" s="111" t="s">
        <v>916</v>
      </c>
      <c r="D11" s="112" t="n">
        <v>46071</v>
      </c>
      <c r="E11" s="71" t="n">
        <v>11200</v>
      </c>
      <c r="F11" s="111" t="s">
        <v>905</v>
      </c>
      <c r="G11" s="112" t="n">
        <v>46136</v>
      </c>
      <c r="H11" s="71" t="n">
        <v>10400</v>
      </c>
      <c r="I11" s="28" t="n">
        <f aca="false">IF(F11="Approved",IF(G11&lt;=Assumptions!$C$9,H11,IF(D11&lt;=Assumptions!$C$9,Assumptions!$C$74*E11,0)),IF(F11="Pending",IF(D11&lt;=Assumptions!$C$9,Assumptions!$C$74*E11,0),IF(G11&lt;=Assumptions!$C$9,0,IF(D11&lt;=Assumptions!$C$9,Assumptions!$C$74*E11,0))))</f>
        <v>10400</v>
      </c>
      <c r="J11" s="28" t="n">
        <f aca="false">IF(F11="Approved",H11,IF(F11="Pending",Assumptions!$F$121*E11,0))</f>
        <v>10400</v>
      </c>
      <c r="K11" s="78" t="n">
        <f aca="false">IF(AND(F11="Approved",E11&gt;0),H11/E11,"")</f>
        <v>0.928571428571429</v>
      </c>
      <c r="L11" s="113" t="str">
        <f aca="false">IF(F11="Pending",Assumptions!$C$9-D11,"")</f>
        <v/>
      </c>
    </row>
    <row r="12" customFormat="false" ht="15" hidden="false" customHeight="false" outlineLevel="0" collapsed="false">
      <c r="A12" s="111" t="s">
        <v>917</v>
      </c>
      <c r="B12" s="111" t="s">
        <v>692</v>
      </c>
      <c r="C12" s="111" t="s">
        <v>918</v>
      </c>
      <c r="D12" s="112" t="n">
        <v>46150</v>
      </c>
      <c r="E12" s="71" t="n">
        <v>34500</v>
      </c>
      <c r="F12" s="111" t="s">
        <v>905</v>
      </c>
      <c r="G12" s="112" t="n">
        <v>46213</v>
      </c>
      <c r="H12" s="71" t="n">
        <v>33000</v>
      </c>
      <c r="I12" s="28" t="n">
        <f aca="false">IF(F12="Approved",IF(G12&lt;=Assumptions!$C$9,H12,IF(D12&lt;=Assumptions!$C$9,Assumptions!$C$74*E12,0)),IF(F12="Pending",IF(D12&lt;=Assumptions!$C$9,Assumptions!$C$74*E12,0),IF(G12&lt;=Assumptions!$C$9,0,IF(D12&lt;=Assumptions!$C$9,Assumptions!$C$74*E12,0))))</f>
        <v>33000</v>
      </c>
      <c r="J12" s="28" t="n">
        <f aca="false">IF(F12="Approved",H12,IF(F12="Pending",Assumptions!$F$121*E12,0))</f>
        <v>33000</v>
      </c>
      <c r="K12" s="78" t="n">
        <f aca="false">IF(AND(F12="Approved",E12&gt;0),H12/E12,"")</f>
        <v>0.956521739130435</v>
      </c>
      <c r="L12" s="113" t="str">
        <f aca="false">IF(F12="Pending",Assumptions!$C$9-D12,"")</f>
        <v/>
      </c>
    </row>
    <row r="13" customFormat="false" ht="15" hidden="false" customHeight="false" outlineLevel="0" collapsed="false">
      <c r="A13" s="111" t="s">
        <v>919</v>
      </c>
      <c r="B13" s="111" t="s">
        <v>692</v>
      </c>
      <c r="C13" s="111" t="s">
        <v>920</v>
      </c>
      <c r="D13" s="112" t="n">
        <v>46185</v>
      </c>
      <c r="E13" s="71" t="n">
        <v>41800</v>
      </c>
      <c r="F13" s="111" t="s">
        <v>921</v>
      </c>
      <c r="G13" s="112" t="n">
        <v>46325</v>
      </c>
      <c r="H13" s="71" t="n">
        <v>0</v>
      </c>
      <c r="I13" s="28" t="n">
        <f aca="false">IF(F13="Approved",IF(G13&lt;=Assumptions!$C$9,H13,IF(D13&lt;=Assumptions!$C$9,Assumptions!$C$74*E13,0)),IF(F13="Pending",IF(D13&lt;=Assumptions!$C$9,Assumptions!$C$74*E13,0),IF(G13&lt;=Assumptions!$C$9,0,IF(D13&lt;=Assumptions!$C$9,Assumptions!$C$74*E13,0))))</f>
        <v>20900</v>
      </c>
      <c r="J13" s="28" t="n">
        <f aca="false">IF(F13="Approved",H13,IF(F13="Pending",Assumptions!$F$121*E13,0))</f>
        <v>27170</v>
      </c>
      <c r="K13" s="78" t="str">
        <f aca="false">IF(AND(F13="Approved",E13&gt;0),H13/E13,"")</f>
        <v/>
      </c>
      <c r="L13" s="113" t="n">
        <f aca="false">IF(F13="Pending",Assumptions!$C$9-D13,"")</f>
        <v>80</v>
      </c>
    </row>
    <row r="14" customFormat="false" ht="15" hidden="false" customHeight="false" outlineLevel="0" collapsed="false">
      <c r="A14" s="111" t="s">
        <v>922</v>
      </c>
      <c r="B14" s="111" t="s">
        <v>692</v>
      </c>
      <c r="C14" s="111" t="s">
        <v>923</v>
      </c>
      <c r="D14" s="112" t="n">
        <v>46206</v>
      </c>
      <c r="E14" s="71" t="n">
        <v>38600</v>
      </c>
      <c r="F14" s="111" t="s">
        <v>921</v>
      </c>
      <c r="G14" s="112" t="n">
        <v>46353</v>
      </c>
      <c r="H14" s="71" t="n">
        <v>0</v>
      </c>
      <c r="I14" s="28" t="n">
        <f aca="false">IF(F14="Approved",IF(G14&lt;=Assumptions!$C$9,H14,IF(D14&lt;=Assumptions!$C$9,Assumptions!$C$74*E14,0)),IF(F14="Pending",IF(D14&lt;=Assumptions!$C$9,Assumptions!$C$74*E14,0),IF(G14&lt;=Assumptions!$C$9,0,IF(D14&lt;=Assumptions!$C$9,Assumptions!$C$74*E14,0))))</f>
        <v>19300</v>
      </c>
      <c r="J14" s="28" t="n">
        <f aca="false">IF(F14="Approved",H14,IF(F14="Pending",Assumptions!$F$121*E14,0))</f>
        <v>25090</v>
      </c>
      <c r="K14" s="78" t="str">
        <f aca="false">IF(AND(F14="Approved",E14&gt;0),H14/E14,"")</f>
        <v/>
      </c>
      <c r="L14" s="113" t="n">
        <f aca="false">IF(F14="Pending",Assumptions!$C$9-D14,"")</f>
        <v>59</v>
      </c>
    </row>
    <row r="15" customFormat="false" ht="15" hidden="false" customHeight="false" outlineLevel="0" collapsed="false">
      <c r="A15" s="111" t="s">
        <v>924</v>
      </c>
      <c r="B15" s="111" t="s">
        <v>692</v>
      </c>
      <c r="C15" s="111" t="s">
        <v>925</v>
      </c>
      <c r="D15" s="112" t="n">
        <v>46248</v>
      </c>
      <c r="E15" s="71" t="n">
        <v>37600</v>
      </c>
      <c r="F15" s="111" t="s">
        <v>921</v>
      </c>
      <c r="G15" s="112" t="n">
        <v>46374</v>
      </c>
      <c r="H15" s="71" t="n">
        <v>0</v>
      </c>
      <c r="I15" s="28" t="n">
        <f aca="false">IF(F15="Approved",IF(G15&lt;=Assumptions!$C$9,H15,IF(D15&lt;=Assumptions!$C$9,Assumptions!$C$74*E15,0)),IF(F15="Pending",IF(D15&lt;=Assumptions!$C$9,Assumptions!$C$74*E15,0),IF(G15&lt;=Assumptions!$C$9,0,IF(D15&lt;=Assumptions!$C$9,Assumptions!$C$74*E15,0))))</f>
        <v>18800</v>
      </c>
      <c r="J15" s="28" t="n">
        <f aca="false">IF(F15="Approved",H15,IF(F15="Pending",Assumptions!$F$121*E15,0))</f>
        <v>24440</v>
      </c>
      <c r="K15" s="78" t="str">
        <f aca="false">IF(AND(F15="Approved",E15&gt;0),H15/E15,"")</f>
        <v/>
      </c>
      <c r="L15" s="113" t="n">
        <f aca="false">IF(F15="Pending",Assumptions!$C$9-D15,"")</f>
        <v>17</v>
      </c>
    </row>
    <row r="16" customFormat="false" ht="15" hidden="false" customHeight="false" outlineLevel="0" collapsed="false">
      <c r="A16" s="111" t="s">
        <v>926</v>
      </c>
      <c r="B16" s="111" t="s">
        <v>692</v>
      </c>
      <c r="C16" s="111" t="s">
        <v>927</v>
      </c>
      <c r="D16" s="112" t="n">
        <v>46129</v>
      </c>
      <c r="E16" s="71" t="n">
        <v>6900</v>
      </c>
      <c r="F16" s="111" t="s">
        <v>912</v>
      </c>
      <c r="G16" s="112" t="n">
        <v>46178</v>
      </c>
      <c r="H16" s="71" t="n">
        <v>0</v>
      </c>
      <c r="I16" s="28" t="n">
        <f aca="false">IF(F16="Approved",IF(G16&lt;=Assumptions!$C$9,H16,IF(D16&lt;=Assumptions!$C$9,Assumptions!$C$74*E16,0)),IF(F16="Pending",IF(D16&lt;=Assumptions!$C$9,Assumptions!$C$74*E16,0),IF(G16&lt;=Assumptions!$C$9,0,IF(D16&lt;=Assumptions!$C$9,Assumptions!$C$74*E16,0))))</f>
        <v>0</v>
      </c>
      <c r="J16" s="28" t="n">
        <f aca="false">IF(F16="Approved",H16,IF(F16="Pending",Assumptions!$F$121*E16,0))</f>
        <v>0</v>
      </c>
      <c r="K16" s="78" t="str">
        <f aca="false">IF(AND(F16="Approved",E16&gt;0),H16/E16,"")</f>
        <v/>
      </c>
      <c r="L16" s="113" t="str">
        <f aca="false">IF(F16="Pending",Assumptions!$C$9-D16,"")</f>
        <v/>
      </c>
    </row>
    <row r="17" customFormat="false" ht="15" hidden="false" customHeight="false" outlineLevel="0" collapsed="false">
      <c r="A17" s="111" t="s">
        <v>928</v>
      </c>
      <c r="B17" s="111" t="s">
        <v>693</v>
      </c>
      <c r="C17" s="111" t="s">
        <v>929</v>
      </c>
      <c r="D17" s="112" t="n">
        <v>46192</v>
      </c>
      <c r="E17" s="71" t="n">
        <v>28800</v>
      </c>
      <c r="F17" s="111" t="s">
        <v>905</v>
      </c>
      <c r="G17" s="112" t="n">
        <v>46241</v>
      </c>
      <c r="H17" s="71" t="n">
        <v>27400</v>
      </c>
      <c r="I17" s="28" t="n">
        <f aca="false">IF(F17="Approved",IF(G17&lt;=Assumptions!$C$9,H17,IF(D17&lt;=Assumptions!$C$9,Assumptions!$C$74*E17,0)),IF(F17="Pending",IF(D17&lt;=Assumptions!$C$9,Assumptions!$C$74*E17,0),IF(G17&lt;=Assumptions!$C$9,0,IF(D17&lt;=Assumptions!$C$9,Assumptions!$C$74*E17,0))))</f>
        <v>27400</v>
      </c>
      <c r="J17" s="28" t="n">
        <f aca="false">IF(F17="Approved",H17,IF(F17="Pending",Assumptions!$F$121*E17,0))</f>
        <v>27400</v>
      </c>
      <c r="K17" s="78" t="n">
        <f aca="false">IF(AND(F17="Approved",E17&gt;0),H17/E17,"")</f>
        <v>0.951388888888889</v>
      </c>
      <c r="L17" s="113" t="str">
        <f aca="false">IF(F17="Pending",Assumptions!$C$9-D17,"")</f>
        <v/>
      </c>
    </row>
    <row r="18" customFormat="false" ht="15" hidden="false" customHeight="false" outlineLevel="0" collapsed="false">
      <c r="A18" s="111" t="s">
        <v>930</v>
      </c>
      <c r="B18" s="111" t="s">
        <v>693</v>
      </c>
      <c r="C18" s="111" t="s">
        <v>931</v>
      </c>
      <c r="D18" s="112" t="n">
        <v>46255</v>
      </c>
      <c r="E18" s="71" t="n">
        <v>19500</v>
      </c>
      <c r="F18" s="111" t="s">
        <v>921</v>
      </c>
      <c r="G18" s="112" t="n">
        <v>46311</v>
      </c>
      <c r="H18" s="71" t="n">
        <v>0</v>
      </c>
      <c r="I18" s="28" t="n">
        <f aca="false">IF(F18="Approved",IF(G18&lt;=Assumptions!$C$9,H18,IF(D18&lt;=Assumptions!$C$9,Assumptions!$C$74*E18,0)),IF(F18="Pending",IF(D18&lt;=Assumptions!$C$9,Assumptions!$C$74*E18,0),IF(G18&lt;=Assumptions!$C$9,0,IF(D18&lt;=Assumptions!$C$9,Assumptions!$C$74*E18,0))))</f>
        <v>9750</v>
      </c>
      <c r="J18" s="28" t="n">
        <f aca="false">IF(F18="Approved",H18,IF(F18="Pending",Assumptions!$F$121*E18,0))</f>
        <v>12675</v>
      </c>
      <c r="K18" s="78" t="str">
        <f aca="false">IF(AND(F18="Approved",E18&gt;0),H18/E18,"")</f>
        <v/>
      </c>
      <c r="L18" s="113" t="n">
        <f aca="false">IF(F18="Pending",Assumptions!$C$9-D18,"")</f>
        <v>10</v>
      </c>
    </row>
    <row r="19" customFormat="false" ht="15" hidden="false" customHeight="false" outlineLevel="0" collapsed="false">
      <c r="A19" s="111" t="s">
        <v>932</v>
      </c>
      <c r="B19" s="111" t="s">
        <v>694</v>
      </c>
      <c r="C19" s="111" t="s">
        <v>933</v>
      </c>
      <c r="D19" s="112" t="n">
        <v>46246</v>
      </c>
      <c r="E19" s="71" t="n">
        <v>16200</v>
      </c>
      <c r="F19" s="111" t="s">
        <v>921</v>
      </c>
      <c r="G19" s="112" t="n">
        <v>46290</v>
      </c>
      <c r="H19" s="71" t="n">
        <v>0</v>
      </c>
      <c r="I19" s="28" t="n">
        <f aca="false">IF(F19="Approved",IF(G19&lt;=Assumptions!$C$9,H19,IF(D19&lt;=Assumptions!$C$9,Assumptions!$C$74*E19,0)),IF(F19="Pending",IF(D19&lt;=Assumptions!$C$9,Assumptions!$C$74*E19,0),IF(G19&lt;=Assumptions!$C$9,0,IF(D19&lt;=Assumptions!$C$9,Assumptions!$C$74*E19,0))))</f>
        <v>8100</v>
      </c>
      <c r="J19" s="28" t="n">
        <f aca="false">IF(F19="Approved",H19,IF(F19="Pending",Assumptions!$F$121*E19,0))</f>
        <v>10530</v>
      </c>
      <c r="K19" s="78" t="str">
        <f aca="false">IF(AND(F19="Approved",E19&gt;0),H19/E19,"")</f>
        <v/>
      </c>
      <c r="L19" s="113" t="n">
        <f aca="false">IF(F19="Pending",Assumptions!$C$9-D19,"")</f>
        <v>19</v>
      </c>
    </row>
    <row r="20" customFormat="false" ht="15" hidden="false" customHeight="false" outlineLevel="0" collapsed="false">
      <c r="A20" s="111" t="s">
        <v>934</v>
      </c>
      <c r="B20" s="111" t="s">
        <v>695</v>
      </c>
      <c r="C20" s="111" t="s">
        <v>935</v>
      </c>
      <c r="D20" s="112" t="n">
        <v>46198</v>
      </c>
      <c r="E20" s="71" t="n">
        <v>24300</v>
      </c>
      <c r="F20" s="111" t="s">
        <v>905</v>
      </c>
      <c r="G20" s="112" t="n">
        <v>46254</v>
      </c>
      <c r="H20" s="71" t="n">
        <v>22100</v>
      </c>
      <c r="I20" s="28" t="n">
        <f aca="false">IF(F20="Approved",IF(G20&lt;=Assumptions!$C$9,H20,IF(D20&lt;=Assumptions!$C$9,Assumptions!$C$74*E20,0)),IF(F20="Pending",IF(D20&lt;=Assumptions!$C$9,Assumptions!$C$74*E20,0),IF(G20&lt;=Assumptions!$C$9,0,IF(D20&lt;=Assumptions!$C$9,Assumptions!$C$74*E20,0))))</f>
        <v>22100</v>
      </c>
      <c r="J20" s="28" t="n">
        <f aca="false">IF(F20="Approved",H20,IF(F20="Pending",Assumptions!$F$121*E20,0))</f>
        <v>22100</v>
      </c>
      <c r="K20" s="78" t="n">
        <f aca="false">IF(AND(F20="Approved",E20&gt;0),H20/E20,"")</f>
        <v>0.909465020576132</v>
      </c>
      <c r="L20" s="113" t="str">
        <f aca="false">IF(F20="Pending",Assumptions!$C$9-D20,"")</f>
        <v/>
      </c>
    </row>
    <row r="21" customFormat="false" ht="15" hidden="false" customHeight="false" outlineLevel="0" collapsed="false">
      <c r="A21" s="111" t="s">
        <v>936</v>
      </c>
      <c r="B21" s="111" t="s">
        <v>695</v>
      </c>
      <c r="C21" s="111" t="s">
        <v>937</v>
      </c>
      <c r="D21" s="112" t="n">
        <v>46240</v>
      </c>
      <c r="E21" s="71" t="n">
        <v>14700</v>
      </c>
      <c r="F21" s="111" t="s">
        <v>921</v>
      </c>
      <c r="G21" s="112" t="n">
        <v>46318</v>
      </c>
      <c r="H21" s="71" t="n">
        <v>0</v>
      </c>
      <c r="I21" s="28" t="n">
        <f aca="false">IF(F21="Approved",IF(G21&lt;=Assumptions!$C$9,H21,IF(D21&lt;=Assumptions!$C$9,Assumptions!$C$74*E21,0)),IF(F21="Pending",IF(D21&lt;=Assumptions!$C$9,Assumptions!$C$74*E21,0),IF(G21&lt;=Assumptions!$C$9,0,IF(D21&lt;=Assumptions!$C$9,Assumptions!$C$74*E21,0))))</f>
        <v>7350</v>
      </c>
      <c r="J21" s="28" t="n">
        <f aca="false">IF(F21="Approved",H21,IF(F21="Pending",Assumptions!$F$121*E21,0))</f>
        <v>9555</v>
      </c>
      <c r="K21" s="78" t="str">
        <f aca="false">IF(AND(F21="Approved",E21&gt;0),H21/E21,"")</f>
        <v/>
      </c>
      <c r="L21" s="113" t="n">
        <f aca="false">IF(F21="Pending",Assumptions!$C$9-D21,"")</f>
        <v>25</v>
      </c>
    </row>
    <row r="22" customFormat="false" ht="15" hidden="false" customHeight="false" outlineLevel="0" collapsed="false">
      <c r="A22" s="79" t="s">
        <v>524</v>
      </c>
      <c r="E22" s="80" t="n">
        <f aca="false">SUM(E6:E21)</f>
        <v>388300</v>
      </c>
      <c r="H22" s="80" t="n">
        <f aca="false">SUM(H6:H21)</f>
        <v>175200</v>
      </c>
      <c r="I22" s="80" t="n">
        <f aca="false">SUM(I6:I21)</f>
        <v>259400</v>
      </c>
      <c r="J22" s="80" t="n">
        <f aca="false">SUM(J6:J21)</f>
        <v>284660</v>
      </c>
    </row>
    <row r="24" customFormat="false" ht="15" hidden="false" customHeight="false" outlineLevel="0" collapsed="false">
      <c r="A24" s="19" t="s">
        <v>938</v>
      </c>
    </row>
    <row r="25" customFormat="false" ht="42" hidden="false" customHeight="true" outlineLevel="0" collapsed="false">
      <c r="A25" s="25" t="s">
        <v>892</v>
      </c>
      <c r="B25" s="26" t="s">
        <v>939</v>
      </c>
      <c r="C25" s="26" t="s">
        <v>940</v>
      </c>
      <c r="D25" s="26" t="s">
        <v>941</v>
      </c>
      <c r="E25" s="26" t="s">
        <v>942</v>
      </c>
      <c r="F25" s="26" t="s">
        <v>943</v>
      </c>
      <c r="G25" s="26" t="s">
        <v>944</v>
      </c>
      <c r="H25" s="26" t="s">
        <v>945</v>
      </c>
      <c r="I25" s="26" t="s">
        <v>946</v>
      </c>
    </row>
    <row r="26" customFormat="false" ht="15" hidden="false" customHeight="false" outlineLevel="0" collapsed="false">
      <c r="A26" s="0" t="s">
        <v>690</v>
      </c>
      <c r="B26" s="0" t="n">
        <f aca="false">COUNTIF(Variations!$B$6:$B$21,A26)</f>
        <v>4</v>
      </c>
      <c r="C26" s="28" t="n">
        <f aca="false">SUMIFS(Variations!$E$6:$E$21,Variations!$B$6:$B$21,A26)</f>
        <v>95600</v>
      </c>
      <c r="D26" s="28" t="n">
        <f aca="false">SUMIFS(Variations!$H$6:$H$21,Variations!$B$6:$B$21,A26,Variations!$F$6:$F$21,"Approved")</f>
        <v>63700</v>
      </c>
      <c r="E26" s="28" t="n">
        <f aca="false">SUMIFS(Variations!$E$6:$E$21,Variations!$B$6:$B$21,A26,Variations!$F$6:$F$21,"Pending")</f>
        <v>0</v>
      </c>
      <c r="F26" s="28" t="n">
        <f aca="false">E26*Assumptions!$C$74</f>
        <v>0</v>
      </c>
      <c r="G26" s="28" t="n">
        <f aca="false">E26*Assumptions!$F$121</f>
        <v>0</v>
      </c>
      <c r="H26" s="28" t="n">
        <f aca="false">SUMIFS(Variations!$E$6:$E$21,Variations!$B$6:$B$21,A26,Variations!$F$6:$F$21,"Rejected")</f>
        <v>26500</v>
      </c>
      <c r="I26" s="28" t="n">
        <f aca="false">G26-F26</f>
        <v>0</v>
      </c>
    </row>
    <row r="27" customFormat="false" ht="15" hidden="false" customHeight="false" outlineLevel="0" collapsed="false">
      <c r="A27" s="0" t="s">
        <v>691</v>
      </c>
      <c r="B27" s="0" t="n">
        <f aca="false">COUNTIF(Variations!$B$6:$B$21,A27)</f>
        <v>2</v>
      </c>
      <c r="C27" s="28" t="n">
        <f aca="false">SUMIFS(Variations!$E$6:$E$21,Variations!$B$6:$B$21,A27)</f>
        <v>29800</v>
      </c>
      <c r="D27" s="28" t="n">
        <f aca="false">SUMIFS(Variations!$H$6:$H$21,Variations!$B$6:$B$21,A27,Variations!$F$6:$F$21,"Approved")</f>
        <v>29000</v>
      </c>
      <c r="E27" s="28" t="n">
        <f aca="false">SUMIFS(Variations!$E$6:$E$21,Variations!$B$6:$B$21,A27,Variations!$F$6:$F$21,"Pending")</f>
        <v>0</v>
      </c>
      <c r="F27" s="28" t="n">
        <f aca="false">E27*Assumptions!$C$74</f>
        <v>0</v>
      </c>
      <c r="G27" s="28" t="n">
        <f aca="false">E27*Assumptions!$F$121</f>
        <v>0</v>
      </c>
      <c r="H27" s="28" t="n">
        <f aca="false">SUMIFS(Variations!$E$6:$E$21,Variations!$B$6:$B$21,A27,Variations!$F$6:$F$21,"Rejected")</f>
        <v>0</v>
      </c>
      <c r="I27" s="28" t="n">
        <f aca="false">G27-F27</f>
        <v>0</v>
      </c>
    </row>
    <row r="28" customFormat="false" ht="15" hidden="false" customHeight="false" outlineLevel="0" collapsed="false">
      <c r="A28" s="0" t="s">
        <v>692</v>
      </c>
      <c r="B28" s="0" t="n">
        <f aca="false">COUNTIF(Variations!$B$6:$B$21,A28)</f>
        <v>5</v>
      </c>
      <c r="C28" s="28" t="n">
        <f aca="false">SUMIFS(Variations!$E$6:$E$21,Variations!$B$6:$B$21,A28)</f>
        <v>159400</v>
      </c>
      <c r="D28" s="28" t="n">
        <f aca="false">SUMIFS(Variations!$H$6:$H$21,Variations!$B$6:$B$21,A28,Variations!$F$6:$F$21,"Approved")</f>
        <v>33000</v>
      </c>
      <c r="E28" s="28" t="n">
        <f aca="false">SUMIFS(Variations!$E$6:$E$21,Variations!$B$6:$B$21,A28,Variations!$F$6:$F$21,"Pending")</f>
        <v>118000</v>
      </c>
      <c r="F28" s="28" t="n">
        <f aca="false">E28*Assumptions!$C$74</f>
        <v>59000</v>
      </c>
      <c r="G28" s="28" t="n">
        <f aca="false">E28*Assumptions!$F$121</f>
        <v>76700</v>
      </c>
      <c r="H28" s="28" t="n">
        <f aca="false">SUMIFS(Variations!$E$6:$E$21,Variations!$B$6:$B$21,A28,Variations!$F$6:$F$21,"Rejected")</f>
        <v>6900</v>
      </c>
      <c r="I28" s="28" t="n">
        <f aca="false">G28-F28</f>
        <v>17700</v>
      </c>
    </row>
    <row r="29" customFormat="false" ht="15" hidden="false" customHeight="false" outlineLevel="0" collapsed="false">
      <c r="A29" s="0" t="s">
        <v>693</v>
      </c>
      <c r="B29" s="0" t="n">
        <f aca="false">COUNTIF(Variations!$B$6:$B$21,A29)</f>
        <v>2</v>
      </c>
      <c r="C29" s="28" t="n">
        <f aca="false">SUMIFS(Variations!$E$6:$E$21,Variations!$B$6:$B$21,A29)</f>
        <v>48300</v>
      </c>
      <c r="D29" s="28" t="n">
        <f aca="false">SUMIFS(Variations!$H$6:$H$21,Variations!$B$6:$B$21,A29,Variations!$F$6:$F$21,"Approved")</f>
        <v>27400</v>
      </c>
      <c r="E29" s="28" t="n">
        <f aca="false">SUMIFS(Variations!$E$6:$E$21,Variations!$B$6:$B$21,A29,Variations!$F$6:$F$21,"Pending")</f>
        <v>19500</v>
      </c>
      <c r="F29" s="28" t="n">
        <f aca="false">E29*Assumptions!$C$74</f>
        <v>9750</v>
      </c>
      <c r="G29" s="28" t="n">
        <f aca="false">E29*Assumptions!$F$121</f>
        <v>12675</v>
      </c>
      <c r="H29" s="28" t="n">
        <f aca="false">SUMIFS(Variations!$E$6:$E$21,Variations!$B$6:$B$21,A29,Variations!$F$6:$F$21,"Rejected")</f>
        <v>0</v>
      </c>
      <c r="I29" s="28" t="n">
        <f aca="false">G29-F29</f>
        <v>2925</v>
      </c>
    </row>
    <row r="30" customFormat="false" ht="15" hidden="false" customHeight="false" outlineLevel="0" collapsed="false">
      <c r="A30" s="0" t="s">
        <v>694</v>
      </c>
      <c r="B30" s="0" t="n">
        <f aca="false">COUNTIF(Variations!$B$6:$B$21,A30)</f>
        <v>1</v>
      </c>
      <c r="C30" s="28" t="n">
        <f aca="false">SUMIFS(Variations!$E$6:$E$21,Variations!$B$6:$B$21,A30)</f>
        <v>16200</v>
      </c>
      <c r="D30" s="28" t="n">
        <f aca="false">SUMIFS(Variations!$H$6:$H$21,Variations!$B$6:$B$21,A30,Variations!$F$6:$F$21,"Approved")</f>
        <v>0</v>
      </c>
      <c r="E30" s="28" t="n">
        <f aca="false">SUMIFS(Variations!$E$6:$E$21,Variations!$B$6:$B$21,A30,Variations!$F$6:$F$21,"Pending")</f>
        <v>16200</v>
      </c>
      <c r="F30" s="28" t="n">
        <f aca="false">E30*Assumptions!$C$74</f>
        <v>8100</v>
      </c>
      <c r="G30" s="28" t="n">
        <f aca="false">E30*Assumptions!$F$121</f>
        <v>10530</v>
      </c>
      <c r="H30" s="28" t="n">
        <f aca="false">SUMIFS(Variations!$E$6:$E$21,Variations!$B$6:$B$21,A30,Variations!$F$6:$F$21,"Rejected")</f>
        <v>0</v>
      </c>
      <c r="I30" s="28" t="n">
        <f aca="false">G30-F30</f>
        <v>2430</v>
      </c>
    </row>
    <row r="31" customFormat="false" ht="15" hidden="false" customHeight="false" outlineLevel="0" collapsed="false">
      <c r="A31" s="0" t="s">
        <v>695</v>
      </c>
      <c r="B31" s="0" t="n">
        <f aca="false">COUNTIF(Variations!$B$6:$B$21,A31)</f>
        <v>2</v>
      </c>
      <c r="C31" s="28" t="n">
        <f aca="false">SUMIFS(Variations!$E$6:$E$21,Variations!$B$6:$B$21,A31)</f>
        <v>39000</v>
      </c>
      <c r="D31" s="28" t="n">
        <f aca="false">SUMIFS(Variations!$H$6:$H$21,Variations!$B$6:$B$21,A31,Variations!$F$6:$F$21,"Approved")</f>
        <v>22100</v>
      </c>
      <c r="E31" s="28" t="n">
        <f aca="false">SUMIFS(Variations!$E$6:$E$21,Variations!$B$6:$B$21,A31,Variations!$F$6:$F$21,"Pending")</f>
        <v>14700</v>
      </c>
      <c r="F31" s="28" t="n">
        <f aca="false">E31*Assumptions!$C$74</f>
        <v>7350</v>
      </c>
      <c r="G31" s="28" t="n">
        <f aca="false">E31*Assumptions!$F$121</f>
        <v>9555</v>
      </c>
      <c r="H31" s="28" t="n">
        <f aca="false">SUMIFS(Variations!$E$6:$E$21,Variations!$B$6:$B$21,A31,Variations!$F$6:$F$21,"Rejected")</f>
        <v>0</v>
      </c>
      <c r="I31" s="28" t="n">
        <f aca="false">G31-F31</f>
        <v>2205</v>
      </c>
    </row>
    <row r="32" customFormat="false" ht="15" hidden="false" customHeight="false" outlineLevel="0" collapsed="false">
      <c r="A32" s="79" t="s">
        <v>524</v>
      </c>
      <c r="B32" s="114" t="n">
        <f aca="false">SUM(B26:B31)</f>
        <v>16</v>
      </c>
      <c r="C32" s="80" t="n">
        <f aca="false">SUM(C26:C31)</f>
        <v>388300</v>
      </c>
      <c r="D32" s="80" t="n">
        <f aca="false">SUM(D26:D31)</f>
        <v>175200</v>
      </c>
      <c r="E32" s="80" t="n">
        <f aca="false">SUM(E26:E31)</f>
        <v>168400</v>
      </c>
      <c r="F32" s="80" t="n">
        <f aca="false">SUM(F26:F31)</f>
        <v>84200</v>
      </c>
      <c r="G32" s="80" t="n">
        <f aca="false">SUM(G26:G31)</f>
        <v>109460</v>
      </c>
      <c r="H32" s="80" t="n">
        <f aca="false">SUM(H26:H31)</f>
        <v>33400</v>
      </c>
      <c r="I32" s="80" t="n">
        <f aca="false">SUM(I26:I31)</f>
        <v>25260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4"/>
    <col collapsed="false" customWidth="true" hidden="false" outlineLevel="0" max="3" min="3" style="0" width="30"/>
    <col collapsed="false" customWidth="true" hidden="false" outlineLevel="0" max="4" min="4" style="0" width="34"/>
    <col collapsed="false" customWidth="true" hidden="false" outlineLevel="0" max="5" min="5" style="0" width="13"/>
    <col collapsed="false" customWidth="true" hidden="false" outlineLevel="0" max="6" min="6" style="0" width="11"/>
    <col collapsed="false" customWidth="true" hidden="false" outlineLevel="0" max="9" min="7" style="0" width="13"/>
    <col collapsed="false" customWidth="true" hidden="false" outlineLevel="0" max="11" min="10" style="0" width="11"/>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947</v>
      </c>
    </row>
    <row r="3" customFormat="false" ht="15" hidden="false" customHeight="false" outlineLevel="0" collapsed="false">
      <c r="A3" s="24" t="s">
        <v>948</v>
      </c>
    </row>
    <row r="5" customFormat="false" ht="36" hidden="false" customHeight="true" outlineLevel="0" collapsed="false">
      <c r="A5" s="25" t="s">
        <v>949</v>
      </c>
      <c r="B5" s="26" t="s">
        <v>892</v>
      </c>
      <c r="C5" s="26" t="s">
        <v>950</v>
      </c>
      <c r="D5" s="26" t="s">
        <v>951</v>
      </c>
      <c r="E5" s="26" t="s">
        <v>17</v>
      </c>
      <c r="F5" s="26" t="s">
        <v>952</v>
      </c>
      <c r="G5" s="26" t="s">
        <v>953</v>
      </c>
      <c r="H5" s="26" t="s">
        <v>954</v>
      </c>
      <c r="I5" s="26" t="s">
        <v>955</v>
      </c>
      <c r="J5" s="26" t="s">
        <v>956</v>
      </c>
      <c r="K5" s="26" t="s">
        <v>957</v>
      </c>
    </row>
    <row r="6" customFormat="false" ht="15" hidden="false" customHeight="false" outlineLevel="0" collapsed="false">
      <c r="A6" s="111" t="s">
        <v>958</v>
      </c>
      <c r="B6" s="111" t="s">
        <v>692</v>
      </c>
      <c r="C6" s="111" t="s">
        <v>959</v>
      </c>
      <c r="D6" s="111" t="s">
        <v>960</v>
      </c>
      <c r="E6" s="111" t="s">
        <v>961</v>
      </c>
      <c r="F6" s="112" t="n">
        <v>46073</v>
      </c>
      <c r="G6" s="71" t="n">
        <v>299100</v>
      </c>
      <c r="H6" s="71" t="n">
        <v>210127.52</v>
      </c>
      <c r="I6" s="28" t="n">
        <f aca="false">G6-H6</f>
        <v>88972.48</v>
      </c>
      <c r="J6" s="115" t="n">
        <v>0</v>
      </c>
      <c r="K6" s="78" t="n">
        <f aca="false">IF(G6=0,0,H6/G6)</f>
        <v>0.702532664660649</v>
      </c>
    </row>
    <row r="7" customFormat="false" ht="15" hidden="false" customHeight="false" outlineLevel="0" collapsed="false">
      <c r="A7" s="111" t="s">
        <v>962</v>
      </c>
      <c r="B7" s="111" t="s">
        <v>692</v>
      </c>
      <c r="C7" s="111" t="s">
        <v>963</v>
      </c>
      <c r="D7" s="111" t="s">
        <v>964</v>
      </c>
      <c r="E7" s="111" t="s">
        <v>961</v>
      </c>
      <c r="F7" s="112" t="n">
        <v>46073</v>
      </c>
      <c r="G7" s="71" t="n">
        <v>172500</v>
      </c>
      <c r="H7" s="71" t="n">
        <v>121227.41</v>
      </c>
      <c r="I7" s="28" t="n">
        <f aca="false">G7-H7</f>
        <v>51272.59</v>
      </c>
      <c r="J7" s="115" t="n">
        <v>0.2</v>
      </c>
      <c r="K7" s="78" t="n">
        <f aca="false">IF(G7=0,0,H7/G7)</f>
        <v>0.702767594202899</v>
      </c>
    </row>
    <row r="8" customFormat="false" ht="15" hidden="false" customHeight="false" outlineLevel="0" collapsed="false">
      <c r="A8" s="111" t="s">
        <v>965</v>
      </c>
      <c r="B8" s="111" t="s">
        <v>692</v>
      </c>
      <c r="C8" s="111" t="s">
        <v>966</v>
      </c>
      <c r="D8" s="111" t="s">
        <v>967</v>
      </c>
      <c r="E8" s="111" t="s">
        <v>961</v>
      </c>
      <c r="F8" s="112" t="n">
        <v>46073</v>
      </c>
      <c r="G8" s="71" t="n">
        <v>103500</v>
      </c>
      <c r="H8" s="71" t="n">
        <v>72736.45</v>
      </c>
      <c r="I8" s="28" t="n">
        <f aca="false">G8-H8</f>
        <v>30763.55</v>
      </c>
      <c r="J8" s="115" t="n">
        <v>0</v>
      </c>
      <c r="K8" s="78" t="n">
        <f aca="false">IF(G8=0,0,H8/G8)</f>
        <v>0.702767632850242</v>
      </c>
    </row>
    <row r="9" customFormat="false" ht="15" hidden="false" customHeight="false" outlineLevel="0" collapsed="false">
      <c r="A9" s="111" t="s">
        <v>968</v>
      </c>
      <c r="B9" s="111" t="s">
        <v>692</v>
      </c>
      <c r="C9" s="111" t="s">
        <v>969</v>
      </c>
      <c r="D9" s="111" t="s">
        <v>970</v>
      </c>
      <c r="E9" s="111" t="s">
        <v>797</v>
      </c>
      <c r="F9" s="112" t="n">
        <v>46073</v>
      </c>
      <c r="G9" s="71" t="n">
        <v>132200</v>
      </c>
      <c r="H9" s="71" t="n">
        <v>101335.32</v>
      </c>
      <c r="I9" s="28" t="n">
        <f aca="false">G9-H9</f>
        <v>30864.68</v>
      </c>
      <c r="J9" s="115"/>
      <c r="K9" s="78" t="n">
        <f aca="false">IF(G9=0,0,H9/G9)</f>
        <v>0.766530408472012</v>
      </c>
    </row>
    <row r="10" customFormat="false" ht="15" hidden="false" customHeight="false" outlineLevel="0" collapsed="false">
      <c r="A10" s="111" t="s">
        <v>971</v>
      </c>
      <c r="B10" s="111" t="s">
        <v>692</v>
      </c>
      <c r="C10" s="111" t="s">
        <v>972</v>
      </c>
      <c r="D10" s="111" t="s">
        <v>973</v>
      </c>
      <c r="E10" s="111" t="s">
        <v>797</v>
      </c>
      <c r="F10" s="112" t="n">
        <v>46073</v>
      </c>
      <c r="G10" s="71" t="n">
        <v>108200</v>
      </c>
      <c r="H10" s="71" t="n">
        <v>82910.71</v>
      </c>
      <c r="I10" s="28" t="n">
        <f aca="false">G10-H10</f>
        <v>25289.29</v>
      </c>
      <c r="J10" s="115"/>
      <c r="K10" s="78" t="n">
        <f aca="false">IF(G10=0,0,H10/G10)</f>
        <v>0.766272735674677</v>
      </c>
    </row>
    <row r="11" customFormat="false" ht="15" hidden="false" customHeight="false" outlineLevel="0" collapsed="false">
      <c r="A11" s="111" t="s">
        <v>974</v>
      </c>
      <c r="B11" s="111" t="s">
        <v>693</v>
      </c>
      <c r="C11" s="111" t="s">
        <v>975</v>
      </c>
      <c r="D11" s="111" t="s">
        <v>976</v>
      </c>
      <c r="E11" s="111" t="s">
        <v>961</v>
      </c>
      <c r="F11" s="112" t="n">
        <v>46157</v>
      </c>
      <c r="G11" s="71" t="n">
        <v>244000</v>
      </c>
      <c r="H11" s="71" t="n">
        <v>59354.88</v>
      </c>
      <c r="I11" s="28" t="n">
        <f aca="false">G11-H11</f>
        <v>184645.12</v>
      </c>
      <c r="J11" s="115" t="n">
        <v>0</v>
      </c>
      <c r="K11" s="78" t="n">
        <f aca="false">IF(G11=0,0,H11/G11)</f>
        <v>0.243257704918033</v>
      </c>
    </row>
    <row r="12" customFormat="false" ht="15" hidden="false" customHeight="false" outlineLevel="0" collapsed="false">
      <c r="A12" s="111" t="s">
        <v>977</v>
      </c>
      <c r="B12" s="111" t="s">
        <v>693</v>
      </c>
      <c r="C12" s="111" t="s">
        <v>978</v>
      </c>
      <c r="D12" s="111" t="s">
        <v>979</v>
      </c>
      <c r="E12" s="111" t="s">
        <v>961</v>
      </c>
      <c r="F12" s="112" t="n">
        <v>46157</v>
      </c>
      <c r="G12" s="71" t="n">
        <v>78700</v>
      </c>
      <c r="H12" s="71" t="n">
        <v>19146.73</v>
      </c>
      <c r="I12" s="28" t="n">
        <f aca="false">G12-H12</f>
        <v>59553.27</v>
      </c>
      <c r="J12" s="115" t="n">
        <v>0.35</v>
      </c>
      <c r="K12" s="78" t="n">
        <f aca="false">IF(G12=0,0,H12/G12)</f>
        <v>0.243287547649301</v>
      </c>
    </row>
    <row r="13" customFormat="false" ht="15" hidden="false" customHeight="false" outlineLevel="0" collapsed="false">
      <c r="A13" s="111" t="s">
        <v>980</v>
      </c>
      <c r="B13" s="111" t="s">
        <v>693</v>
      </c>
      <c r="C13" s="111" t="s">
        <v>981</v>
      </c>
      <c r="D13" s="111" t="s">
        <v>982</v>
      </c>
      <c r="E13" s="111" t="s">
        <v>961</v>
      </c>
      <c r="F13" s="112" t="n">
        <v>46157</v>
      </c>
      <c r="G13" s="71" t="n">
        <v>70800</v>
      </c>
      <c r="H13" s="71" t="n">
        <v>17232.06</v>
      </c>
      <c r="I13" s="28" t="n">
        <f aca="false">G13-H13</f>
        <v>53567.94</v>
      </c>
      <c r="J13" s="115" t="n">
        <v>0</v>
      </c>
      <c r="K13" s="78" t="n">
        <f aca="false">IF(G13=0,0,H13/G13)</f>
        <v>0.243390677966102</v>
      </c>
    </row>
    <row r="14" customFormat="false" ht="15" hidden="false" customHeight="false" outlineLevel="0" collapsed="false">
      <c r="A14" s="111" t="s">
        <v>983</v>
      </c>
      <c r="B14" s="111" t="s">
        <v>693</v>
      </c>
      <c r="C14" s="111" t="s">
        <v>984</v>
      </c>
      <c r="D14" s="111" t="s">
        <v>985</v>
      </c>
      <c r="E14" s="111" t="s">
        <v>797</v>
      </c>
      <c r="F14" s="112" t="n">
        <v>46157</v>
      </c>
      <c r="G14" s="71" t="n">
        <v>83100</v>
      </c>
      <c r="H14" s="71" t="n">
        <v>23106.22</v>
      </c>
      <c r="I14" s="28" t="n">
        <f aca="false">G14-H14</f>
        <v>59993.78</v>
      </c>
      <c r="J14" s="115"/>
      <c r="K14" s="78" t="n">
        <f aca="false">IF(G14=0,0,H14/G14)</f>
        <v>0.278053188929001</v>
      </c>
    </row>
    <row r="15" customFormat="false" ht="15" hidden="false" customHeight="false" outlineLevel="0" collapsed="false">
      <c r="A15" s="111" t="s">
        <v>986</v>
      </c>
      <c r="B15" s="111" t="s">
        <v>693</v>
      </c>
      <c r="C15" s="111" t="s">
        <v>972</v>
      </c>
      <c r="D15" s="111" t="s">
        <v>987</v>
      </c>
      <c r="E15" s="111" t="s">
        <v>797</v>
      </c>
      <c r="F15" s="112" t="n">
        <v>46157</v>
      </c>
      <c r="G15" s="71" t="n">
        <v>83100</v>
      </c>
      <c r="H15" s="71" t="n">
        <v>23106.22</v>
      </c>
      <c r="I15" s="28" t="n">
        <f aca="false">G15-H15</f>
        <v>59993.78</v>
      </c>
      <c r="J15" s="115"/>
      <c r="K15" s="78" t="n">
        <f aca="false">IF(G15=0,0,H15/G15)</f>
        <v>0.278053188929001</v>
      </c>
    </row>
    <row r="16" customFormat="false" ht="15" hidden="false" customHeight="false" outlineLevel="0" collapsed="false">
      <c r="A16" s="111" t="s">
        <v>988</v>
      </c>
      <c r="B16" s="111" t="s">
        <v>694</v>
      </c>
      <c r="C16" s="111" t="s">
        <v>959</v>
      </c>
      <c r="D16" s="111" t="s">
        <v>989</v>
      </c>
      <c r="E16" s="111" t="s">
        <v>961</v>
      </c>
      <c r="F16" s="112" t="n">
        <v>46220</v>
      </c>
      <c r="G16" s="71" t="n">
        <v>112800</v>
      </c>
      <c r="H16" s="71" t="n">
        <v>10786.29</v>
      </c>
      <c r="I16" s="28" t="n">
        <f aca="false">G16-H16</f>
        <v>102013.71</v>
      </c>
      <c r="J16" s="115" t="n">
        <v>0</v>
      </c>
      <c r="K16" s="78" t="n">
        <f aca="false">IF(G16=0,0,H16/G16)</f>
        <v>0.0956231382978724</v>
      </c>
    </row>
    <row r="17" customFormat="false" ht="15" hidden="false" customHeight="false" outlineLevel="0" collapsed="false">
      <c r="A17" s="111" t="s">
        <v>990</v>
      </c>
      <c r="B17" s="111" t="s">
        <v>694</v>
      </c>
      <c r="C17" s="111" t="s">
        <v>981</v>
      </c>
      <c r="D17" s="111" t="s">
        <v>991</v>
      </c>
      <c r="E17" s="111" t="s">
        <v>961</v>
      </c>
      <c r="F17" s="112" t="n">
        <v>46220</v>
      </c>
      <c r="G17" s="71" t="n">
        <v>48400</v>
      </c>
      <c r="H17" s="71" t="n">
        <v>4622.7</v>
      </c>
      <c r="I17" s="28" t="n">
        <f aca="false">G17-H17</f>
        <v>43777.3</v>
      </c>
      <c r="J17" s="115" t="n">
        <v>0</v>
      </c>
      <c r="K17" s="78" t="n">
        <f aca="false">IF(G17=0,0,H17/G17)</f>
        <v>0.0955103305785124</v>
      </c>
    </row>
    <row r="18" customFormat="false" ht="15" hidden="false" customHeight="false" outlineLevel="0" collapsed="false">
      <c r="A18" s="111" t="s">
        <v>992</v>
      </c>
      <c r="B18" s="111" t="s">
        <v>694</v>
      </c>
      <c r="C18" s="111" t="s">
        <v>972</v>
      </c>
      <c r="D18" s="111" t="s">
        <v>993</v>
      </c>
      <c r="E18" s="111" t="s">
        <v>797</v>
      </c>
      <c r="F18" s="112" t="n">
        <v>46220</v>
      </c>
      <c r="G18" s="71" t="n">
        <v>67000</v>
      </c>
      <c r="H18" s="71" t="n">
        <v>6986.74</v>
      </c>
      <c r="I18" s="28" t="n">
        <f aca="false">G18-H18</f>
        <v>60013.26</v>
      </c>
      <c r="J18" s="115"/>
      <c r="K18" s="78" t="n">
        <f aca="false">IF(G18=0,0,H18/G18)</f>
        <v>0.104279701492537</v>
      </c>
    </row>
    <row r="19" customFormat="false" ht="15" hidden="false" customHeight="false" outlineLevel="0" collapsed="false">
      <c r="A19" s="111" t="s">
        <v>994</v>
      </c>
      <c r="B19" s="111" t="s">
        <v>695</v>
      </c>
      <c r="C19" s="111" t="s">
        <v>995</v>
      </c>
      <c r="D19" s="111" t="s">
        <v>996</v>
      </c>
      <c r="E19" s="111" t="s">
        <v>961</v>
      </c>
      <c r="F19" s="112" t="n">
        <v>46122</v>
      </c>
      <c r="G19" s="71" t="n">
        <v>265700</v>
      </c>
      <c r="H19" s="71" t="n">
        <v>88489.46</v>
      </c>
      <c r="I19" s="28" t="n">
        <f aca="false">G19-H19</f>
        <v>177210.54</v>
      </c>
      <c r="J19" s="115" t="n">
        <v>0</v>
      </c>
      <c r="K19" s="78" t="n">
        <f aca="false">IF(G19=0,0,H19/G19)</f>
        <v>0.333042754986827</v>
      </c>
    </row>
    <row r="20" customFormat="false" ht="15" hidden="false" customHeight="false" outlineLevel="0" collapsed="false">
      <c r="A20" s="111" t="s">
        <v>997</v>
      </c>
      <c r="B20" s="111" t="s">
        <v>695</v>
      </c>
      <c r="C20" s="111" t="s">
        <v>998</v>
      </c>
      <c r="D20" s="111" t="s">
        <v>999</v>
      </c>
      <c r="E20" s="111" t="s">
        <v>961</v>
      </c>
      <c r="F20" s="112" t="n">
        <v>46122</v>
      </c>
      <c r="G20" s="71" t="n">
        <v>240400</v>
      </c>
      <c r="H20" s="71" t="n">
        <v>80061.89</v>
      </c>
      <c r="I20" s="28" t="n">
        <f aca="false">G20-H20</f>
        <v>160338.11</v>
      </c>
      <c r="J20" s="115" t="n">
        <v>0.2</v>
      </c>
      <c r="K20" s="78" t="n">
        <f aca="false">IF(G20=0,0,H20/G20)</f>
        <v>0.333036148086523</v>
      </c>
    </row>
    <row r="21" customFormat="false" ht="15" hidden="false" customHeight="false" outlineLevel="0" collapsed="false">
      <c r="A21" s="111" t="s">
        <v>1000</v>
      </c>
      <c r="B21" s="111" t="s">
        <v>695</v>
      </c>
      <c r="C21" s="111" t="s">
        <v>1001</v>
      </c>
      <c r="D21" s="111" t="s">
        <v>1002</v>
      </c>
      <c r="E21" s="111" t="s">
        <v>961</v>
      </c>
      <c r="F21" s="112" t="n">
        <v>46122</v>
      </c>
      <c r="G21" s="71" t="n">
        <v>126500</v>
      </c>
      <c r="H21" s="71" t="n">
        <v>42137.84</v>
      </c>
      <c r="I21" s="28" t="n">
        <f aca="false">G21-H21</f>
        <v>84362.16</v>
      </c>
      <c r="J21" s="115" t="n">
        <v>0</v>
      </c>
      <c r="K21" s="78" t="n">
        <f aca="false">IF(G21=0,0,H21/G21)</f>
        <v>0.333105454545455</v>
      </c>
    </row>
    <row r="22" customFormat="false" ht="15" hidden="false" customHeight="false" outlineLevel="0" collapsed="false">
      <c r="A22" s="111" t="s">
        <v>1003</v>
      </c>
      <c r="B22" s="111" t="s">
        <v>695</v>
      </c>
      <c r="C22" s="111" t="s">
        <v>984</v>
      </c>
      <c r="D22" s="111" t="s">
        <v>1004</v>
      </c>
      <c r="E22" s="111" t="s">
        <v>797</v>
      </c>
      <c r="F22" s="112" t="n">
        <v>46122</v>
      </c>
      <c r="G22" s="71" t="n">
        <v>228400</v>
      </c>
      <c r="H22" s="71" t="n">
        <v>85185.85</v>
      </c>
      <c r="I22" s="28" t="n">
        <f aca="false">G22-H22</f>
        <v>143214.15</v>
      </c>
      <c r="J22" s="115"/>
      <c r="K22" s="78" t="n">
        <f aca="false">IF(G22=0,0,H22/G22)</f>
        <v>0.372967819614711</v>
      </c>
    </row>
    <row r="23" customFormat="false" ht="15" hidden="false" customHeight="false" outlineLevel="0" collapsed="false">
      <c r="A23" s="111" t="s">
        <v>1005</v>
      </c>
      <c r="B23" s="111" t="s">
        <v>696</v>
      </c>
      <c r="C23" s="111" t="s">
        <v>959</v>
      </c>
      <c r="D23" s="111" t="s">
        <v>1006</v>
      </c>
      <c r="E23" s="111" t="s">
        <v>961</v>
      </c>
      <c r="F23" s="112" t="n">
        <v>46255</v>
      </c>
      <c r="G23" s="71" t="n">
        <v>115300</v>
      </c>
      <c r="H23" s="71" t="n">
        <v>0</v>
      </c>
      <c r="I23" s="28" t="n">
        <f aca="false">G23-H23</f>
        <v>115300</v>
      </c>
      <c r="J23" s="115" t="n">
        <v>0</v>
      </c>
      <c r="K23" s="78" t="n">
        <f aca="false">IF(G23=0,0,H23/G23)</f>
        <v>0</v>
      </c>
    </row>
    <row r="24" customFormat="false" ht="15" hidden="false" customHeight="false" outlineLevel="0" collapsed="false">
      <c r="A24" s="79" t="s">
        <v>524</v>
      </c>
      <c r="G24" s="80" t="n">
        <f aca="false">SUM(G6:G23)</f>
        <v>2579700</v>
      </c>
      <c r="H24" s="80" t="n">
        <f aca="false">SUM(H6:H23)</f>
        <v>1048554.29</v>
      </c>
      <c r="I24" s="80" t="n">
        <f aca="false">SUM(I6:I23)</f>
        <v>1531145.71</v>
      </c>
    </row>
    <row r="26" customFormat="false" ht="15" hidden="false" customHeight="false" outlineLevel="0" collapsed="false">
      <c r="A26" s="19" t="s">
        <v>1007</v>
      </c>
    </row>
    <row r="27" customFormat="false" ht="48" hidden="false" customHeight="true" outlineLevel="0" collapsed="false">
      <c r="A27" s="25" t="s">
        <v>892</v>
      </c>
      <c r="B27" s="26" t="s">
        <v>150</v>
      </c>
      <c r="C27" s="26" t="s">
        <v>1008</v>
      </c>
      <c r="D27" s="26" t="s">
        <v>729</v>
      </c>
      <c r="E27" s="26" t="s">
        <v>1009</v>
      </c>
      <c r="F27" s="26" t="s">
        <v>1010</v>
      </c>
      <c r="G27" s="26" t="s">
        <v>1011</v>
      </c>
      <c r="H27" s="26" t="s">
        <v>1012</v>
      </c>
      <c r="I27" s="26" t="s">
        <v>1013</v>
      </c>
      <c r="J27" s="26" t="s">
        <v>1014</v>
      </c>
      <c r="K27" s="26" t="s">
        <v>1015</v>
      </c>
    </row>
    <row r="28" customFormat="false" ht="15" hidden="false" customHeight="false" outlineLevel="0" collapsed="false">
      <c r="A28" s="0" t="s">
        <v>692</v>
      </c>
      <c r="B28" s="16" t="str">
        <f aca="false">Project_Register!$E$9</f>
        <v>In progress</v>
      </c>
      <c r="C28" s="58" t="n">
        <f aca="false">Project_Register!$O$9</f>
        <v>1018000</v>
      </c>
      <c r="D28" s="58" t="n">
        <f aca="false">Project_Register!$AQ$9</f>
        <v>850470.94</v>
      </c>
      <c r="E28" s="28" t="n">
        <f aca="false">SUMIFS(Commitments!$I$6:$I$23,Commitments!$B$6:$B$23,A28)</f>
        <v>227162.59</v>
      </c>
      <c r="F28" s="58" t="n">
        <f aca="false">Project_Register!$AR$9</f>
        <v>339529.06</v>
      </c>
      <c r="G28" s="28" t="n">
        <f aca="false">F28-E28</f>
        <v>112366.47</v>
      </c>
      <c r="H28" s="78" t="n">
        <f aca="false">IF(F28=0,0,E28/F28)</f>
        <v>0.669051980410749</v>
      </c>
      <c r="I28" s="28" t="n">
        <f aca="false">D28+F28</f>
        <v>1190000</v>
      </c>
      <c r="J28" s="28" t="n">
        <f aca="false">I28-C28</f>
        <v>172000</v>
      </c>
      <c r="K28" s="116" t="str">
        <f aca="false">IF(G28&gt;=0,"OK","CHECK")</f>
        <v>OK</v>
      </c>
    </row>
    <row r="29" customFormat="false" ht="15" hidden="false" customHeight="false" outlineLevel="0" collapsed="false">
      <c r="A29" s="0" t="s">
        <v>693</v>
      </c>
      <c r="B29" s="16" t="str">
        <f aca="false">Project_Register!$E$10</f>
        <v>In progress</v>
      </c>
      <c r="C29" s="58" t="n">
        <f aca="false">Project_Register!$O$10</f>
        <v>812000</v>
      </c>
      <c r="D29" s="58" t="n">
        <f aca="false">Project_Register!$AQ$10</f>
        <v>207047.04</v>
      </c>
      <c r="E29" s="28" t="n">
        <f aca="false">SUMIFS(Commitments!$I$6:$I$23,Commitments!$B$6:$B$23,A29)</f>
        <v>417753.89</v>
      </c>
      <c r="F29" s="58" t="n">
        <f aca="false">Project_Register!$AR$10</f>
        <v>610952.96</v>
      </c>
      <c r="G29" s="28" t="n">
        <f aca="false">F29-E29</f>
        <v>193199.07</v>
      </c>
      <c r="H29" s="78" t="n">
        <f aca="false">IF(F29=0,0,E29/F29)</f>
        <v>0.683774230343364</v>
      </c>
      <c r="I29" s="28" t="n">
        <f aca="false">D29+F29</f>
        <v>818000</v>
      </c>
      <c r="J29" s="28" t="n">
        <f aca="false">I29-C29</f>
        <v>6000</v>
      </c>
      <c r="K29" s="116" t="str">
        <f aca="false">IF(G29&gt;=0,"OK","CHECK")</f>
        <v>OK</v>
      </c>
    </row>
    <row r="30" customFormat="false" ht="15" hidden="false" customHeight="false" outlineLevel="0" collapsed="false">
      <c r="A30" s="0" t="s">
        <v>694</v>
      </c>
      <c r="B30" s="16" t="str">
        <f aca="false">Project_Register!$E$11</f>
        <v>In progress</v>
      </c>
      <c r="C30" s="58" t="n">
        <f aca="false">Project_Register!$O$11</f>
        <v>329000</v>
      </c>
      <c r="D30" s="58" t="n">
        <f aca="false">Project_Register!$AQ$11</f>
        <v>32888.13</v>
      </c>
      <c r="E30" s="28" t="n">
        <f aca="false">SUMIFS(Commitments!$I$6:$I$23,Commitments!$B$6:$B$23,A30)</f>
        <v>205804.27</v>
      </c>
      <c r="F30" s="58" t="n">
        <f aca="false">Project_Register!$AR$11</f>
        <v>300111.87</v>
      </c>
      <c r="G30" s="28" t="n">
        <f aca="false">F30-E30</f>
        <v>94307.6</v>
      </c>
      <c r="H30" s="78" t="n">
        <f aca="false">IF(F30=0,0,E30/F30)</f>
        <v>0.685758513983469</v>
      </c>
      <c r="I30" s="28" t="n">
        <f aca="false">D30+F30</f>
        <v>333000</v>
      </c>
      <c r="J30" s="28" t="n">
        <f aca="false">I30-C30</f>
        <v>4000</v>
      </c>
      <c r="K30" s="116" t="str">
        <f aca="false">IF(G30&gt;=0,"OK","CHECK")</f>
        <v>OK</v>
      </c>
    </row>
    <row r="31" customFormat="false" ht="15" hidden="false" customHeight="false" outlineLevel="0" collapsed="false">
      <c r="A31" s="0" t="s">
        <v>695</v>
      </c>
      <c r="B31" s="16" t="str">
        <f aca="false">Project_Register!$E$12</f>
        <v>In progress</v>
      </c>
      <c r="C31" s="58" t="n">
        <f aca="false">Project_Register!$O$12</f>
        <v>1158000</v>
      </c>
      <c r="D31" s="58" t="n">
        <f aca="false">Project_Register!$AQ$12</f>
        <v>399523.54</v>
      </c>
      <c r="E31" s="28" t="n">
        <f aca="false">SUMIFS(Commitments!$I$6:$I$23,Commitments!$B$6:$B$23,A31)</f>
        <v>565124.96</v>
      </c>
      <c r="F31" s="58" t="n">
        <f aca="false">Project_Register!$AR$12</f>
        <v>770476.46</v>
      </c>
      <c r="G31" s="28" t="n">
        <f aca="false">F31-E31</f>
        <v>205351.5</v>
      </c>
      <c r="H31" s="78" t="n">
        <f aca="false">IF(F31=0,0,E31/F31)</f>
        <v>0.733474660601571</v>
      </c>
      <c r="I31" s="28" t="n">
        <f aca="false">D31+F31</f>
        <v>1170000</v>
      </c>
      <c r="J31" s="28" t="n">
        <f aca="false">I31-C31</f>
        <v>12000</v>
      </c>
      <c r="K31" s="116" t="str">
        <f aca="false">IF(G31&gt;=0,"OK","CHECK")</f>
        <v>OK</v>
      </c>
    </row>
    <row r="32" customFormat="false" ht="15" hidden="false" customHeight="false" outlineLevel="0" collapsed="false">
      <c r="A32" s="0" t="s">
        <v>696</v>
      </c>
      <c r="B32" s="16" t="str">
        <f aca="false">Project_Register!$E$13</f>
        <v>Contracted</v>
      </c>
      <c r="C32" s="58" t="n">
        <f aca="false">Project_Register!$O$13</f>
        <v>549000</v>
      </c>
      <c r="D32" s="58" t="n">
        <f aca="false">Project_Register!$AQ$13</f>
        <v>0</v>
      </c>
      <c r="E32" s="28" t="n">
        <f aca="false">SUMIFS(Commitments!$I$6:$I$23,Commitments!$B$6:$B$23,A32)</f>
        <v>115300</v>
      </c>
      <c r="F32" s="58" t="n">
        <f aca="false">Project_Register!$AR$13</f>
        <v>549000</v>
      </c>
      <c r="G32" s="28" t="n">
        <f aca="false">F32-E32</f>
        <v>433700</v>
      </c>
      <c r="H32" s="78" t="n">
        <f aca="false">IF(F32=0,0,E32/F32)</f>
        <v>0.210018214936248</v>
      </c>
      <c r="I32" s="28" t="n">
        <f aca="false">D32+F32</f>
        <v>549000</v>
      </c>
      <c r="J32" s="28" t="n">
        <f aca="false">I32-C32</f>
        <v>0</v>
      </c>
      <c r="K32" s="116" t="str">
        <f aca="false">IF(G32&gt;=0,"OK","CHECK")</f>
        <v>OK</v>
      </c>
    </row>
    <row r="33" customFormat="false" ht="15" hidden="false" customHeight="false" outlineLevel="0" collapsed="false">
      <c r="A33" s="0" t="s">
        <v>697</v>
      </c>
      <c r="B33" s="16" t="str">
        <f aca="false">Project_Register!$E$14</f>
        <v>Contracted</v>
      </c>
      <c r="C33" s="58" t="n">
        <f aca="false">Project_Register!$O$14</f>
        <v>1548000</v>
      </c>
      <c r="D33" s="58" t="n">
        <f aca="false">Project_Register!$AQ$14</f>
        <v>0</v>
      </c>
      <c r="E33" s="28" t="n">
        <f aca="false">SUMIFS(Commitments!$I$6:$I$23,Commitments!$B$6:$B$23,A33)</f>
        <v>0</v>
      </c>
      <c r="F33" s="58" t="n">
        <f aca="false">Project_Register!$AR$14</f>
        <v>1548000</v>
      </c>
      <c r="G33" s="28" t="n">
        <f aca="false">F33-E33</f>
        <v>1548000</v>
      </c>
      <c r="H33" s="78" t="n">
        <f aca="false">IF(F33=0,0,E33/F33)</f>
        <v>0</v>
      </c>
      <c r="I33" s="28" t="n">
        <f aca="false">D33+F33</f>
        <v>1548000</v>
      </c>
      <c r="J33" s="28" t="n">
        <f aca="false">I33-C33</f>
        <v>0</v>
      </c>
      <c r="K33" s="116" t="str">
        <f aca="false">IF(G33&gt;=0,"OK","CHECK")</f>
        <v>OK</v>
      </c>
    </row>
    <row r="34" customFormat="false" ht="15" hidden="false" customHeight="false" outlineLevel="0" collapsed="false">
      <c r="A34" s="79" t="s">
        <v>524</v>
      </c>
      <c r="C34" s="80" t="n">
        <f aca="false">SUM(C28:C33)</f>
        <v>5414000</v>
      </c>
      <c r="D34" s="80" t="n">
        <f aca="false">SUM(D28:D33)</f>
        <v>1489929.65</v>
      </c>
      <c r="E34" s="80" t="n">
        <f aca="false">SUM(E28:E33)</f>
        <v>1531145.71</v>
      </c>
      <c r="F34" s="80" t="n">
        <f aca="false">SUM(F28:F33)</f>
        <v>4118070.35</v>
      </c>
      <c r="G34" s="80" t="n">
        <f aca="false">SUM(G28:G33)</f>
        <v>2586924.64</v>
      </c>
      <c r="H34" s="35" t="n">
        <f aca="false">IF(F34=0,0,E34/F34)</f>
        <v>0.371811450477042</v>
      </c>
      <c r="I34" s="80" t="n">
        <f aca="false">SUM(I28:I33)</f>
        <v>5608000</v>
      </c>
      <c r="J34" s="80" t="n">
        <f aca="false">SUM(J28:J33)</f>
        <v>194000</v>
      </c>
    </row>
    <row r="36" customFormat="false" ht="15" hidden="false" customHeight="false" outlineLevel="0" collapsed="false">
      <c r="A36" s="19" t="s">
        <v>1016</v>
      </c>
    </row>
    <row r="37" customFormat="false" ht="42" hidden="false" customHeight="true" outlineLevel="0" collapsed="false">
      <c r="A37" s="25" t="s">
        <v>892</v>
      </c>
      <c r="B37" s="26" t="s">
        <v>795</v>
      </c>
      <c r="C37" s="26" t="s">
        <v>796</v>
      </c>
      <c r="D37" s="26" t="s">
        <v>797</v>
      </c>
      <c r="E37" s="26" t="s">
        <v>798</v>
      </c>
      <c r="F37" s="26" t="s">
        <v>799</v>
      </c>
      <c r="G37" s="26" t="s">
        <v>1017</v>
      </c>
      <c r="H37" s="26" t="s">
        <v>1018</v>
      </c>
    </row>
    <row r="38" customFormat="false" ht="15" hidden="false" customHeight="false" outlineLevel="0" collapsed="false">
      <c r="A38" s="0" t="s">
        <v>692</v>
      </c>
      <c r="B38" s="28" t="n">
        <f aca="false">SUMIFS(Inputs_Actuals!$E$27:$AB$27,Assumptions!$E$97:$AB$97,"A")</f>
        <v>136231.64</v>
      </c>
      <c r="C38" s="28" t="n">
        <f aca="false">SUMIFS(Inputs_Actuals!$E$28:$AB$28,Assumptions!$E$97:$AB$97,"A")</f>
        <v>423132.33</v>
      </c>
      <c r="D38" s="28" t="n">
        <f aca="false">SUMIFS(Inputs_Actuals!$E$29:$AB$29,Assumptions!$E$97:$AB$97,"A")</f>
        <v>204717.81</v>
      </c>
      <c r="E38" s="28" t="n">
        <f aca="false">SUMIFS(Inputs_Actuals!$E$30:$AB$30,Assumptions!$E$97:$AB$97,"A")</f>
        <v>25174.65</v>
      </c>
      <c r="F38" s="28" t="n">
        <f aca="false">SUMIFS(Inputs_Actuals!$E$31:$AB$31,Assumptions!$E$97:$AB$97,"A")</f>
        <v>61214.51</v>
      </c>
      <c r="G38" s="28" t="n">
        <f aca="false">SUM(B38:F38)</f>
        <v>850470.94</v>
      </c>
      <c r="H38" s="78" t="n">
        <f aca="false">IF(G38=0,0,B38/G38)</f>
        <v>0.16018376830136</v>
      </c>
    </row>
    <row r="39" customFormat="false" ht="15" hidden="false" customHeight="false" outlineLevel="0" collapsed="false">
      <c r="A39" s="0" t="s">
        <v>693</v>
      </c>
      <c r="B39" s="28" t="n">
        <f aca="false">SUMIFS(Inputs_Actuals!$E$36:$AB$36,Assumptions!$E$97:$AB$97,"A")</f>
        <v>34526.9</v>
      </c>
      <c r="C39" s="28" t="n">
        <f aca="false">SUMIFS(Inputs_Actuals!$E$37:$AB$37,Assumptions!$E$97:$AB$97,"A")</f>
        <v>100244.68</v>
      </c>
      <c r="D39" s="28" t="n">
        <f aca="false">SUMIFS(Inputs_Actuals!$E$38:$AB$38,Assumptions!$E$97:$AB$97,"A")</f>
        <v>51347.16</v>
      </c>
      <c r="E39" s="28" t="n">
        <f aca="false">SUMIFS(Inputs_Actuals!$E$39:$AB$39,Assumptions!$E$97:$AB$97,"A")</f>
        <v>6364.38</v>
      </c>
      <c r="F39" s="28" t="n">
        <f aca="false">SUMIFS(Inputs_Actuals!$E$40:$AB$40,Assumptions!$E$97:$AB$97,"A")</f>
        <v>14563.92</v>
      </c>
      <c r="G39" s="28" t="n">
        <f aca="false">SUM(B39:F39)</f>
        <v>207047.04</v>
      </c>
      <c r="H39" s="78" t="n">
        <f aca="false">IF(G39=0,0,B39/G39)</f>
        <v>0.166758723041875</v>
      </c>
    </row>
    <row r="40" customFormat="false" ht="15" hidden="false" customHeight="false" outlineLevel="0" collapsed="false">
      <c r="A40" s="0" t="s">
        <v>694</v>
      </c>
      <c r="B40" s="28" t="n">
        <f aca="false">SUMIFS(Inputs_Actuals!$E$45:$AB$45,Assumptions!$E$97:$AB$97,"A")</f>
        <v>5535.27</v>
      </c>
      <c r="C40" s="28" t="n">
        <f aca="false">SUMIFS(Inputs_Actuals!$E$46:$AB$46,Assumptions!$E$97:$AB$97,"A")</f>
        <v>16135.07</v>
      </c>
      <c r="D40" s="28" t="n">
        <f aca="false">SUMIFS(Inputs_Actuals!$E$47:$AB$47,Assumptions!$E$97:$AB$97,"A")</f>
        <v>7763.05</v>
      </c>
      <c r="E40" s="28" t="n">
        <f aca="false">SUMIFS(Inputs_Actuals!$E$48:$AB$48,Assumptions!$E$97:$AB$97,"A")</f>
        <v>1058.88</v>
      </c>
      <c r="F40" s="28" t="n">
        <f aca="false">SUMIFS(Inputs_Actuals!$E$49:$AB$49,Assumptions!$E$97:$AB$97,"A")</f>
        <v>2395.86</v>
      </c>
      <c r="G40" s="28" t="n">
        <f aca="false">SUM(B40:F40)</f>
        <v>32888.13</v>
      </c>
      <c r="H40" s="78" t="n">
        <f aca="false">IF(G40=0,0,B40/G40)</f>
        <v>0.168306011925883</v>
      </c>
    </row>
    <row r="41" customFormat="false" ht="15" hidden="false" customHeight="false" outlineLevel="0" collapsed="false">
      <c r="A41" s="0" t="s">
        <v>695</v>
      </c>
      <c r="B41" s="28" t="n">
        <f aca="false">SUMIFS(Inputs_Actuals!$E$54:$AB$54,Assumptions!$E$97:$AB$97,"A")</f>
        <v>51779.48</v>
      </c>
      <c r="C41" s="28" t="n">
        <f aca="false">SUMIFS(Inputs_Actuals!$E$55:$AB$55,Assumptions!$E$97:$AB$97,"A")</f>
        <v>220616.95</v>
      </c>
      <c r="D41" s="28" t="n">
        <f aca="false">SUMIFS(Inputs_Actuals!$E$56:$AB$56,Assumptions!$E$97:$AB$97,"A")</f>
        <v>94650.95</v>
      </c>
      <c r="E41" s="28" t="n">
        <f aca="false">SUMIFS(Inputs_Actuals!$E$57:$AB$57,Assumptions!$E$97:$AB$97,"A")</f>
        <v>12152.23</v>
      </c>
      <c r="F41" s="28" t="n">
        <f aca="false">SUMIFS(Inputs_Actuals!$E$58:$AB$58,Assumptions!$E$97:$AB$97,"A")</f>
        <v>20323.93</v>
      </c>
      <c r="G41" s="28" t="n">
        <f aca="false">SUM(B41:F41)</f>
        <v>399523.54</v>
      </c>
      <c r="H41" s="78" t="n">
        <f aca="false">IF(G41=0,0,B41/G41)</f>
        <v>0.129603076704817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1019</v>
      </c>
    </row>
    <row r="3" customFormat="false" ht="15" hidden="false" customHeight="false" outlineLevel="0" collapsed="false">
      <c r="A3" s="47" t="s">
        <v>1020</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1021</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1022</v>
      </c>
      <c r="B9" s="56" t="s">
        <v>46</v>
      </c>
      <c r="C9" s="57" t="n">
        <f aca="false">P9</f>
        <v>106279.069442647</v>
      </c>
      <c r="D9" s="57" t="n">
        <f aca="false">AB9</f>
        <v>91720.4924380466</v>
      </c>
      <c r="E9" s="58" t="n">
        <f aca="false">WIP!E657</f>
        <v>33848.6205</v>
      </c>
      <c r="F9" s="58" t="n">
        <f aca="false">WIP!F657</f>
        <v>40954.2335</v>
      </c>
      <c r="G9" s="58" t="n">
        <f aca="false">WIP!G657</f>
        <v>48497.613</v>
      </c>
      <c r="H9" s="58" t="n">
        <f aca="false">WIP!H657</f>
        <v>27766.7735</v>
      </c>
      <c r="I9" s="58" t="n">
        <f aca="false">WIP!I657</f>
        <v>33235.5975</v>
      </c>
      <c r="J9" s="58" t="n">
        <f aca="false">WIP!J657</f>
        <v>40210.7855</v>
      </c>
      <c r="K9" s="58" t="n">
        <f aca="false">WIP!K657</f>
        <v>50668.043</v>
      </c>
      <c r="L9" s="58" t="n">
        <f aca="false">WIP!L657</f>
        <v>65048.1697</v>
      </c>
      <c r="M9" s="58" t="n">
        <f aca="false">WIP!M657</f>
        <v>78761.6779545401</v>
      </c>
      <c r="N9" s="58" t="n">
        <f aca="false">WIP!N657</f>
        <v>98581.2258080907</v>
      </c>
      <c r="O9" s="58" t="n">
        <f aca="false">WIP!O657</f>
        <v>119313.767432725</v>
      </c>
      <c r="P9" s="58" t="n">
        <f aca="false">WIP!P657</f>
        <v>106279.069442647</v>
      </c>
      <c r="Q9" s="58" t="n">
        <f aca="false">WIP!Q657</f>
        <v>113056.018408787</v>
      </c>
      <c r="R9" s="58" t="n">
        <f aca="false">WIP!R657</f>
        <v>130187.530716961</v>
      </c>
      <c r="S9" s="58" t="n">
        <f aca="false">WIP!S657</f>
        <v>130523.24291088</v>
      </c>
      <c r="T9" s="58" t="n">
        <f aca="false">WIP!T657</f>
        <v>87765.46875</v>
      </c>
      <c r="U9" s="58" t="n">
        <f aca="false">WIP!U657</f>
        <v>93817.1940104167</v>
      </c>
      <c r="V9" s="58" t="n">
        <f aca="false">WIP!V657</f>
        <v>101927.708333333</v>
      </c>
      <c r="W9" s="58" t="n">
        <f aca="false">WIP!W657</f>
        <v>111624.22265625</v>
      </c>
      <c r="X9" s="58" t="n">
        <f aca="false">WIP!X657</f>
        <v>121857.947916667</v>
      </c>
      <c r="Y9" s="58" t="n">
        <f aca="false">WIP!Y657</f>
        <v>131419.651903395</v>
      </c>
      <c r="Z9" s="58" t="n">
        <f aca="false">WIP!Z657</f>
        <v>117032.445244169</v>
      </c>
      <c r="AA9" s="58" t="n">
        <f aca="false">WIP!AA657</f>
        <v>118319.976311953</v>
      </c>
      <c r="AB9" s="58" t="n">
        <f aca="false">WIP!AB657</f>
        <v>91720.4924380466</v>
      </c>
    </row>
    <row r="10" customFormat="false" ht="15" hidden="false" customHeight="false" outlineLevel="0" collapsed="false">
      <c r="A10" s="27" t="s">
        <v>1023</v>
      </c>
      <c r="B10" s="56" t="s">
        <v>46</v>
      </c>
      <c r="C10" s="57" t="n">
        <f aca="false">P10</f>
        <v>80472.7306333148</v>
      </c>
      <c r="D10" s="57" t="n">
        <f aca="false">AB10</f>
        <v>84447.625</v>
      </c>
      <c r="E10" s="58" t="n">
        <f aca="false">WIP!E682</f>
        <v>26041.123</v>
      </c>
      <c r="F10" s="58" t="n">
        <f aca="false">WIP!F682</f>
        <v>38391.1015</v>
      </c>
      <c r="G10" s="58" t="n">
        <f aca="false">WIP!G682</f>
        <v>47230.5755</v>
      </c>
      <c r="H10" s="58" t="n">
        <f aca="false">WIP!H682</f>
        <v>52994.407</v>
      </c>
      <c r="I10" s="58" t="n">
        <f aca="false">WIP!I682</f>
        <v>27725</v>
      </c>
      <c r="J10" s="58" t="n">
        <f aca="false">WIP!J682</f>
        <v>29392.3955</v>
      </c>
      <c r="K10" s="58" t="n">
        <f aca="false">WIP!K682</f>
        <v>34287.7235</v>
      </c>
      <c r="L10" s="58" t="n">
        <f aca="false">WIP!L682</f>
        <v>41906.3175</v>
      </c>
      <c r="M10" s="58" t="n">
        <f aca="false">WIP!M682</f>
        <v>50639.5531211111</v>
      </c>
      <c r="N10" s="58" t="n">
        <f aca="false">WIP!N682</f>
        <v>60967.4273919324</v>
      </c>
      <c r="O10" s="58" t="n">
        <f aca="false">WIP!O682</f>
        <v>71132.1628839205</v>
      </c>
      <c r="P10" s="58" t="n">
        <f aca="false">WIP!P682</f>
        <v>80472.7306333148</v>
      </c>
      <c r="Q10" s="58" t="n">
        <f aca="false">WIP!Q682</f>
        <v>88164.962897522</v>
      </c>
      <c r="R10" s="58" t="n">
        <f aca="false">WIP!R682</f>
        <v>93384.6919339482</v>
      </c>
      <c r="S10" s="58" t="n">
        <f aca="false">WIP!S682</f>
        <v>61516.375</v>
      </c>
      <c r="T10" s="58" t="n">
        <f aca="false">WIP!T682</f>
        <v>64534.2076474623</v>
      </c>
      <c r="U10" s="58" t="n">
        <f aca="false">WIP!U682</f>
        <v>44896.9991426612</v>
      </c>
      <c r="V10" s="58" t="n">
        <f aca="false">WIP!V682</f>
        <v>56606.1898148148</v>
      </c>
      <c r="W10" s="58" t="n">
        <f aca="false">WIP!W682</f>
        <v>70488.2199931413</v>
      </c>
      <c r="X10" s="58" t="n">
        <f aca="false">WIP!X682</f>
        <v>85094.5300068587</v>
      </c>
      <c r="Y10" s="58" t="n">
        <f aca="false">WIP!Y682</f>
        <v>98976.5601851852</v>
      </c>
      <c r="Z10" s="58" t="n">
        <f aca="false">WIP!Z682</f>
        <v>110685.750857339</v>
      </c>
      <c r="AA10" s="58" t="n">
        <f aca="false">WIP!AA682</f>
        <v>120604.011102538</v>
      </c>
      <c r="AB10" s="58" t="n">
        <f aca="false">WIP!AB682</f>
        <v>84447.625</v>
      </c>
    </row>
    <row r="11" customFormat="false" ht="15" hidden="false" customHeight="false" outlineLevel="0" collapsed="false">
      <c r="A11" s="67" t="s">
        <v>1024</v>
      </c>
      <c r="B11" s="68"/>
      <c r="C11" s="69" t="n">
        <f aca="false">P11</f>
        <v>186751.800075962</v>
      </c>
      <c r="D11" s="69" t="n">
        <f aca="false">AB11</f>
        <v>176168.117438047</v>
      </c>
      <c r="E11" s="69" t="n">
        <f aca="false">E9+E10</f>
        <v>59889.7435</v>
      </c>
      <c r="F11" s="69" t="n">
        <f aca="false">F9+F10</f>
        <v>79345.335</v>
      </c>
      <c r="G11" s="69" t="n">
        <f aca="false">G9+G10</f>
        <v>95728.1885</v>
      </c>
      <c r="H11" s="69" t="n">
        <f aca="false">H9+H10</f>
        <v>80761.1805</v>
      </c>
      <c r="I11" s="69" t="n">
        <f aca="false">I9+I10</f>
        <v>60960.5975</v>
      </c>
      <c r="J11" s="69" t="n">
        <f aca="false">J9+J10</f>
        <v>69603.181</v>
      </c>
      <c r="K11" s="69" t="n">
        <f aca="false">K9+K10</f>
        <v>84955.7665</v>
      </c>
      <c r="L11" s="69" t="n">
        <f aca="false">L9+L10</f>
        <v>106954.4872</v>
      </c>
      <c r="M11" s="69" t="n">
        <f aca="false">M9+M10</f>
        <v>129401.231075651</v>
      </c>
      <c r="N11" s="69" t="n">
        <f aca="false">N9+N10</f>
        <v>159548.653200023</v>
      </c>
      <c r="O11" s="69" t="n">
        <f aca="false">O9+O10</f>
        <v>190445.930316646</v>
      </c>
      <c r="P11" s="69" t="n">
        <f aca="false">P9+P10</f>
        <v>186751.800075962</v>
      </c>
      <c r="Q11" s="69" t="n">
        <f aca="false">Q9+Q10</f>
        <v>201220.981306309</v>
      </c>
      <c r="R11" s="69" t="n">
        <f aca="false">R9+R10</f>
        <v>223572.222650909</v>
      </c>
      <c r="S11" s="69" t="n">
        <f aca="false">S9+S10</f>
        <v>192039.61791088</v>
      </c>
      <c r="T11" s="69" t="n">
        <f aca="false">T9+T10</f>
        <v>152299.676397462</v>
      </c>
      <c r="U11" s="69" t="n">
        <f aca="false">U9+U10</f>
        <v>138714.193153078</v>
      </c>
      <c r="V11" s="69" t="n">
        <f aca="false">V9+V10</f>
        <v>158533.898148148</v>
      </c>
      <c r="W11" s="69" t="n">
        <f aca="false">W9+W10</f>
        <v>182112.442649391</v>
      </c>
      <c r="X11" s="69" t="n">
        <f aca="false">X9+X10</f>
        <v>206952.477923525</v>
      </c>
      <c r="Y11" s="69" t="n">
        <f aca="false">Y9+Y10</f>
        <v>230396.21208858</v>
      </c>
      <c r="Z11" s="69" t="n">
        <f aca="false">Z9+Z10</f>
        <v>227718.196101508</v>
      </c>
      <c r="AA11" s="69" t="n">
        <f aca="false">AA9+AA10</f>
        <v>238923.987414491</v>
      </c>
      <c r="AB11" s="69" t="n">
        <f aca="false">AB9+AB10</f>
        <v>176168.117438047</v>
      </c>
    </row>
    <row r="12" customFormat="false" ht="15" hidden="false" customHeight="false" outlineLevel="0" collapsed="false">
      <c r="A12" s="27" t="s">
        <v>756</v>
      </c>
      <c r="B12" s="56" t="s">
        <v>46</v>
      </c>
      <c r="C12" s="57" t="n">
        <f aca="false">SUM(E12:P12)</f>
        <v>145066.028575962</v>
      </c>
      <c r="D12" s="57" t="n">
        <f aca="false">SUM(Q12:AB12)</f>
        <v>-10583.6826379151</v>
      </c>
      <c r="E12" s="58" t="n">
        <f aca="false">WIP!E708</f>
        <v>18203.972</v>
      </c>
      <c r="F12" s="58" t="n">
        <f aca="false">WIP!F708</f>
        <v>19455.5915</v>
      </c>
      <c r="G12" s="58" t="n">
        <f aca="false">WIP!G708</f>
        <v>16382.8535</v>
      </c>
      <c r="H12" s="58" t="n">
        <f aca="false">WIP!H708</f>
        <v>-14967.008</v>
      </c>
      <c r="I12" s="58" t="n">
        <f aca="false">WIP!I708</f>
        <v>-19800.583</v>
      </c>
      <c r="J12" s="58" t="n">
        <f aca="false">WIP!J708</f>
        <v>8642.5835</v>
      </c>
      <c r="K12" s="58" t="n">
        <f aca="false">WIP!K708</f>
        <v>15352.5855</v>
      </c>
      <c r="L12" s="58" t="n">
        <f aca="false">WIP!L708</f>
        <v>21998.7207</v>
      </c>
      <c r="M12" s="58" t="n">
        <f aca="false">WIP!M708</f>
        <v>22446.7438756512</v>
      </c>
      <c r="N12" s="58" t="n">
        <f aca="false">WIP!N708</f>
        <v>30147.4221243719</v>
      </c>
      <c r="O12" s="58" t="n">
        <f aca="false">WIP!O708</f>
        <v>30897.2771166226</v>
      </c>
      <c r="P12" s="58" t="n">
        <f aca="false">WIP!P708</f>
        <v>-3694.13024068399</v>
      </c>
      <c r="Q12" s="58" t="n">
        <f aca="false">WIP!Q708</f>
        <v>14469.1812303469</v>
      </c>
      <c r="R12" s="58" t="n">
        <f aca="false">WIP!R708</f>
        <v>22351.2413446005</v>
      </c>
      <c r="S12" s="58" t="n">
        <f aca="false">WIP!S708</f>
        <v>-31532.6047400296</v>
      </c>
      <c r="T12" s="58" t="n">
        <f aca="false">WIP!T708</f>
        <v>-39739.9415134174</v>
      </c>
      <c r="U12" s="58" t="n">
        <f aca="false">WIP!U708</f>
        <v>-13585.4832443844</v>
      </c>
      <c r="V12" s="58" t="n">
        <f aca="false">WIP!V708</f>
        <v>19819.7049950703</v>
      </c>
      <c r="W12" s="58" t="n">
        <f aca="false">WIP!W708</f>
        <v>23578.5445012431</v>
      </c>
      <c r="X12" s="58" t="n">
        <f aca="false">WIP!X708</f>
        <v>24840.0352741341</v>
      </c>
      <c r="Y12" s="58" t="n">
        <f aca="false">WIP!Y708</f>
        <v>23443.7341650551</v>
      </c>
      <c r="Z12" s="58" t="n">
        <f aca="false">WIP!Z708</f>
        <v>-2678.01598707257</v>
      </c>
      <c r="AA12" s="58" t="n">
        <f aca="false">WIP!AA708</f>
        <v>11205.7913129832</v>
      </c>
      <c r="AB12" s="58" t="n">
        <f aca="false">WIP!AB708</f>
        <v>-62755.8699764445</v>
      </c>
    </row>
    <row r="13" customFormat="false" ht="15" hidden="false" customHeight="false" outlineLevel="0" collapsed="false">
      <c r="A13" s="67" t="s">
        <v>1025</v>
      </c>
      <c r="B13" s="68" t="s">
        <v>46</v>
      </c>
      <c r="C13" s="69" t="n">
        <f aca="false">P13</f>
        <v>101607.393348179</v>
      </c>
      <c r="D13" s="69" t="n">
        <f aca="false">AB13</f>
        <v>93286.5735154373</v>
      </c>
      <c r="E13" s="74" t="n">
        <f aca="false">WIP!E709</f>
        <v>35307.1965</v>
      </c>
      <c r="F13" s="74" t="n">
        <f aca="false">WIP!F709</f>
        <v>42257.5025</v>
      </c>
      <c r="G13" s="74" t="n">
        <f aca="false">WIP!G709</f>
        <v>46736.3405</v>
      </c>
      <c r="H13" s="74" t="n">
        <f aca="false">WIP!H709</f>
        <v>39731.0295</v>
      </c>
      <c r="I13" s="74" t="n">
        <f aca="false">WIP!I709</f>
        <v>30987.578</v>
      </c>
      <c r="J13" s="74" t="n">
        <f aca="false">WIP!J709</f>
        <v>38466.992</v>
      </c>
      <c r="K13" s="74" t="n">
        <f aca="false">WIP!K709</f>
        <v>49491.122</v>
      </c>
      <c r="L13" s="74" t="n">
        <f aca="false">WIP!L709</f>
        <v>61484.1515</v>
      </c>
      <c r="M13" s="74" t="n">
        <f aca="false">WIP!M709</f>
        <v>76097.2131726863</v>
      </c>
      <c r="N13" s="74" t="n">
        <f aca="false">WIP!N709</f>
        <v>90951.2486680909</v>
      </c>
      <c r="O13" s="74" t="n">
        <f aca="false">WIP!O709</f>
        <v>104472.860599613</v>
      </c>
      <c r="P13" s="74" t="n">
        <f aca="false">WIP!P709</f>
        <v>101607.393348179</v>
      </c>
      <c r="Q13" s="74" t="n">
        <f aca="false">WIP!Q709</f>
        <v>108063.131794136</v>
      </c>
      <c r="R13" s="74" t="n">
        <f aca="false">WIP!R709</f>
        <v>115726.718525833</v>
      </c>
      <c r="S13" s="74" t="n">
        <f aca="false">WIP!S709</f>
        <v>94680.1895680864</v>
      </c>
      <c r="T13" s="74" t="n">
        <f aca="false">WIP!T709</f>
        <v>80100.7155804321</v>
      </c>
      <c r="U13" s="74" t="n">
        <f aca="false">WIP!U709</f>
        <v>76897.0374075926</v>
      </c>
      <c r="V13" s="74" t="n">
        <f aca="false">WIP!V709</f>
        <v>88737.4215125309</v>
      </c>
      <c r="W13" s="74" t="n">
        <f aca="false">WIP!W709</f>
        <v>101166.22135821</v>
      </c>
      <c r="X13" s="74" t="n">
        <f aca="false">WIP!X709</f>
        <v>112760.341671441</v>
      </c>
      <c r="Y13" s="74" t="n">
        <f aca="false">WIP!Y709</f>
        <v>122204.41953258</v>
      </c>
      <c r="Z13" s="74" t="n">
        <f aca="false">WIP!Z709</f>
        <v>118697.83578531</v>
      </c>
      <c r="AA13" s="74" t="n">
        <f aca="false">WIP!AA709</f>
        <v>123508.979794729</v>
      </c>
      <c r="AB13" s="74" t="n">
        <f aca="false">WIP!AB709</f>
        <v>93286.5735154373</v>
      </c>
    </row>
    <row r="14" customFormat="false" ht="15" hidden="false" customHeight="false" outlineLevel="0" collapsed="false">
      <c r="A14" s="21" t="s">
        <v>1026</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row>
    <row r="15" customFormat="false" ht="15" hidden="false" customHeight="false" outlineLevel="0" collapsed="false">
      <c r="A15" s="27" t="s">
        <v>1027</v>
      </c>
      <c r="B15" s="56" t="s">
        <v>1028</v>
      </c>
      <c r="C15" s="57" t="n">
        <f aca="false">P15</f>
        <v>0</v>
      </c>
      <c r="D15" s="57" t="n">
        <f aca="false">AB15</f>
        <v>0</v>
      </c>
      <c r="E15" s="58" t="n">
        <f aca="false">Inputs_Actuals!$C$126-IF(Assumptions!E$95=Assumptions!$C$92,Inputs_Actuals!$C$126,0)</f>
        <v>19000</v>
      </c>
      <c r="F15" s="58" t="n">
        <f aca="false">E15-IF(Assumptions!F$95=Assumptions!$C$92,E15,0)</f>
        <v>19000</v>
      </c>
      <c r="G15" s="58" t="n">
        <f aca="false">F15-IF(Assumptions!G$95=Assumptions!$C$92,F15,0)</f>
        <v>19000</v>
      </c>
      <c r="H15" s="58" t="n">
        <f aca="false">G15-IF(Assumptions!H$95=Assumptions!$C$92,G15,0)</f>
        <v>19000</v>
      </c>
      <c r="I15" s="58" t="n">
        <f aca="false">H15-IF(Assumptions!I$95=Assumptions!$C$92,H15,0)</f>
        <v>19000</v>
      </c>
      <c r="J15" s="58" t="n">
        <f aca="false">I15-IF(Assumptions!J$95=Assumptions!$C$92,I15,0)</f>
        <v>19000</v>
      </c>
      <c r="K15" s="58" t="n">
        <f aca="false">J15-IF(Assumptions!K$95=Assumptions!$C$92,J15,0)</f>
        <v>19000</v>
      </c>
      <c r="L15" s="58" t="n">
        <f aca="false">K15-IF(Assumptions!L$95=Assumptions!$C$92,K15,0)</f>
        <v>19000</v>
      </c>
      <c r="M15" s="58" t="n">
        <f aca="false">L15-IF(Assumptions!M$95=Assumptions!$C$92,L15,0)</f>
        <v>19000</v>
      </c>
      <c r="N15" s="58" t="n">
        <f aca="false">M15-IF(Assumptions!N$95=Assumptions!$C$92,M15,0)</f>
        <v>19000</v>
      </c>
      <c r="O15" s="58" t="n">
        <f aca="false">N15-IF(Assumptions!O$95=Assumptions!$C$92,N15,0)</f>
        <v>19000</v>
      </c>
      <c r="P15" s="58" t="n">
        <f aca="false">O15-IF(Assumptions!P$95=Assumptions!$C$92,O15,0)</f>
        <v>0</v>
      </c>
      <c r="Q15" s="58" t="n">
        <f aca="false">P15-IF(Assumptions!Q$95=Assumptions!$C$92,P15,0)</f>
        <v>0</v>
      </c>
      <c r="R15" s="58" t="n">
        <f aca="false">Q15-IF(Assumptions!R$95=Assumptions!$C$92,Q15,0)</f>
        <v>0</v>
      </c>
      <c r="S15" s="58" t="n">
        <f aca="false">R15-IF(Assumptions!S$95=Assumptions!$C$92,R15,0)</f>
        <v>0</v>
      </c>
      <c r="T15" s="58" t="n">
        <f aca="false">S15-IF(Assumptions!T$95=Assumptions!$C$92,S15,0)</f>
        <v>0</v>
      </c>
      <c r="U15" s="58" t="n">
        <f aca="false">T15-IF(Assumptions!U$95=Assumptions!$C$92,T15,0)</f>
        <v>0</v>
      </c>
      <c r="V15" s="58" t="n">
        <f aca="false">U15-IF(Assumptions!V$95=Assumptions!$C$92,U15,0)</f>
        <v>0</v>
      </c>
      <c r="W15" s="58" t="n">
        <f aca="false">V15-IF(Assumptions!W$95=Assumptions!$C$92,V15,0)</f>
        <v>0</v>
      </c>
      <c r="X15" s="58" t="n">
        <f aca="false">W15-IF(Assumptions!X$95=Assumptions!$C$92,W15,0)</f>
        <v>0</v>
      </c>
      <c r="Y15" s="58" t="n">
        <f aca="false">X15-IF(Assumptions!Y$95=Assumptions!$C$92,X15,0)</f>
        <v>0</v>
      </c>
      <c r="Z15" s="58" t="n">
        <f aca="false">Y15-IF(Assumptions!Z$95=Assumptions!$C$92,Y15,0)</f>
        <v>0</v>
      </c>
      <c r="AA15" s="58" t="n">
        <f aca="false">Z15-IF(Assumptions!AA$95=Assumptions!$C$92,Z15,0)</f>
        <v>0</v>
      </c>
      <c r="AB15" s="58" t="n">
        <f aca="false">AA15-IF(Assumptions!AB$95=Assumptions!$C$92,AA15,0)</f>
        <v>0</v>
      </c>
    </row>
    <row r="16" customFormat="false" ht="15" hidden="false" customHeight="false" outlineLevel="0" collapsed="false">
      <c r="A16" s="27" t="s">
        <v>761</v>
      </c>
      <c r="B16" s="56"/>
      <c r="C16" s="57" t="n">
        <f aca="false">SUM(E16:P16)</f>
        <v>21565</v>
      </c>
      <c r="D16" s="57" t="n">
        <f aca="false">SUM(Q16:AB16)</f>
        <v>0</v>
      </c>
      <c r="E16" s="58" t="n">
        <f aca="false">IF(Assumptions!E$95=Assumptions!$C$92,Inputs_Actuals!$C$126*(1+Assumptions!$C$23),0)</f>
        <v>0</v>
      </c>
      <c r="F16" s="58" t="n">
        <f aca="false">IF(Assumptions!F$95=Assumptions!$C$92,E15*(1+Assumptions!$C$23),0)</f>
        <v>0</v>
      </c>
      <c r="G16" s="58" t="n">
        <f aca="false">IF(Assumptions!G$95=Assumptions!$C$92,F15*(1+Assumptions!$C$23),0)</f>
        <v>0</v>
      </c>
      <c r="H16" s="58" t="n">
        <f aca="false">IF(Assumptions!H$95=Assumptions!$C$92,G15*(1+Assumptions!$C$23),0)</f>
        <v>0</v>
      </c>
      <c r="I16" s="58" t="n">
        <f aca="false">IF(Assumptions!I$95=Assumptions!$C$92,H15*(1+Assumptions!$C$23),0)</f>
        <v>0</v>
      </c>
      <c r="J16" s="58" t="n">
        <f aca="false">IF(Assumptions!J$95=Assumptions!$C$92,I15*(1+Assumptions!$C$23),0)</f>
        <v>0</v>
      </c>
      <c r="K16" s="58" t="n">
        <f aca="false">IF(Assumptions!K$95=Assumptions!$C$92,J15*(1+Assumptions!$C$23),0)</f>
        <v>0</v>
      </c>
      <c r="L16" s="58" t="n">
        <f aca="false">IF(Assumptions!L$95=Assumptions!$C$92,K15*(1+Assumptions!$C$23),0)</f>
        <v>0</v>
      </c>
      <c r="M16" s="58" t="n">
        <f aca="false">IF(Assumptions!M$95=Assumptions!$C$92,L15*(1+Assumptions!$C$23),0)</f>
        <v>0</v>
      </c>
      <c r="N16" s="58" t="n">
        <f aca="false">IF(Assumptions!N$95=Assumptions!$C$92,M15*(1+Assumptions!$C$23),0)</f>
        <v>0</v>
      </c>
      <c r="O16" s="58" t="n">
        <f aca="false">IF(Assumptions!O$95=Assumptions!$C$92,N15*(1+Assumptions!$C$23),0)</f>
        <v>0</v>
      </c>
      <c r="P16" s="58" t="n">
        <f aca="false">IF(Assumptions!P$95=Assumptions!$C$92,O15*(1+Assumptions!$C$23),0)</f>
        <v>21565</v>
      </c>
      <c r="Q16" s="58" t="n">
        <f aca="false">IF(Assumptions!Q$95=Assumptions!$C$92,P15*(1+Assumptions!$C$23),0)</f>
        <v>0</v>
      </c>
      <c r="R16" s="58" t="n">
        <f aca="false">IF(Assumptions!R$95=Assumptions!$C$92,Q15*(1+Assumptions!$C$23),0)</f>
        <v>0</v>
      </c>
      <c r="S16" s="58" t="n">
        <f aca="false">IF(Assumptions!S$95=Assumptions!$C$92,R15*(1+Assumptions!$C$23),0)</f>
        <v>0</v>
      </c>
      <c r="T16" s="58" t="n">
        <f aca="false">IF(Assumptions!T$95=Assumptions!$C$92,S15*(1+Assumptions!$C$23),0)</f>
        <v>0</v>
      </c>
      <c r="U16" s="58" t="n">
        <f aca="false">IF(Assumptions!U$95=Assumptions!$C$92,T15*(1+Assumptions!$C$23),0)</f>
        <v>0</v>
      </c>
      <c r="V16" s="58" t="n">
        <f aca="false">IF(Assumptions!V$95=Assumptions!$C$92,U15*(1+Assumptions!$C$23),0)</f>
        <v>0</v>
      </c>
      <c r="W16" s="58" t="n">
        <f aca="false">IF(Assumptions!W$95=Assumptions!$C$92,V15*(1+Assumptions!$C$23),0)</f>
        <v>0</v>
      </c>
      <c r="X16" s="58" t="n">
        <f aca="false">IF(Assumptions!X$95=Assumptions!$C$92,W15*(1+Assumptions!$C$23),0)</f>
        <v>0</v>
      </c>
      <c r="Y16" s="58" t="n">
        <f aca="false">IF(Assumptions!Y$95=Assumptions!$C$92,X15*(1+Assumptions!$C$23),0)</f>
        <v>0</v>
      </c>
      <c r="Z16" s="58" t="n">
        <f aca="false">IF(Assumptions!Z$95=Assumptions!$C$92,Y15*(1+Assumptions!$C$23),0)</f>
        <v>0</v>
      </c>
      <c r="AA16" s="58" t="n">
        <f aca="false">IF(Assumptions!AA$95=Assumptions!$C$92,Z15*(1+Assumptions!$C$23),0)</f>
        <v>0</v>
      </c>
      <c r="AB16" s="58" t="n">
        <f aca="false">IF(Assumptions!AB$95=Assumptions!$C$92,AA15*(1+Assumptions!$C$23),0)</f>
        <v>0</v>
      </c>
    </row>
    <row r="17" customFormat="false" ht="15" hidden="false" customHeight="false" outlineLevel="0" collapsed="false">
      <c r="A17" s="27" t="s">
        <v>1029</v>
      </c>
      <c r="B17" s="56"/>
      <c r="C17" s="57" t="n">
        <f aca="false">SUM(E17:P17)</f>
        <v>2565</v>
      </c>
      <c r="D17" s="57" t="n">
        <f aca="false">SUM(Q17:AB17)</f>
        <v>0</v>
      </c>
      <c r="E17" s="58" t="n">
        <f aca="false">IF(Assumptions!E$95=Assumptions!$C$92,Inputs_Actuals!$C$126*Assumptions!$C$23,0)</f>
        <v>0</v>
      </c>
      <c r="F17" s="58" t="n">
        <f aca="false">IF(Assumptions!F$95=Assumptions!$C$92,E15*Assumptions!$C$23,0)</f>
        <v>0</v>
      </c>
      <c r="G17" s="58" t="n">
        <f aca="false">IF(Assumptions!G$95=Assumptions!$C$92,F15*Assumptions!$C$23,0)</f>
        <v>0</v>
      </c>
      <c r="H17" s="58" t="n">
        <f aca="false">IF(Assumptions!H$95=Assumptions!$C$92,G15*Assumptions!$C$23,0)</f>
        <v>0</v>
      </c>
      <c r="I17" s="58" t="n">
        <f aca="false">IF(Assumptions!I$95=Assumptions!$C$92,H15*Assumptions!$C$23,0)</f>
        <v>0</v>
      </c>
      <c r="J17" s="58" t="n">
        <f aca="false">IF(Assumptions!J$95=Assumptions!$C$92,I15*Assumptions!$C$23,0)</f>
        <v>0</v>
      </c>
      <c r="K17" s="58" t="n">
        <f aca="false">IF(Assumptions!K$95=Assumptions!$C$92,J15*Assumptions!$C$23,0)</f>
        <v>0</v>
      </c>
      <c r="L17" s="58" t="n">
        <f aca="false">IF(Assumptions!L$95=Assumptions!$C$92,K15*Assumptions!$C$23,0)</f>
        <v>0</v>
      </c>
      <c r="M17" s="58" t="n">
        <f aca="false">IF(Assumptions!M$95=Assumptions!$C$92,L15*Assumptions!$C$23,0)</f>
        <v>0</v>
      </c>
      <c r="N17" s="58" t="n">
        <f aca="false">IF(Assumptions!N$95=Assumptions!$C$92,M15*Assumptions!$C$23,0)</f>
        <v>0</v>
      </c>
      <c r="O17" s="58" t="n">
        <f aca="false">IF(Assumptions!O$95=Assumptions!$C$92,N15*Assumptions!$C$23,0)</f>
        <v>0</v>
      </c>
      <c r="P17" s="58" t="n">
        <f aca="false">IF(Assumptions!P$95=Assumptions!$C$92,O15*Assumptions!$C$23,0)</f>
        <v>2565</v>
      </c>
      <c r="Q17" s="58" t="n">
        <f aca="false">IF(Assumptions!Q$95=Assumptions!$C$92,P15*Assumptions!$C$23,0)</f>
        <v>0</v>
      </c>
      <c r="R17" s="58" t="n">
        <f aca="false">IF(Assumptions!R$95=Assumptions!$C$92,Q15*Assumptions!$C$23,0)</f>
        <v>0</v>
      </c>
      <c r="S17" s="58" t="n">
        <f aca="false">IF(Assumptions!S$95=Assumptions!$C$92,R15*Assumptions!$C$23,0)</f>
        <v>0</v>
      </c>
      <c r="T17" s="58" t="n">
        <f aca="false">IF(Assumptions!T$95=Assumptions!$C$92,S15*Assumptions!$C$23,0)</f>
        <v>0</v>
      </c>
      <c r="U17" s="58" t="n">
        <f aca="false">IF(Assumptions!U$95=Assumptions!$C$92,T15*Assumptions!$C$23,0)</f>
        <v>0</v>
      </c>
      <c r="V17" s="58" t="n">
        <f aca="false">IF(Assumptions!V$95=Assumptions!$C$92,U15*Assumptions!$C$23,0)</f>
        <v>0</v>
      </c>
      <c r="W17" s="58" t="n">
        <f aca="false">IF(Assumptions!W$95=Assumptions!$C$92,V15*Assumptions!$C$23,0)</f>
        <v>0</v>
      </c>
      <c r="X17" s="58" t="n">
        <f aca="false">IF(Assumptions!X$95=Assumptions!$C$92,W15*Assumptions!$C$23,0)</f>
        <v>0</v>
      </c>
      <c r="Y17" s="58" t="n">
        <f aca="false">IF(Assumptions!Y$95=Assumptions!$C$92,X15*Assumptions!$C$23,0)</f>
        <v>0</v>
      </c>
      <c r="Z17" s="58" t="n">
        <f aca="false">IF(Assumptions!Z$95=Assumptions!$C$92,Y15*Assumptions!$C$23,0)</f>
        <v>0</v>
      </c>
      <c r="AA17" s="58" t="n">
        <f aca="false">IF(Assumptions!AA$95=Assumptions!$C$92,Z15*Assumptions!$C$23,0)</f>
        <v>0</v>
      </c>
      <c r="AB17" s="58" t="n">
        <f aca="false">IF(Assumptions!AB$95=Assumptions!$C$92,AA15*Assumptions!$C$23,0)</f>
        <v>0</v>
      </c>
    </row>
    <row r="18" customFormat="false" ht="15" hidden="false" customHeight="false" outlineLevel="0" collapsed="false">
      <c r="A18" s="21" t="s">
        <v>1030</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row>
    <row r="19" customFormat="false" ht="15" hidden="false" customHeight="false" outlineLevel="0" collapsed="false">
      <c r="A19" s="27" t="s">
        <v>1031</v>
      </c>
      <c r="B19" s="56" t="s">
        <v>1032</v>
      </c>
      <c r="C19" s="57" t="n">
        <f aca="false">P19</f>
        <v>0</v>
      </c>
      <c r="D19" s="57" t="n">
        <f aca="false">AB19</f>
        <v>0</v>
      </c>
      <c r="E19" s="58" t="n">
        <f aca="false">Inputs_Actuals!$C$127-IF(Assumptions!E$95=Assumptions!$F$129,Inputs_Actuals!$C$127,0)</f>
        <v>38000</v>
      </c>
      <c r="F19" s="58" t="n">
        <f aca="false">E19-IF(Assumptions!F$95=Assumptions!$F$129,E19,0)</f>
        <v>38000</v>
      </c>
      <c r="G19" s="58" t="n">
        <f aca="false">F19-IF(Assumptions!G$95=Assumptions!$F$129,F19,0)</f>
        <v>38000</v>
      </c>
      <c r="H19" s="58" t="n">
        <f aca="false">G19-IF(Assumptions!H$95=Assumptions!$F$129,G19,0)</f>
        <v>38000</v>
      </c>
      <c r="I19" s="58" t="n">
        <f aca="false">H19-IF(Assumptions!I$95=Assumptions!$F$129,H19,0)</f>
        <v>38000</v>
      </c>
      <c r="J19" s="58" t="n">
        <f aca="false">I19-IF(Assumptions!J$95=Assumptions!$F$129,I19,0)</f>
        <v>38000</v>
      </c>
      <c r="K19" s="58" t="n">
        <f aca="false">J19-IF(Assumptions!K$95=Assumptions!$F$129,J19,0)</f>
        <v>38000</v>
      </c>
      <c r="L19" s="58" t="n">
        <f aca="false">K19-IF(Assumptions!L$95=Assumptions!$F$129,K19,0)</f>
        <v>38000</v>
      </c>
      <c r="M19" s="58" t="n">
        <f aca="false">L19-IF(Assumptions!M$95=Assumptions!$F$129,L19,0)</f>
        <v>38000</v>
      </c>
      <c r="N19" s="58" t="n">
        <f aca="false">M19-IF(Assumptions!N$95=Assumptions!$F$129,M19,0)</f>
        <v>38000</v>
      </c>
      <c r="O19" s="58" t="n">
        <f aca="false">N19-IF(Assumptions!O$95=Assumptions!$F$129,N19,0)</f>
        <v>0</v>
      </c>
      <c r="P19" s="58" t="n">
        <f aca="false">O19-IF(Assumptions!P$95=Assumptions!$F$129,O19,0)</f>
        <v>0</v>
      </c>
      <c r="Q19" s="58" t="n">
        <f aca="false">P19-IF(Assumptions!Q$95=Assumptions!$F$129,P19,0)</f>
        <v>0</v>
      </c>
      <c r="R19" s="58" t="n">
        <f aca="false">Q19-IF(Assumptions!R$95=Assumptions!$F$129,Q19,0)</f>
        <v>0</v>
      </c>
      <c r="S19" s="58" t="n">
        <f aca="false">R19-IF(Assumptions!S$95=Assumptions!$F$129,R19,0)</f>
        <v>0</v>
      </c>
      <c r="T19" s="58" t="n">
        <f aca="false">S19-IF(Assumptions!T$95=Assumptions!$F$129,S19,0)</f>
        <v>0</v>
      </c>
      <c r="U19" s="58" t="n">
        <f aca="false">T19-IF(Assumptions!U$95=Assumptions!$F$129,T19,0)</f>
        <v>0</v>
      </c>
      <c r="V19" s="58" t="n">
        <f aca="false">U19-IF(Assumptions!V$95=Assumptions!$F$129,U19,0)</f>
        <v>0</v>
      </c>
      <c r="W19" s="58" t="n">
        <f aca="false">V19-IF(Assumptions!W$95=Assumptions!$F$129,V19,0)</f>
        <v>0</v>
      </c>
      <c r="X19" s="58" t="n">
        <f aca="false">W19-IF(Assumptions!X$95=Assumptions!$F$129,W19,0)</f>
        <v>0</v>
      </c>
      <c r="Y19" s="58" t="n">
        <f aca="false">X19-IF(Assumptions!Y$95=Assumptions!$F$129,X19,0)</f>
        <v>0</v>
      </c>
      <c r="Z19" s="58" t="n">
        <f aca="false">Y19-IF(Assumptions!Z$95=Assumptions!$F$129,Y19,0)</f>
        <v>0</v>
      </c>
      <c r="AA19" s="58" t="n">
        <f aca="false">Z19-IF(Assumptions!AA$95=Assumptions!$F$129,Z19,0)</f>
        <v>0</v>
      </c>
      <c r="AB19" s="58" t="n">
        <f aca="false">AA19-IF(Assumptions!AB$95=Assumptions!$F$129,AA19,0)</f>
        <v>0</v>
      </c>
    </row>
    <row r="20" customFormat="false" ht="15" hidden="false" customHeight="false" outlineLevel="0" collapsed="false">
      <c r="A20" s="27" t="s">
        <v>1033</v>
      </c>
      <c r="B20" s="56" t="s">
        <v>1034</v>
      </c>
      <c r="C20" s="57" t="n">
        <f aca="false">SUM(E20:P20)</f>
        <v>28500</v>
      </c>
      <c r="D20" s="57" t="n">
        <f aca="false">SUM(Q20:AB20)</f>
        <v>0</v>
      </c>
      <c r="E20" s="58" t="n">
        <f aca="false">IF(Assumptions!E$95=Assumptions!$F$129,Assumptions!$F$128*Inputs_Actuals!$C$127,0)</f>
        <v>0</v>
      </c>
      <c r="F20" s="58" t="n">
        <f aca="false">IF(Assumptions!F$95=Assumptions!$F$129,Assumptions!$F$128*E19,0)</f>
        <v>0</v>
      </c>
      <c r="G20" s="58" t="n">
        <f aca="false">IF(Assumptions!G$95=Assumptions!$F$129,Assumptions!$F$128*F19,0)</f>
        <v>0</v>
      </c>
      <c r="H20" s="58" t="n">
        <f aca="false">IF(Assumptions!H$95=Assumptions!$F$129,Assumptions!$F$128*G19,0)</f>
        <v>0</v>
      </c>
      <c r="I20" s="58" t="n">
        <f aca="false">IF(Assumptions!I$95=Assumptions!$F$129,Assumptions!$F$128*H19,0)</f>
        <v>0</v>
      </c>
      <c r="J20" s="58" t="n">
        <f aca="false">IF(Assumptions!J$95=Assumptions!$F$129,Assumptions!$F$128*I19,0)</f>
        <v>0</v>
      </c>
      <c r="K20" s="58" t="n">
        <f aca="false">IF(Assumptions!K$95=Assumptions!$F$129,Assumptions!$F$128*J19,0)</f>
        <v>0</v>
      </c>
      <c r="L20" s="58" t="n">
        <f aca="false">IF(Assumptions!L$95=Assumptions!$F$129,Assumptions!$F$128*K19,0)</f>
        <v>0</v>
      </c>
      <c r="M20" s="58" t="n">
        <f aca="false">IF(Assumptions!M$95=Assumptions!$F$129,Assumptions!$F$128*L19,0)</f>
        <v>0</v>
      </c>
      <c r="N20" s="58" t="n">
        <f aca="false">IF(Assumptions!N$95=Assumptions!$F$129,Assumptions!$F$128*M19,0)</f>
        <v>0</v>
      </c>
      <c r="O20" s="58" t="n">
        <f aca="false">IF(Assumptions!O$95=Assumptions!$F$129,Assumptions!$F$128*N19,0)</f>
        <v>28500</v>
      </c>
      <c r="P20" s="58" t="n">
        <f aca="false">IF(Assumptions!P$95=Assumptions!$F$129,Assumptions!$F$128*O19,0)</f>
        <v>0</v>
      </c>
      <c r="Q20" s="58" t="n">
        <f aca="false">IF(Assumptions!Q$95=Assumptions!$F$129,Assumptions!$F$128*P19,0)</f>
        <v>0</v>
      </c>
      <c r="R20" s="58" t="n">
        <f aca="false">IF(Assumptions!R$95=Assumptions!$F$129,Assumptions!$F$128*Q19,0)</f>
        <v>0</v>
      </c>
      <c r="S20" s="58" t="n">
        <f aca="false">IF(Assumptions!S$95=Assumptions!$F$129,Assumptions!$F$128*R19,0)</f>
        <v>0</v>
      </c>
      <c r="T20" s="58" t="n">
        <f aca="false">IF(Assumptions!T$95=Assumptions!$F$129,Assumptions!$F$128*S19,0)</f>
        <v>0</v>
      </c>
      <c r="U20" s="58" t="n">
        <f aca="false">IF(Assumptions!U$95=Assumptions!$F$129,Assumptions!$F$128*T19,0)</f>
        <v>0</v>
      </c>
      <c r="V20" s="58" t="n">
        <f aca="false">IF(Assumptions!V$95=Assumptions!$F$129,Assumptions!$F$128*U19,0)</f>
        <v>0</v>
      </c>
      <c r="W20" s="58" t="n">
        <f aca="false">IF(Assumptions!W$95=Assumptions!$F$129,Assumptions!$F$128*V19,0)</f>
        <v>0</v>
      </c>
      <c r="X20" s="58" t="n">
        <f aca="false">IF(Assumptions!X$95=Assumptions!$F$129,Assumptions!$F$128*W19,0)</f>
        <v>0</v>
      </c>
      <c r="Y20" s="58" t="n">
        <f aca="false">IF(Assumptions!Y$95=Assumptions!$F$129,Assumptions!$F$128*X19,0)</f>
        <v>0</v>
      </c>
      <c r="Z20" s="58" t="n">
        <f aca="false">IF(Assumptions!Z$95=Assumptions!$F$129,Assumptions!$F$128*Y19,0)</f>
        <v>0</v>
      </c>
      <c r="AA20" s="58" t="n">
        <f aca="false">IF(Assumptions!AA$95=Assumptions!$F$129,Assumptions!$F$128*Z19,0)</f>
        <v>0</v>
      </c>
      <c r="AB20" s="58" t="n">
        <f aca="false">IF(Assumptions!AB$95=Assumptions!$F$129,Assumptions!$F$128*AA19,0)</f>
        <v>0</v>
      </c>
    </row>
    <row r="21" customFormat="false" ht="15" hidden="false" customHeight="false" outlineLevel="0" collapsed="false">
      <c r="A21" s="27" t="s">
        <v>761</v>
      </c>
      <c r="B21" s="56"/>
      <c r="C21" s="57" t="n">
        <f aca="false">SUM(E21:P21)</f>
        <v>32347.5</v>
      </c>
      <c r="D21" s="57" t="n">
        <f aca="false">SUM(Q21:AB21)</f>
        <v>0</v>
      </c>
      <c r="E21" s="58" t="n">
        <f aca="false">E20*(1+Assumptions!$C$23)</f>
        <v>0</v>
      </c>
      <c r="F21" s="58" t="n">
        <f aca="false">F20*(1+Assumptions!$C$23)</f>
        <v>0</v>
      </c>
      <c r="G21" s="58" t="n">
        <f aca="false">G20*(1+Assumptions!$C$23)</f>
        <v>0</v>
      </c>
      <c r="H21" s="58" t="n">
        <f aca="false">H20*(1+Assumptions!$C$23)</f>
        <v>0</v>
      </c>
      <c r="I21" s="58" t="n">
        <f aca="false">I20*(1+Assumptions!$C$23)</f>
        <v>0</v>
      </c>
      <c r="J21" s="58" t="n">
        <f aca="false">J20*(1+Assumptions!$C$23)</f>
        <v>0</v>
      </c>
      <c r="K21" s="58" t="n">
        <f aca="false">K20*(1+Assumptions!$C$23)</f>
        <v>0</v>
      </c>
      <c r="L21" s="58" t="n">
        <f aca="false">L20*(1+Assumptions!$C$23)</f>
        <v>0</v>
      </c>
      <c r="M21" s="58" t="n">
        <f aca="false">M20*(1+Assumptions!$C$23)</f>
        <v>0</v>
      </c>
      <c r="N21" s="58" t="n">
        <f aca="false">N20*(1+Assumptions!$C$23)</f>
        <v>0</v>
      </c>
      <c r="O21" s="58" t="n">
        <f aca="false">O20*(1+Assumptions!$C$23)</f>
        <v>32347.5</v>
      </c>
      <c r="P21" s="58" t="n">
        <f aca="false">P20*(1+Assumptions!$C$23)</f>
        <v>0</v>
      </c>
      <c r="Q21" s="58" t="n">
        <f aca="false">Q20*(1+Assumptions!$C$23)</f>
        <v>0</v>
      </c>
      <c r="R21" s="58" t="n">
        <f aca="false">R20*(1+Assumptions!$C$23)</f>
        <v>0</v>
      </c>
      <c r="S21" s="58" t="n">
        <f aca="false">S20*(1+Assumptions!$C$23)</f>
        <v>0</v>
      </c>
      <c r="T21" s="58" t="n">
        <f aca="false">T20*(1+Assumptions!$C$23)</f>
        <v>0</v>
      </c>
      <c r="U21" s="58" t="n">
        <f aca="false">U20*(1+Assumptions!$C$23)</f>
        <v>0</v>
      </c>
      <c r="V21" s="58" t="n">
        <f aca="false">V20*(1+Assumptions!$C$23)</f>
        <v>0</v>
      </c>
      <c r="W21" s="58" t="n">
        <f aca="false">W20*(1+Assumptions!$C$23)</f>
        <v>0</v>
      </c>
      <c r="X21" s="58" t="n">
        <f aca="false">X20*(1+Assumptions!$C$23)</f>
        <v>0</v>
      </c>
      <c r="Y21" s="58" t="n">
        <f aca="false">Y20*(1+Assumptions!$C$23)</f>
        <v>0</v>
      </c>
      <c r="Z21" s="58" t="n">
        <f aca="false">Z20*(1+Assumptions!$C$23)</f>
        <v>0</v>
      </c>
      <c r="AA21" s="58" t="n">
        <f aca="false">AA20*(1+Assumptions!$C$23)</f>
        <v>0</v>
      </c>
      <c r="AB21" s="58" t="n">
        <f aca="false">AB20*(1+Assumptions!$C$23)</f>
        <v>0</v>
      </c>
    </row>
    <row r="22" customFormat="false" ht="15" hidden="false" customHeight="false" outlineLevel="0" collapsed="false">
      <c r="A22" s="27" t="s">
        <v>1035</v>
      </c>
      <c r="B22" s="56"/>
      <c r="C22" s="57" t="n">
        <f aca="false">SUM(E22:P22)</f>
        <v>3847.5</v>
      </c>
      <c r="D22" s="57" t="n">
        <f aca="false">SUM(Q22:AB22)</f>
        <v>0</v>
      </c>
      <c r="E22" s="58" t="n">
        <f aca="false">E20*Assumptions!$C$23</f>
        <v>0</v>
      </c>
      <c r="F22" s="58" t="n">
        <f aca="false">F20*Assumptions!$C$23</f>
        <v>0</v>
      </c>
      <c r="G22" s="58" t="n">
        <f aca="false">G20*Assumptions!$C$23</f>
        <v>0</v>
      </c>
      <c r="H22" s="58" t="n">
        <f aca="false">H20*Assumptions!$C$23</f>
        <v>0</v>
      </c>
      <c r="I22" s="58" t="n">
        <f aca="false">I20*Assumptions!$C$23</f>
        <v>0</v>
      </c>
      <c r="J22" s="58" t="n">
        <f aca="false">J20*Assumptions!$C$23</f>
        <v>0</v>
      </c>
      <c r="K22" s="58" t="n">
        <f aca="false">K20*Assumptions!$C$23</f>
        <v>0</v>
      </c>
      <c r="L22" s="58" t="n">
        <f aca="false">L20*Assumptions!$C$23</f>
        <v>0</v>
      </c>
      <c r="M22" s="58" t="n">
        <f aca="false">M20*Assumptions!$C$23</f>
        <v>0</v>
      </c>
      <c r="N22" s="58" t="n">
        <f aca="false">N20*Assumptions!$C$23</f>
        <v>0</v>
      </c>
      <c r="O22" s="58" t="n">
        <f aca="false">O20*Assumptions!$C$23</f>
        <v>3847.5</v>
      </c>
      <c r="P22" s="58" t="n">
        <f aca="false">P20*Assumptions!$C$23</f>
        <v>0</v>
      </c>
      <c r="Q22" s="58" t="n">
        <f aca="false">Q20*Assumptions!$C$23</f>
        <v>0</v>
      </c>
      <c r="R22" s="58" t="n">
        <f aca="false">R20*Assumptions!$C$23</f>
        <v>0</v>
      </c>
      <c r="S22" s="58" t="n">
        <f aca="false">S20*Assumptions!$C$23</f>
        <v>0</v>
      </c>
      <c r="T22" s="58" t="n">
        <f aca="false">T20*Assumptions!$C$23</f>
        <v>0</v>
      </c>
      <c r="U22" s="58" t="n">
        <f aca="false">U20*Assumptions!$C$23</f>
        <v>0</v>
      </c>
      <c r="V22" s="58" t="n">
        <f aca="false">V20*Assumptions!$C$23</f>
        <v>0</v>
      </c>
      <c r="W22" s="58" t="n">
        <f aca="false">W20*Assumptions!$C$23</f>
        <v>0</v>
      </c>
      <c r="X22" s="58" t="n">
        <f aca="false">X20*Assumptions!$C$23</f>
        <v>0</v>
      </c>
      <c r="Y22" s="58" t="n">
        <f aca="false">Y20*Assumptions!$C$23</f>
        <v>0</v>
      </c>
      <c r="Z22" s="58" t="n">
        <f aca="false">Z20*Assumptions!$C$23</f>
        <v>0</v>
      </c>
      <c r="AA22" s="58" t="n">
        <f aca="false">AA20*Assumptions!$C$23</f>
        <v>0</v>
      </c>
      <c r="AB22" s="58" t="n">
        <f aca="false">AB20*Assumptions!$C$23</f>
        <v>0</v>
      </c>
    </row>
    <row r="23" customFormat="false" ht="15" hidden="false" customHeight="false" outlineLevel="0" collapsed="false">
      <c r="A23" s="27" t="s">
        <v>1036</v>
      </c>
      <c r="B23" s="56" t="s">
        <v>1037</v>
      </c>
      <c r="C23" s="57" t="n">
        <f aca="false">SUM(E23:P23)</f>
        <v>9500</v>
      </c>
      <c r="D23" s="57" t="n">
        <f aca="false">SUM(Q23:AB23)</f>
        <v>0</v>
      </c>
      <c r="E23" s="58" t="n">
        <f aca="false">IF(Assumptions!E$95=Assumptions!$F$129,Inputs_Actuals!$C$127-E20,0)</f>
        <v>0</v>
      </c>
      <c r="F23" s="58" t="n">
        <f aca="false">IF(Assumptions!F$95=Assumptions!$F$129,E19-F20,0)</f>
        <v>0</v>
      </c>
      <c r="G23" s="58" t="n">
        <f aca="false">IF(Assumptions!G$95=Assumptions!$F$129,F19-G20,0)</f>
        <v>0</v>
      </c>
      <c r="H23" s="58" t="n">
        <f aca="false">IF(Assumptions!H$95=Assumptions!$F$129,G19-H20,0)</f>
        <v>0</v>
      </c>
      <c r="I23" s="58" t="n">
        <f aca="false">IF(Assumptions!I$95=Assumptions!$F$129,H19-I20,0)</f>
        <v>0</v>
      </c>
      <c r="J23" s="58" t="n">
        <f aca="false">IF(Assumptions!J$95=Assumptions!$F$129,I19-J20,0)</f>
        <v>0</v>
      </c>
      <c r="K23" s="58" t="n">
        <f aca="false">IF(Assumptions!K$95=Assumptions!$F$129,J19-K20,0)</f>
        <v>0</v>
      </c>
      <c r="L23" s="58" t="n">
        <f aca="false">IF(Assumptions!L$95=Assumptions!$F$129,K19-L20,0)</f>
        <v>0</v>
      </c>
      <c r="M23" s="58" t="n">
        <f aca="false">IF(Assumptions!M$95=Assumptions!$F$129,L19-M20,0)</f>
        <v>0</v>
      </c>
      <c r="N23" s="58" t="n">
        <f aca="false">IF(Assumptions!N$95=Assumptions!$F$129,M19-N20,0)</f>
        <v>0</v>
      </c>
      <c r="O23" s="58" t="n">
        <f aca="false">IF(Assumptions!O$95=Assumptions!$F$129,N19-O20,0)</f>
        <v>9500</v>
      </c>
      <c r="P23" s="58" t="n">
        <f aca="false">IF(Assumptions!P$95=Assumptions!$F$129,O19-P20,0)</f>
        <v>0</v>
      </c>
      <c r="Q23" s="58" t="n">
        <f aca="false">IF(Assumptions!Q$95=Assumptions!$F$129,P19-Q20,0)</f>
        <v>0</v>
      </c>
      <c r="R23" s="58" t="n">
        <f aca="false">IF(Assumptions!R$95=Assumptions!$F$129,Q19-R20,0)</f>
        <v>0</v>
      </c>
      <c r="S23" s="58" t="n">
        <f aca="false">IF(Assumptions!S$95=Assumptions!$F$129,R19-S20,0)</f>
        <v>0</v>
      </c>
      <c r="T23" s="58" t="n">
        <f aca="false">IF(Assumptions!T$95=Assumptions!$F$129,S19-T20,0)</f>
        <v>0</v>
      </c>
      <c r="U23" s="58" t="n">
        <f aca="false">IF(Assumptions!U$95=Assumptions!$F$129,T19-U20,0)</f>
        <v>0</v>
      </c>
      <c r="V23" s="58" t="n">
        <f aca="false">IF(Assumptions!V$95=Assumptions!$F$129,U19-V20,0)</f>
        <v>0</v>
      </c>
      <c r="W23" s="58" t="n">
        <f aca="false">IF(Assumptions!W$95=Assumptions!$F$129,V19-W20,0)</f>
        <v>0</v>
      </c>
      <c r="X23" s="58" t="n">
        <f aca="false">IF(Assumptions!X$95=Assumptions!$F$129,W19-X20,0)</f>
        <v>0</v>
      </c>
      <c r="Y23" s="58" t="n">
        <f aca="false">IF(Assumptions!Y$95=Assumptions!$F$129,X19-Y20,0)</f>
        <v>0</v>
      </c>
      <c r="Z23" s="58" t="n">
        <f aca="false">IF(Assumptions!Z$95=Assumptions!$F$129,Y19-Z20,0)</f>
        <v>0</v>
      </c>
      <c r="AA23" s="58" t="n">
        <f aca="false">IF(Assumptions!AA$95=Assumptions!$F$129,Z19-AA20,0)</f>
        <v>0</v>
      </c>
      <c r="AB23" s="58" t="n">
        <f aca="false">IF(Assumptions!AB$95=Assumptions!$F$129,AA19-AB20,0)</f>
        <v>0</v>
      </c>
    </row>
    <row r="24" customFormat="false" ht="15" hidden="false" customHeight="false" outlineLevel="0" collapsed="false">
      <c r="A24" s="27" t="s">
        <v>1038</v>
      </c>
      <c r="B24" s="56" t="s">
        <v>1039</v>
      </c>
      <c r="C24" s="57" t="n">
        <f aca="false">SUM(E24:P24)</f>
        <v>9500</v>
      </c>
      <c r="D24" s="57" t="n">
        <f aca="false">SUM(Q24:AB24)</f>
        <v>0</v>
      </c>
      <c r="E24" s="58" t="n">
        <f aca="false">IF(E$5="A",Inputs_Actuals!E108,IF(Assumptions!E$95=Assumptions!$F$129,E23-0,0))</f>
        <v>0</v>
      </c>
      <c r="F24" s="58" t="n">
        <f aca="false">IF(F$5="A",Inputs_Actuals!F108,IF(Assumptions!F$95=Assumptions!$F$129,F23-E25,0))</f>
        <v>0</v>
      </c>
      <c r="G24" s="58" t="n">
        <f aca="false">IF(G$5="A",Inputs_Actuals!G108,IF(Assumptions!G$95=Assumptions!$F$129,G23-F25,0))</f>
        <v>0</v>
      </c>
      <c r="H24" s="58" t="n">
        <f aca="false">IF(H$5="A",Inputs_Actuals!H108,IF(Assumptions!H$95=Assumptions!$F$129,H23-G25,0))</f>
        <v>0</v>
      </c>
      <c r="I24" s="58" t="n">
        <f aca="false">IF(I$5="A",Inputs_Actuals!I108,IF(Assumptions!I$95=Assumptions!$F$129,I23-H25,0))</f>
        <v>0</v>
      </c>
      <c r="J24" s="58" t="n">
        <f aca="false">IF(J$5="A",Inputs_Actuals!J108,IF(Assumptions!J$95=Assumptions!$F$129,J23-I25,0))</f>
        <v>9500</v>
      </c>
      <c r="K24" s="58" t="n">
        <f aca="false">IF(K$5="A",Inputs_Actuals!K108,IF(Assumptions!K$95=Assumptions!$F$129,K23-J25,0))</f>
        <v>0</v>
      </c>
      <c r="L24" s="58" t="n">
        <f aca="false">IF(L$5="A",Inputs_Actuals!L108,IF(Assumptions!L$95=Assumptions!$F$129,L23-K25,0))</f>
        <v>0</v>
      </c>
      <c r="M24" s="58" t="n">
        <f aca="false">IF(M$5="A",Inputs_Actuals!M108,IF(Assumptions!M$95=Assumptions!$F$129,M23-L25,0))</f>
        <v>0</v>
      </c>
      <c r="N24" s="58" t="n">
        <f aca="false">IF(N$5="A",Inputs_Actuals!N108,IF(Assumptions!N$95=Assumptions!$F$129,N23-M25,0))</f>
        <v>0</v>
      </c>
      <c r="O24" s="58" t="n">
        <f aca="false">IF(O$5="A",Inputs_Actuals!O108,IF(Assumptions!O$95=Assumptions!$F$129,O23-N25,0))</f>
        <v>0</v>
      </c>
      <c r="P24" s="58" t="n">
        <f aca="false">IF(P$5="A",Inputs_Actuals!P108,IF(Assumptions!P$95=Assumptions!$F$129,P23-O25,0))</f>
        <v>0</v>
      </c>
      <c r="Q24" s="58" t="n">
        <f aca="false">IF(Q$5="A",Inputs_Actuals!Q108,IF(Assumptions!Q$95=Assumptions!$F$129,Q23-P25,0))</f>
        <v>0</v>
      </c>
      <c r="R24" s="58" t="n">
        <f aca="false">IF(R$5="A",Inputs_Actuals!R108,IF(Assumptions!R$95=Assumptions!$F$129,R23-Q25,0))</f>
        <v>0</v>
      </c>
      <c r="S24" s="58" t="n">
        <f aca="false">IF(S$5="A",Inputs_Actuals!S108,IF(Assumptions!S$95=Assumptions!$F$129,S23-R25,0))</f>
        <v>0</v>
      </c>
      <c r="T24" s="58" t="n">
        <f aca="false">IF(T$5="A",Inputs_Actuals!T108,IF(Assumptions!T$95=Assumptions!$F$129,T23-S25,0))</f>
        <v>0</v>
      </c>
      <c r="U24" s="58" t="n">
        <f aca="false">IF(U$5="A",Inputs_Actuals!U108,IF(Assumptions!U$95=Assumptions!$F$129,U23-T25,0))</f>
        <v>0</v>
      </c>
      <c r="V24" s="58" t="n">
        <f aca="false">IF(V$5="A",Inputs_Actuals!V108,IF(Assumptions!V$95=Assumptions!$F$129,V23-U25,0))</f>
        <v>0</v>
      </c>
      <c r="W24" s="58" t="n">
        <f aca="false">IF(W$5="A",Inputs_Actuals!W108,IF(Assumptions!W$95=Assumptions!$F$129,W23-V25,0))</f>
        <v>0</v>
      </c>
      <c r="X24" s="58" t="n">
        <f aca="false">IF(X$5="A",Inputs_Actuals!X108,IF(Assumptions!X$95=Assumptions!$F$129,X23-W25,0))</f>
        <v>0</v>
      </c>
      <c r="Y24" s="58" t="n">
        <f aca="false">IF(Y$5="A",Inputs_Actuals!Y108,IF(Assumptions!Y$95=Assumptions!$F$129,Y23-X25,0))</f>
        <v>0</v>
      </c>
      <c r="Z24" s="58" t="n">
        <f aca="false">IF(Z$5="A",Inputs_Actuals!Z108,IF(Assumptions!Z$95=Assumptions!$F$129,Z23-Y25,0))</f>
        <v>0</v>
      </c>
      <c r="AA24" s="58" t="n">
        <f aca="false">IF(AA$5="A",Inputs_Actuals!AA108,IF(Assumptions!AA$95=Assumptions!$F$129,AA23-Z25,0))</f>
        <v>0</v>
      </c>
      <c r="AB24" s="58" t="n">
        <f aca="false">IF(AB$5="A",Inputs_Actuals!AB108,IF(Assumptions!AB$95=Assumptions!$F$129,AB23-AA25,0))</f>
        <v>0</v>
      </c>
    </row>
    <row r="25" customFormat="false" ht="15" hidden="false" customHeight="false" outlineLevel="0" collapsed="false">
      <c r="A25" s="27" t="s">
        <v>1040</v>
      </c>
      <c r="B25" s="56" t="s">
        <v>1041</v>
      </c>
      <c r="C25" s="57" t="n">
        <f aca="false">P25</f>
        <v>0</v>
      </c>
      <c r="D25" s="57" t="n">
        <f aca="false">AB25</f>
        <v>0</v>
      </c>
      <c r="E25" s="70" t="n">
        <f aca="false">0+E24-E23</f>
        <v>0</v>
      </c>
      <c r="F25" s="70" t="n">
        <f aca="false">E25+F24-F23</f>
        <v>0</v>
      </c>
      <c r="G25" s="70" t="n">
        <f aca="false">F25+G24-G23</f>
        <v>0</v>
      </c>
      <c r="H25" s="70" t="n">
        <f aca="false">G25+H24-H23</f>
        <v>0</v>
      </c>
      <c r="I25" s="70" t="n">
        <f aca="false">H25+I24-I23</f>
        <v>0</v>
      </c>
      <c r="J25" s="70" t="n">
        <f aca="false">I25+J24-J23</f>
        <v>9500</v>
      </c>
      <c r="K25" s="70" t="n">
        <f aca="false">J25+K24-K23</f>
        <v>9500</v>
      </c>
      <c r="L25" s="70" t="n">
        <f aca="false">K25+L24-L23</f>
        <v>9500</v>
      </c>
      <c r="M25" s="70" t="n">
        <f aca="false">L25+M24-M23</f>
        <v>9500</v>
      </c>
      <c r="N25" s="70" t="n">
        <f aca="false">M25+N24-N23</f>
        <v>9500</v>
      </c>
      <c r="O25" s="70" t="n">
        <f aca="false">N25+O24-O23</f>
        <v>0</v>
      </c>
      <c r="P25" s="70" t="n">
        <f aca="false">O25+P24-P23</f>
        <v>0</v>
      </c>
      <c r="Q25" s="70" t="n">
        <f aca="false">P25+Q24-Q23</f>
        <v>0</v>
      </c>
      <c r="R25" s="70" t="n">
        <f aca="false">Q25+R24-R23</f>
        <v>0</v>
      </c>
      <c r="S25" s="70" t="n">
        <f aca="false">R25+S24-S23</f>
        <v>0</v>
      </c>
      <c r="T25" s="70" t="n">
        <f aca="false">S25+T24-T23</f>
        <v>0</v>
      </c>
      <c r="U25" s="70" t="n">
        <f aca="false">T25+U24-U23</f>
        <v>0</v>
      </c>
      <c r="V25" s="70" t="n">
        <f aca="false">U25+V24-V23</f>
        <v>0</v>
      </c>
      <c r="W25" s="70" t="n">
        <f aca="false">V25+W24-W23</f>
        <v>0</v>
      </c>
      <c r="X25" s="70" t="n">
        <f aca="false">W25+X24-X23</f>
        <v>0</v>
      </c>
      <c r="Y25" s="70" t="n">
        <f aca="false">X25+Y24-Y23</f>
        <v>0</v>
      </c>
      <c r="Z25" s="70" t="n">
        <f aca="false">Y25+Z24-Z23</f>
        <v>0</v>
      </c>
      <c r="AA25" s="70" t="n">
        <f aca="false">Z25+AA24-AA23</f>
        <v>0</v>
      </c>
      <c r="AB25" s="70" t="n">
        <f aca="false">AA25+AB24-AB23</f>
        <v>0</v>
      </c>
    </row>
    <row r="26" customFormat="false" ht="15" hidden="false" customHeight="false" outlineLevel="0" collapsed="false">
      <c r="A26" s="21" t="s">
        <v>1042</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row>
    <row r="27" customFormat="false" ht="15" hidden="false" customHeight="false" outlineLevel="0" collapsed="false">
      <c r="A27" s="27" t="s">
        <v>1043</v>
      </c>
      <c r="B27" s="56"/>
      <c r="C27" s="57" t="n">
        <f aca="false">P27</f>
        <v>0</v>
      </c>
      <c r="D27" s="57" t="n">
        <f aca="false">AB27</f>
        <v>0</v>
      </c>
      <c r="E27" s="70" t="n">
        <f aca="false">E15+E19-E25</f>
        <v>57000</v>
      </c>
      <c r="F27" s="70" t="n">
        <f aca="false">F15+F19-F25</f>
        <v>57000</v>
      </c>
      <c r="G27" s="70" t="n">
        <f aca="false">G15+G19-G25</f>
        <v>57000</v>
      </c>
      <c r="H27" s="70" t="n">
        <f aca="false">H15+H19-H25</f>
        <v>57000</v>
      </c>
      <c r="I27" s="70" t="n">
        <f aca="false">I15+I19-I25</f>
        <v>57000</v>
      </c>
      <c r="J27" s="70" t="n">
        <f aca="false">J15+J19-J25</f>
        <v>47500</v>
      </c>
      <c r="K27" s="70" t="n">
        <f aca="false">K15+K19-K25</f>
        <v>47500</v>
      </c>
      <c r="L27" s="70" t="n">
        <f aca="false">L15+L19-L25</f>
        <v>47500</v>
      </c>
      <c r="M27" s="70" t="n">
        <f aca="false">M15+M19-M25</f>
        <v>47500</v>
      </c>
      <c r="N27" s="70" t="n">
        <f aca="false">N15+N19-N25</f>
        <v>47500</v>
      </c>
      <c r="O27" s="70" t="n">
        <f aca="false">O15+O19-O25</f>
        <v>19000</v>
      </c>
      <c r="P27" s="70" t="n">
        <f aca="false">P15+P19-P25</f>
        <v>0</v>
      </c>
      <c r="Q27" s="70" t="n">
        <f aca="false">Q15+Q19-Q25</f>
        <v>0</v>
      </c>
      <c r="R27" s="70" t="n">
        <f aca="false">R15+R19-R25</f>
        <v>0</v>
      </c>
      <c r="S27" s="70" t="n">
        <f aca="false">S15+S19-S25</f>
        <v>0</v>
      </c>
      <c r="T27" s="70" t="n">
        <f aca="false">T15+T19-T25</f>
        <v>0</v>
      </c>
      <c r="U27" s="70" t="n">
        <f aca="false">U15+U19-U25</f>
        <v>0</v>
      </c>
      <c r="V27" s="70" t="n">
        <f aca="false">V15+V19-V25</f>
        <v>0</v>
      </c>
      <c r="W27" s="70" t="n">
        <f aca="false">W15+W19-W25</f>
        <v>0</v>
      </c>
      <c r="X27" s="70" t="n">
        <f aca="false">X15+X19-X25</f>
        <v>0</v>
      </c>
      <c r="Y27" s="70" t="n">
        <f aca="false">Y15+Y19-Y25</f>
        <v>0</v>
      </c>
      <c r="Z27" s="70" t="n">
        <f aca="false">Z15+Z19-Z25</f>
        <v>0</v>
      </c>
      <c r="AA27" s="70" t="n">
        <f aca="false">AA15+AA19-AA25</f>
        <v>0</v>
      </c>
      <c r="AB27" s="70" t="n">
        <f aca="false">AB15+AB19-AB25</f>
        <v>0</v>
      </c>
    </row>
    <row r="28" customFormat="false" ht="15" hidden="false" customHeight="false" outlineLevel="0" collapsed="false">
      <c r="A28" s="67" t="s">
        <v>1044</v>
      </c>
      <c r="B28" s="68" t="s">
        <v>1045</v>
      </c>
      <c r="C28" s="69" t="n">
        <f aca="false">P28</f>
        <v>186751.800075962</v>
      </c>
      <c r="D28" s="69" t="n">
        <f aca="false">AB28</f>
        <v>176168.117438047</v>
      </c>
      <c r="E28" s="69" t="n">
        <f aca="false">E11+E27</f>
        <v>116889.7435</v>
      </c>
      <c r="F28" s="69" t="n">
        <f aca="false">F11+F27</f>
        <v>136345.335</v>
      </c>
      <c r="G28" s="69" t="n">
        <f aca="false">G11+G27</f>
        <v>152728.1885</v>
      </c>
      <c r="H28" s="69" t="n">
        <f aca="false">H11+H27</f>
        <v>137761.1805</v>
      </c>
      <c r="I28" s="69" t="n">
        <f aca="false">I11+I27</f>
        <v>117960.5975</v>
      </c>
      <c r="J28" s="69" t="n">
        <f aca="false">J11+J27</f>
        <v>117103.181</v>
      </c>
      <c r="K28" s="69" t="n">
        <f aca="false">K11+K27</f>
        <v>132455.7665</v>
      </c>
      <c r="L28" s="69" t="n">
        <f aca="false">L11+L27</f>
        <v>154454.4872</v>
      </c>
      <c r="M28" s="69" t="n">
        <f aca="false">M11+M27</f>
        <v>176901.231075651</v>
      </c>
      <c r="N28" s="69" t="n">
        <f aca="false">N11+N27</f>
        <v>207048.653200023</v>
      </c>
      <c r="O28" s="69" t="n">
        <f aca="false">O11+O27</f>
        <v>209445.930316646</v>
      </c>
      <c r="P28" s="69" t="n">
        <f aca="false">P11+P27</f>
        <v>186751.800075962</v>
      </c>
      <c r="Q28" s="69" t="n">
        <f aca="false">Q11+Q27</f>
        <v>201220.981306309</v>
      </c>
      <c r="R28" s="69" t="n">
        <f aca="false">R11+R27</f>
        <v>223572.222650909</v>
      </c>
      <c r="S28" s="69" t="n">
        <f aca="false">S11+S27</f>
        <v>192039.61791088</v>
      </c>
      <c r="T28" s="69" t="n">
        <f aca="false">T11+T27</f>
        <v>152299.676397462</v>
      </c>
      <c r="U28" s="69" t="n">
        <f aca="false">U11+U27</f>
        <v>138714.193153078</v>
      </c>
      <c r="V28" s="69" t="n">
        <f aca="false">V11+V27</f>
        <v>158533.898148148</v>
      </c>
      <c r="W28" s="69" t="n">
        <f aca="false">W11+W27</f>
        <v>182112.442649391</v>
      </c>
      <c r="X28" s="69" t="n">
        <f aca="false">X11+X27</f>
        <v>206952.477923525</v>
      </c>
      <c r="Y28" s="69" t="n">
        <f aca="false">Y11+Y27</f>
        <v>230396.21208858</v>
      </c>
      <c r="Z28" s="69" t="n">
        <f aca="false">Z11+Z27</f>
        <v>227718.196101508</v>
      </c>
      <c r="AA28" s="69" t="n">
        <f aca="false">AA11+AA27</f>
        <v>238923.987414491</v>
      </c>
      <c r="AB28" s="69" t="n">
        <f aca="false">AB11+AB27</f>
        <v>176168.117438047</v>
      </c>
    </row>
    <row r="29" customFormat="false" ht="15" hidden="false" customHeight="false" outlineLevel="0" collapsed="false">
      <c r="A29" s="27" t="s">
        <v>1046</v>
      </c>
      <c r="B29" s="56"/>
      <c r="C29" s="57" t="n">
        <f aca="false">SUM(E29:P29)</f>
        <v>53912.5</v>
      </c>
      <c r="D29" s="57" t="n">
        <f aca="false">SUM(Q29:AB29)</f>
        <v>0</v>
      </c>
      <c r="E29" s="70" t="n">
        <f aca="false">E16+E21</f>
        <v>0</v>
      </c>
      <c r="F29" s="70" t="n">
        <f aca="false">F16+F21</f>
        <v>0</v>
      </c>
      <c r="G29" s="70" t="n">
        <f aca="false">G16+G21</f>
        <v>0</v>
      </c>
      <c r="H29" s="70" t="n">
        <f aca="false">H16+H21</f>
        <v>0</v>
      </c>
      <c r="I29" s="70" t="n">
        <f aca="false">I16+I21</f>
        <v>0</v>
      </c>
      <c r="J29" s="70" t="n">
        <f aca="false">J16+J21</f>
        <v>0</v>
      </c>
      <c r="K29" s="70" t="n">
        <f aca="false">K16+K21</f>
        <v>0</v>
      </c>
      <c r="L29" s="70" t="n">
        <f aca="false">L16+L21</f>
        <v>0</v>
      </c>
      <c r="M29" s="70" t="n">
        <f aca="false">M16+M21</f>
        <v>0</v>
      </c>
      <c r="N29" s="70" t="n">
        <f aca="false">N16+N21</f>
        <v>0</v>
      </c>
      <c r="O29" s="70" t="n">
        <f aca="false">O16+O21</f>
        <v>32347.5</v>
      </c>
      <c r="P29" s="70" t="n">
        <f aca="false">P16+P21</f>
        <v>21565</v>
      </c>
      <c r="Q29" s="70" t="n">
        <f aca="false">Q16+Q21</f>
        <v>0</v>
      </c>
      <c r="R29" s="70" t="n">
        <f aca="false">R16+R21</f>
        <v>0</v>
      </c>
      <c r="S29" s="70" t="n">
        <f aca="false">S16+S21</f>
        <v>0</v>
      </c>
      <c r="T29" s="70" t="n">
        <f aca="false">T16+T21</f>
        <v>0</v>
      </c>
      <c r="U29" s="70" t="n">
        <f aca="false">U16+U21</f>
        <v>0</v>
      </c>
      <c r="V29" s="70" t="n">
        <f aca="false">V16+V21</f>
        <v>0</v>
      </c>
      <c r="W29" s="70" t="n">
        <f aca="false">W16+W21</f>
        <v>0</v>
      </c>
      <c r="X29" s="70" t="n">
        <f aca="false">X16+X21</f>
        <v>0</v>
      </c>
      <c r="Y29" s="70" t="n">
        <f aca="false">Y16+Y21</f>
        <v>0</v>
      </c>
      <c r="Z29" s="70" t="n">
        <f aca="false">Z16+Z21</f>
        <v>0</v>
      </c>
      <c r="AA29" s="70" t="n">
        <f aca="false">AA16+AA21</f>
        <v>0</v>
      </c>
      <c r="AB29" s="70" t="n">
        <f aca="false">AB16+AB21</f>
        <v>0</v>
      </c>
    </row>
    <row r="30" customFormat="false" ht="15" hidden="false" customHeight="false" outlineLevel="0" collapsed="false">
      <c r="A30" s="27" t="s">
        <v>1047</v>
      </c>
      <c r="B30" s="56"/>
      <c r="C30" s="57" t="n">
        <f aca="false">SUM(E30:P30)</f>
        <v>6412.5</v>
      </c>
      <c r="D30" s="57" t="n">
        <f aca="false">SUM(Q30:AB30)</f>
        <v>0</v>
      </c>
      <c r="E30" s="70" t="n">
        <f aca="false">E17+E22</f>
        <v>0</v>
      </c>
      <c r="F30" s="70" t="n">
        <f aca="false">F17+F22</f>
        <v>0</v>
      </c>
      <c r="G30" s="70" t="n">
        <f aca="false">G17+G22</f>
        <v>0</v>
      </c>
      <c r="H30" s="70" t="n">
        <f aca="false">H17+H22</f>
        <v>0</v>
      </c>
      <c r="I30" s="70" t="n">
        <f aca="false">I17+I22</f>
        <v>0</v>
      </c>
      <c r="J30" s="70" t="n">
        <f aca="false">J17+J22</f>
        <v>0</v>
      </c>
      <c r="K30" s="70" t="n">
        <f aca="false">K17+K22</f>
        <v>0</v>
      </c>
      <c r="L30" s="70" t="n">
        <f aca="false">L17+L22</f>
        <v>0</v>
      </c>
      <c r="M30" s="70" t="n">
        <f aca="false">M17+M22</f>
        <v>0</v>
      </c>
      <c r="N30" s="70" t="n">
        <f aca="false">N17+N22</f>
        <v>0</v>
      </c>
      <c r="O30" s="70" t="n">
        <f aca="false">O17+O22</f>
        <v>3847.5</v>
      </c>
      <c r="P30" s="70" t="n">
        <f aca="false">P17+P22</f>
        <v>2565</v>
      </c>
      <c r="Q30" s="70" t="n">
        <f aca="false">Q17+Q22</f>
        <v>0</v>
      </c>
      <c r="R30" s="70" t="n">
        <f aca="false">R17+R22</f>
        <v>0</v>
      </c>
      <c r="S30" s="70" t="n">
        <f aca="false">S17+S22</f>
        <v>0</v>
      </c>
      <c r="T30" s="70" t="n">
        <f aca="false">T17+T22</f>
        <v>0</v>
      </c>
      <c r="U30" s="70" t="n">
        <f aca="false">U17+U22</f>
        <v>0</v>
      </c>
      <c r="V30" s="70" t="n">
        <f aca="false">V17+V22</f>
        <v>0</v>
      </c>
      <c r="W30" s="70" t="n">
        <f aca="false">W17+W22</f>
        <v>0</v>
      </c>
      <c r="X30" s="70" t="n">
        <f aca="false">X17+X22</f>
        <v>0</v>
      </c>
      <c r="Y30" s="70" t="n">
        <f aca="false">Y17+Y22</f>
        <v>0</v>
      </c>
      <c r="Z30" s="70" t="n">
        <f aca="false">Z17+Z22</f>
        <v>0</v>
      </c>
      <c r="AA30" s="70" t="n">
        <f aca="false">AA17+AA22</f>
        <v>0</v>
      </c>
      <c r="AB30" s="70" t="n">
        <f aca="false">AB17+AB22</f>
        <v>0</v>
      </c>
    </row>
    <row r="31" customFormat="false" ht="15" hidden="false" customHeight="false" outlineLevel="0" collapsed="false">
      <c r="A31" s="27" t="s">
        <v>1048</v>
      </c>
      <c r="B31" s="56"/>
      <c r="C31" s="57" t="n">
        <f aca="false">P31</f>
        <v>0</v>
      </c>
      <c r="D31" s="57" t="n">
        <f aca="false">AB31</f>
        <v>0</v>
      </c>
      <c r="E31" s="70" t="n">
        <f aca="false">E19</f>
        <v>38000</v>
      </c>
      <c r="F31" s="70" t="n">
        <f aca="false">F19</f>
        <v>38000</v>
      </c>
      <c r="G31" s="70" t="n">
        <f aca="false">G19</f>
        <v>38000</v>
      </c>
      <c r="H31" s="70" t="n">
        <f aca="false">H19</f>
        <v>38000</v>
      </c>
      <c r="I31" s="70" t="n">
        <f aca="false">I19</f>
        <v>38000</v>
      </c>
      <c r="J31" s="70" t="n">
        <f aca="false">J19</f>
        <v>38000</v>
      </c>
      <c r="K31" s="70" t="n">
        <f aca="false">K19</f>
        <v>38000</v>
      </c>
      <c r="L31" s="70" t="n">
        <f aca="false">L19</f>
        <v>38000</v>
      </c>
      <c r="M31" s="70" t="n">
        <f aca="false">M19</f>
        <v>38000</v>
      </c>
      <c r="N31" s="70" t="n">
        <f aca="false">N19</f>
        <v>38000</v>
      </c>
      <c r="O31" s="70" t="n">
        <f aca="false">O19</f>
        <v>0</v>
      </c>
      <c r="P31" s="70" t="n">
        <f aca="false">P19</f>
        <v>0</v>
      </c>
      <c r="Q31" s="70" t="n">
        <f aca="false">Q19</f>
        <v>0</v>
      </c>
      <c r="R31" s="70" t="n">
        <f aca="false">R19</f>
        <v>0</v>
      </c>
      <c r="S31" s="70" t="n">
        <f aca="false">S19</f>
        <v>0</v>
      </c>
      <c r="T31" s="70" t="n">
        <f aca="false">T19</f>
        <v>0</v>
      </c>
      <c r="U31" s="70" t="n">
        <f aca="false">U19</f>
        <v>0</v>
      </c>
      <c r="V31" s="70" t="n">
        <f aca="false">V19</f>
        <v>0</v>
      </c>
      <c r="W31" s="70" t="n">
        <f aca="false">W19</f>
        <v>0</v>
      </c>
      <c r="X31" s="70" t="n">
        <f aca="false">X19</f>
        <v>0</v>
      </c>
      <c r="Y31" s="70" t="n">
        <f aca="false">Y19</f>
        <v>0</v>
      </c>
      <c r="Z31" s="70" t="n">
        <f aca="false">Z19</f>
        <v>0</v>
      </c>
      <c r="AA31" s="70" t="n">
        <f aca="false">AA19</f>
        <v>0</v>
      </c>
      <c r="AB31" s="70" t="n">
        <f aca="false">AB19</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1049</v>
      </c>
    </row>
    <row r="3" customFormat="false" ht="15" hidden="false" customHeight="false" outlineLevel="0" collapsed="false">
      <c r="A3" s="47" t="s">
        <v>1050</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1051</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619</v>
      </c>
      <c r="B9" s="56" t="s">
        <v>49</v>
      </c>
      <c r="C9" s="57" t="n">
        <f aca="false">P9</f>
        <v>50642.4381938462</v>
      </c>
      <c r="D9" s="57" t="n">
        <f aca="false">AB9</f>
        <v>63536.9173485044</v>
      </c>
      <c r="E9" s="58" t="n">
        <f aca="false">Residential!E35</f>
        <v>31210.71</v>
      </c>
      <c r="F9" s="58" t="n">
        <f aca="false">Residential!F35</f>
        <v>28779.27</v>
      </c>
      <c r="G9" s="58" t="n">
        <f aca="false">Residential!G35</f>
        <v>31546.93</v>
      </c>
      <c r="H9" s="58" t="n">
        <f aca="false">Residential!H35</f>
        <v>36199.47</v>
      </c>
      <c r="I9" s="58" t="n">
        <f aca="false">Residential!I35</f>
        <v>40744.49</v>
      </c>
      <c r="J9" s="58" t="n">
        <f aca="false">Residential!J35</f>
        <v>36655.89</v>
      </c>
      <c r="K9" s="58" t="n">
        <f aca="false">Residential!K35</f>
        <v>41902.83</v>
      </c>
      <c r="L9" s="58" t="n">
        <f aca="false">Residential!L35</f>
        <v>65284.55</v>
      </c>
      <c r="M9" s="58" t="n">
        <f aca="false">Residential!M35</f>
        <v>60104.4491165614</v>
      </c>
      <c r="N9" s="58" t="n">
        <f aca="false">Residential!N35</f>
        <v>57697.900550823</v>
      </c>
      <c r="O9" s="58" t="n">
        <f aca="false">Residential!O35</f>
        <v>54692.1873652056</v>
      </c>
      <c r="P9" s="58" t="n">
        <f aca="false">Residential!P35</f>
        <v>50642.4381938462</v>
      </c>
      <c r="Q9" s="58" t="n">
        <f aca="false">Residential!Q35</f>
        <v>44808.7318718612</v>
      </c>
      <c r="R9" s="58" t="n">
        <f aca="false">Residential!R35</f>
        <v>42133.8994581678</v>
      </c>
      <c r="S9" s="58" t="n">
        <f aca="false">Residential!S35</f>
        <v>47247.1785213159</v>
      </c>
      <c r="T9" s="58" t="n">
        <f aca="false">Residential!T35</f>
        <v>56196.7437390009</v>
      </c>
      <c r="U9" s="58" t="n">
        <f aca="false">Residential!U35</f>
        <v>63402.2842950749</v>
      </c>
      <c r="V9" s="58" t="n">
        <f aca="false">Residential!V35</f>
        <v>67872.804051731</v>
      </c>
      <c r="W9" s="58" t="n">
        <f aca="false">Residential!W35</f>
        <v>69444.1879334386</v>
      </c>
      <c r="X9" s="58" t="n">
        <f aca="false">Residential!X35</f>
        <v>68579.9238194907</v>
      </c>
      <c r="Y9" s="58" t="n">
        <f aca="false">Residential!Y35</f>
        <v>68016.0190904161</v>
      </c>
      <c r="Z9" s="58" t="n">
        <f aca="false">Residential!Z35</f>
        <v>69318.6019174242</v>
      </c>
      <c r="AA9" s="58" t="n">
        <f aca="false">Residential!AA35</f>
        <v>68621.508719881</v>
      </c>
      <c r="AB9" s="58" t="n">
        <f aca="false">Residential!AB35</f>
        <v>63536.9173485044</v>
      </c>
    </row>
    <row r="10" customFormat="false" ht="15" hidden="false" customHeight="false" outlineLevel="0" collapsed="false">
      <c r="A10" s="27" t="s">
        <v>622</v>
      </c>
      <c r="B10" s="56" t="s">
        <v>49</v>
      </c>
      <c r="C10" s="57" t="n">
        <f aca="false">P10</f>
        <v>60611.580915117</v>
      </c>
      <c r="D10" s="57" t="n">
        <f aca="false">AB10</f>
        <v>69880.5400275966</v>
      </c>
      <c r="E10" s="58" t="n">
        <f aca="false">Residential!E64</f>
        <v>56133.76</v>
      </c>
      <c r="F10" s="58" t="n">
        <f aca="false">Residential!F64</f>
        <v>59618.75</v>
      </c>
      <c r="G10" s="58" t="n">
        <f aca="false">Residential!G64</f>
        <v>72441.99</v>
      </c>
      <c r="H10" s="58" t="n">
        <f aca="false">Residential!H64</f>
        <v>79462.58</v>
      </c>
      <c r="I10" s="58" t="n">
        <f aca="false">Residential!I64</f>
        <v>85076.57</v>
      </c>
      <c r="J10" s="58" t="n">
        <f aca="false">Residential!J64</f>
        <v>71634.88</v>
      </c>
      <c r="K10" s="58" t="n">
        <f aca="false">Residential!K64</f>
        <v>110644.47</v>
      </c>
      <c r="L10" s="58" t="n">
        <f aca="false">Residential!L64</f>
        <v>77089.86</v>
      </c>
      <c r="M10" s="58" t="n">
        <f aca="false">Residential!M64</f>
        <v>73015.6313531213</v>
      </c>
      <c r="N10" s="58" t="n">
        <f aca="false">Residential!N64</f>
        <v>65315.5747318636</v>
      </c>
      <c r="O10" s="58" t="n">
        <f aca="false">Residential!O64</f>
        <v>67992.7084438084</v>
      </c>
      <c r="P10" s="58" t="n">
        <f aca="false">Residential!P64</f>
        <v>60611.580915117</v>
      </c>
      <c r="Q10" s="58" t="n">
        <f aca="false">Residential!Q64</f>
        <v>61023.8103485008</v>
      </c>
      <c r="R10" s="58" t="n">
        <f aca="false">Residential!R64</f>
        <v>56117.2648945235</v>
      </c>
      <c r="S10" s="58" t="n">
        <f aca="false">Residential!S64</f>
        <v>57669.8509645156</v>
      </c>
      <c r="T10" s="58" t="n">
        <f aca="false">Residential!T64</f>
        <v>60958.7211882874</v>
      </c>
      <c r="U10" s="58" t="n">
        <f aca="false">Residential!U64</f>
        <v>66492.5803704312</v>
      </c>
      <c r="V10" s="58" t="n">
        <f aca="false">Residential!V64</f>
        <v>71788.2559393546</v>
      </c>
      <c r="W10" s="58" t="n">
        <f aca="false">Residential!W64</f>
        <v>74468.7082059539</v>
      </c>
      <c r="X10" s="58" t="n">
        <f aca="false">Residential!X64</f>
        <v>75547.0084323743</v>
      </c>
      <c r="Y10" s="58" t="n">
        <f aca="false">Residential!Y64</f>
        <v>76376.0464865026</v>
      </c>
      <c r="Z10" s="58" t="n">
        <f aca="false">Residential!Z64</f>
        <v>75547.0830824817</v>
      </c>
      <c r="AA10" s="58" t="n">
        <f aca="false">Residential!AA64</f>
        <v>73628.1112872152</v>
      </c>
      <c r="AB10" s="58" t="n">
        <f aca="false">Residential!AB64</f>
        <v>69880.5400275966</v>
      </c>
    </row>
    <row r="11" customFormat="false" ht="15" hidden="false" customHeight="false" outlineLevel="0" collapsed="false">
      <c r="A11" s="27" t="s">
        <v>1052</v>
      </c>
      <c r="B11" s="56" t="s">
        <v>46</v>
      </c>
      <c r="C11" s="57" t="n">
        <f aca="false">P11</f>
        <v>611876.1774246</v>
      </c>
      <c r="D11" s="57" t="n">
        <f aca="false">AB11</f>
        <v>202049.376743577</v>
      </c>
      <c r="E11" s="58" t="n">
        <f aca="false">WIP!E665</f>
        <v>191491.3500125</v>
      </c>
      <c r="F11" s="58" t="n">
        <f aca="false">WIP!F665</f>
        <v>138856.3143575</v>
      </c>
      <c r="G11" s="58" t="n">
        <f aca="false">WIP!G665</f>
        <v>175635.843275</v>
      </c>
      <c r="H11" s="58" t="n">
        <f aca="false">WIP!H665</f>
        <v>154153.1594575</v>
      </c>
      <c r="I11" s="58" t="n">
        <f aca="false">WIP!I665</f>
        <v>123498.3190175</v>
      </c>
      <c r="J11" s="58" t="n">
        <f aca="false">WIP!J665</f>
        <v>136879.6782375</v>
      </c>
      <c r="K11" s="58" t="n">
        <f aca="false">WIP!K665</f>
        <v>246035.002125</v>
      </c>
      <c r="L11" s="58" t="n">
        <f aca="false">WIP!L665</f>
        <v>349602.6170705</v>
      </c>
      <c r="M11" s="58" t="n">
        <f aca="false">WIP!M665</f>
        <v>401951.524277016</v>
      </c>
      <c r="N11" s="58" t="n">
        <f aca="false">WIP!N665</f>
        <v>567911.513110589</v>
      </c>
      <c r="O11" s="58" t="n">
        <f aca="false">WIP!O665</f>
        <v>609143.324573403</v>
      </c>
      <c r="P11" s="58" t="n">
        <f aca="false">WIP!P665</f>
        <v>611876.1774246</v>
      </c>
      <c r="Q11" s="58" t="n">
        <f aca="false">WIP!Q665</f>
        <v>518955.475672878</v>
      </c>
      <c r="R11" s="58" t="n">
        <f aca="false">WIP!R665</f>
        <v>483056.40420755</v>
      </c>
      <c r="S11" s="58" t="n">
        <f aca="false">WIP!S665</f>
        <v>406336.495733593</v>
      </c>
      <c r="T11" s="58" t="n">
        <f aca="false">WIP!T665</f>
        <v>281751.340737371</v>
      </c>
      <c r="U11" s="58" t="n">
        <f aca="false">WIP!U665</f>
        <v>143621.010796441</v>
      </c>
      <c r="V11" s="58" t="n">
        <f aca="false">WIP!V665</f>
        <v>223594.741373698</v>
      </c>
      <c r="W11" s="58" t="n">
        <f aca="false">WIP!W665</f>
        <v>291487.414707031</v>
      </c>
      <c r="X11" s="58" t="n">
        <f aca="false">WIP!X665</f>
        <v>314999.326907552</v>
      </c>
      <c r="Y11" s="58" t="n">
        <f aca="false">WIP!Y665</f>
        <v>290670.521473803</v>
      </c>
      <c r="Z11" s="58" t="n">
        <f aca="false">WIP!Z665</f>
        <v>249183.752977121</v>
      </c>
      <c r="AA11" s="58" t="n">
        <f aca="false">WIP!AA665</f>
        <v>173464.956478504</v>
      </c>
      <c r="AB11" s="58" t="n">
        <f aca="false">WIP!AB665</f>
        <v>202049.376743577</v>
      </c>
    </row>
    <row r="12" customFormat="false" ht="15" hidden="false" customHeight="false" outlineLevel="0" collapsed="false">
      <c r="A12" s="27" t="s">
        <v>1053</v>
      </c>
      <c r="B12" s="56" t="s">
        <v>46</v>
      </c>
      <c r="C12" s="57" t="n">
        <f aca="false">P12</f>
        <v>177470.787238493</v>
      </c>
      <c r="D12" s="57" t="n">
        <f aca="false">AB12</f>
        <v>193028.664051783</v>
      </c>
      <c r="E12" s="58" t="n">
        <f aca="false">WIP!E690</f>
        <v>191057.6705</v>
      </c>
      <c r="F12" s="58" t="n">
        <f aca="false">WIP!F690</f>
        <v>262636.392</v>
      </c>
      <c r="G12" s="58" t="n">
        <f aca="false">WIP!G690</f>
        <v>176731.618</v>
      </c>
      <c r="H12" s="58" t="n">
        <f aca="false">WIP!H690</f>
        <v>107577.4865</v>
      </c>
      <c r="I12" s="58" t="n">
        <f aca="false">WIP!I690</f>
        <v>69146.6935000003</v>
      </c>
      <c r="J12" s="58" t="n">
        <f aca="false">WIP!J690</f>
        <v>32811.4480000003</v>
      </c>
      <c r="K12" s="58" t="n">
        <f aca="false">WIP!K690</f>
        <v>92468.5700000003</v>
      </c>
      <c r="L12" s="58" t="n">
        <f aca="false">WIP!L690</f>
        <v>147462.086</v>
      </c>
      <c r="M12" s="58" t="n">
        <f aca="false">WIP!M690</f>
        <v>165931.476801111</v>
      </c>
      <c r="N12" s="58" t="n">
        <f aca="false">WIP!N690</f>
        <v>196229.611145605</v>
      </c>
      <c r="O12" s="58" t="n">
        <f aca="false">WIP!O690</f>
        <v>193129.974347772</v>
      </c>
      <c r="P12" s="58" t="n">
        <f aca="false">WIP!P690</f>
        <v>177470.787238493</v>
      </c>
      <c r="Q12" s="58" t="n">
        <f aca="false">WIP!Q690</f>
        <v>146152.413019936</v>
      </c>
      <c r="R12" s="58" t="n">
        <f aca="false">WIP!R690</f>
        <v>99174.8516920988</v>
      </c>
      <c r="S12" s="58" t="n">
        <f aca="false">WIP!S690</f>
        <v>70329.478254984</v>
      </c>
      <c r="T12" s="58" t="n">
        <f aca="false">WIP!T690</f>
        <v>57338.8203017833</v>
      </c>
      <c r="U12" s="58" t="n">
        <f aca="false">WIP!U690</f>
        <v>181393.038408779</v>
      </c>
      <c r="V12" s="58" t="n">
        <f aca="false">WIP!V690</f>
        <v>222474.622770919</v>
      </c>
      <c r="W12" s="58" t="n">
        <f aca="false">WIP!W690</f>
        <v>263758.573388203</v>
      </c>
      <c r="X12" s="58" t="n">
        <f aca="false">WIP!X690</f>
        <v>277519.890260631</v>
      </c>
      <c r="Y12" s="58" t="n">
        <f aca="false">WIP!Y690</f>
        <v>263758.573388203</v>
      </c>
      <c r="Z12" s="58" t="n">
        <f aca="false">WIP!Z690</f>
        <v>222474.622770919</v>
      </c>
      <c r="AA12" s="58" t="n">
        <f aca="false">WIP!AA690</f>
        <v>188446.944658779</v>
      </c>
      <c r="AB12" s="58" t="n">
        <f aca="false">WIP!AB690</f>
        <v>193028.664051783</v>
      </c>
    </row>
    <row r="13" customFormat="false" ht="15" hidden="false" customHeight="false" outlineLevel="0" collapsed="false">
      <c r="A13" s="67" t="s">
        <v>1054</v>
      </c>
      <c r="B13" s="68"/>
      <c r="C13" s="69" t="n">
        <f aca="false">P13</f>
        <v>900600.983772056</v>
      </c>
      <c r="D13" s="69" t="n">
        <f aca="false">AB13</f>
        <v>528495.498171461</v>
      </c>
      <c r="E13" s="69" t="n">
        <f aca="false">E9+E10+E11+E12</f>
        <v>469893.4905125</v>
      </c>
      <c r="F13" s="69" t="n">
        <f aca="false">F9+F10+F11+F12</f>
        <v>489890.7263575</v>
      </c>
      <c r="G13" s="69" t="n">
        <f aca="false">G9+G10+G11+G12</f>
        <v>456356.381275</v>
      </c>
      <c r="H13" s="69" t="n">
        <f aca="false">H9+H10+H11+H12</f>
        <v>377392.6959575</v>
      </c>
      <c r="I13" s="69" t="n">
        <f aca="false">I9+I10+I11+I12</f>
        <v>318466.0725175</v>
      </c>
      <c r="J13" s="69" t="n">
        <f aca="false">J9+J10+J11+J12</f>
        <v>277981.8962375</v>
      </c>
      <c r="K13" s="69" t="n">
        <f aca="false">K9+K10+K11+K12</f>
        <v>491050.872125</v>
      </c>
      <c r="L13" s="69" t="n">
        <f aca="false">L9+L10+L11+L12</f>
        <v>639439.1130705</v>
      </c>
      <c r="M13" s="69" t="n">
        <f aca="false">M9+M10+M11+M12</f>
        <v>701003.08154781</v>
      </c>
      <c r="N13" s="69" t="n">
        <f aca="false">N9+N10+N11+N12</f>
        <v>887154.59953888</v>
      </c>
      <c r="O13" s="69" t="n">
        <f aca="false">O9+O10+O11+O12</f>
        <v>924958.194730189</v>
      </c>
      <c r="P13" s="69" t="n">
        <f aca="false">P9+P10+P11+P12</f>
        <v>900600.983772056</v>
      </c>
      <c r="Q13" s="69" t="n">
        <f aca="false">Q9+Q10+Q11+Q12</f>
        <v>770940.430913176</v>
      </c>
      <c r="R13" s="69" t="n">
        <f aca="false">R9+R10+R11+R12</f>
        <v>680482.42025234</v>
      </c>
      <c r="S13" s="69" t="n">
        <f aca="false">S9+S10+S11+S12</f>
        <v>581583.003474408</v>
      </c>
      <c r="T13" s="69" t="n">
        <f aca="false">T9+T10+T11+T12</f>
        <v>456245.625966442</v>
      </c>
      <c r="U13" s="69" t="n">
        <f aca="false">U9+U10+U11+U12</f>
        <v>454908.913870726</v>
      </c>
      <c r="V13" s="69" t="n">
        <f aca="false">V9+V10+V11+V12</f>
        <v>585730.424135703</v>
      </c>
      <c r="W13" s="69" t="n">
        <f aca="false">W9+W10+W11+W12</f>
        <v>699158.884234627</v>
      </c>
      <c r="X13" s="69" t="n">
        <f aca="false">X9+X10+X11+X12</f>
        <v>736646.149420048</v>
      </c>
      <c r="Y13" s="69" t="n">
        <f aca="false">Y9+Y10+Y11+Y12</f>
        <v>698821.160438924</v>
      </c>
      <c r="Z13" s="69" t="n">
        <f aca="false">Z9+Z10+Z11+Z12</f>
        <v>616524.060747945</v>
      </c>
      <c r="AA13" s="69" t="n">
        <f aca="false">AA9+AA10+AA11+AA12</f>
        <v>504161.521144379</v>
      </c>
      <c r="AB13" s="69" t="n">
        <f aca="false">AB9+AB10+AB11+AB12</f>
        <v>528495.498171461</v>
      </c>
    </row>
    <row r="14" customFormat="false" ht="15" hidden="false" customHeight="false" outlineLevel="0" collapsed="false">
      <c r="A14" s="67" t="s">
        <v>1055</v>
      </c>
      <c r="B14" s="68" t="s">
        <v>49</v>
      </c>
      <c r="C14" s="69" t="n">
        <f aca="false">P14</f>
        <v>180933.329148484</v>
      </c>
      <c r="D14" s="69" t="n">
        <f aca="false">AB14</f>
        <v>205972.758614545</v>
      </c>
      <c r="E14" s="74" t="n">
        <f aca="false">Residential!E37</f>
        <v>240218.66</v>
      </c>
      <c r="F14" s="74" t="n">
        <f aca="false">Residential!F37</f>
        <v>178192.3</v>
      </c>
      <c r="G14" s="74" t="n">
        <f aca="false">Residential!G37</f>
        <v>153187.4</v>
      </c>
      <c r="H14" s="74" t="n">
        <f aca="false">Residential!H37</f>
        <v>127253.19</v>
      </c>
      <c r="I14" s="74" t="n">
        <f aca="false">Residential!I37</f>
        <v>121763.65</v>
      </c>
      <c r="J14" s="74" t="n">
        <f aca="false">Residential!J37</f>
        <v>152013.29</v>
      </c>
      <c r="K14" s="74" t="n">
        <f aca="false">Residential!K37</f>
        <v>155368</v>
      </c>
      <c r="L14" s="74" t="n">
        <f aca="false">Residential!L37</f>
        <v>108387.05</v>
      </c>
      <c r="M14" s="74" t="n">
        <f aca="false">Residential!M37</f>
        <v>116372</v>
      </c>
      <c r="N14" s="74" t="n">
        <f aca="false">Residential!N37</f>
        <v>168942</v>
      </c>
      <c r="O14" s="74" t="n">
        <f aca="false">Residential!O37</f>
        <v>189148</v>
      </c>
      <c r="P14" s="74" t="n">
        <f aca="false">Residential!P37</f>
        <v>180933.329148484</v>
      </c>
      <c r="Q14" s="74" t="n">
        <f aca="false">Residential!Q37</f>
        <v>174210.179257461</v>
      </c>
      <c r="R14" s="74" t="n">
        <f aca="false">Residential!R37</f>
        <v>164503.537983382</v>
      </c>
      <c r="S14" s="74" t="n">
        <f aca="false">Residential!S37</f>
        <v>146104.58507095</v>
      </c>
      <c r="T14" s="74" t="n">
        <f aca="false">Residential!T37</f>
        <v>127168.154933483</v>
      </c>
      <c r="U14" s="74" t="n">
        <f aca="false">Residential!U37</f>
        <v>133584.602244281</v>
      </c>
      <c r="V14" s="74" t="n">
        <f aca="false">Residential!V37</f>
        <v>161861.339456387</v>
      </c>
      <c r="W14" s="74" t="n">
        <f aca="false">Residential!W37</f>
        <v>186499.980615314</v>
      </c>
      <c r="X14" s="74" t="n">
        <f aca="false">Residential!X37</f>
        <v>202841.440328023</v>
      </c>
      <c r="Y14" s="74" t="n">
        <f aca="false">Residential!Y37</f>
        <v>210487.898621011</v>
      </c>
      <c r="Z14" s="74" t="n">
        <f aca="false">Residential!Z37</f>
        <v>209029.186767837</v>
      </c>
      <c r="AA14" s="74" t="n">
        <f aca="false">Residential!AA37</f>
        <v>202795.306444943</v>
      </c>
      <c r="AB14" s="74" t="n">
        <f aca="false">Residential!AB37</f>
        <v>205972.758614545</v>
      </c>
    </row>
    <row r="15" customFormat="false" ht="15" hidden="false" customHeight="false" outlineLevel="0" collapsed="false">
      <c r="A15" s="21" t="s">
        <v>1056</v>
      </c>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row>
    <row r="16" customFormat="false" ht="15" hidden="false" customHeight="false" outlineLevel="0" collapsed="false">
      <c r="A16" s="27" t="s">
        <v>1057</v>
      </c>
      <c r="B16" s="56"/>
      <c r="C16" s="57" t="n">
        <f aca="false">SUM(E16:P16)</f>
        <v>9019186.18593744</v>
      </c>
      <c r="D16" s="57" t="n">
        <f aca="false">SUM(Q16:AB16)</f>
        <v>9929989.80516221</v>
      </c>
      <c r="E16" s="58" t="n">
        <f aca="false">Residential!E26+Residential!E57+WIP!E713</f>
        <v>628213.1305125</v>
      </c>
      <c r="F16" s="58" t="n">
        <f aca="false">Residential!F26+Residential!F57+WIP!F713</f>
        <v>606645.115845</v>
      </c>
      <c r="G16" s="58" t="n">
        <f aca="false">Residential!G26+Residential!G57+WIP!G713</f>
        <v>602489.5849175</v>
      </c>
      <c r="H16" s="58" t="n">
        <f aca="false">Residential!H26+Residential!H57+WIP!H713</f>
        <v>519965.2646825</v>
      </c>
      <c r="I16" s="58" t="n">
        <f aca="false">Residential!I26+Residential!I57+WIP!I713</f>
        <v>516233.67656</v>
      </c>
      <c r="J16" s="58" t="n">
        <f aca="false">Residential!J26+Residential!J57+WIP!J713</f>
        <v>484820.48372</v>
      </c>
      <c r="K16" s="58" t="n">
        <f aca="false">Residential!K26+Residential!K57+WIP!K713</f>
        <v>696858.0658875</v>
      </c>
      <c r="L16" s="58" t="n">
        <f aca="false">Residential!L26+Residential!L57+WIP!L713</f>
        <v>866154.2609455</v>
      </c>
      <c r="M16" s="58" t="n">
        <f aca="false">Residential!M26+Residential!M57+WIP!M713</f>
        <v>917330.688886926</v>
      </c>
      <c r="N16" s="58" t="n">
        <f aca="false">Residential!N26+Residential!N57+WIP!N713</f>
        <v>1064909.11233853</v>
      </c>
      <c r="O16" s="58" t="n">
        <f aca="false">Residential!O26+Residential!O57+WIP!O713</f>
        <v>1082748.47371503</v>
      </c>
      <c r="P16" s="58" t="n">
        <f aca="false">Residential!P26+Residential!P57+WIP!P713</f>
        <v>1032818.32792646</v>
      </c>
      <c r="Q16" s="58" t="n">
        <f aca="false">Residential!Q26+Residential!Q57+WIP!Q713</f>
        <v>896792.045789395</v>
      </c>
      <c r="R16" s="58" t="n">
        <f aca="false">Residential!R26+Residential!R57+WIP!R713</f>
        <v>804602.952890271</v>
      </c>
      <c r="S16" s="58" t="n">
        <f aca="false">Residential!S26+Residential!S57+WIP!S713</f>
        <v>741421.388873708</v>
      </c>
      <c r="T16" s="58" t="n">
        <f aca="false">Residential!T26+Residential!T57+WIP!T713</f>
        <v>663558.565304279</v>
      </c>
      <c r="U16" s="58" t="n">
        <f aca="false">Residential!U26+Residential!U57+WIP!U713</f>
        <v>714698.643201739</v>
      </c>
      <c r="V16" s="58" t="n">
        <f aca="false">Residential!V26+Residential!V57+WIP!V713</f>
        <v>849149.933006763</v>
      </c>
      <c r="W16" s="58" t="n">
        <f aca="false">Residential!W26+Residential!W57+WIP!W713</f>
        <v>947228.148735634</v>
      </c>
      <c r="X16" s="58" t="n">
        <f aca="false">Residential!X26+Residential!X57+WIP!X713</f>
        <v>973216.527812667</v>
      </c>
      <c r="Y16" s="58" t="n">
        <f aca="false">Residential!Y26+Residential!Y57+WIP!Y713</f>
        <v>935921.805481651</v>
      </c>
      <c r="Z16" s="58" t="n">
        <f aca="false">Residential!Z26+Residential!Z57+WIP!Z713</f>
        <v>866498.902969979</v>
      </c>
      <c r="AA16" s="58" t="n">
        <f aca="false">Residential!AA26+Residential!AA57+WIP!AA713</f>
        <v>761774.630906836</v>
      </c>
      <c r="AB16" s="58" t="n">
        <f aca="false">Residential!AB26+Residential!AB57+WIP!AB713</f>
        <v>775126.260189288</v>
      </c>
    </row>
    <row r="17" customFormat="false" ht="15" hidden="false" customHeight="false" outlineLevel="0" collapsed="false">
      <c r="A17" s="27" t="s">
        <v>1058</v>
      </c>
      <c r="B17" s="56"/>
      <c r="C17" s="57" t="n">
        <f aca="false">SUM(E17:P17)</f>
        <v>8595464.76216538</v>
      </c>
      <c r="D17" s="57" t="n">
        <f aca="false">SUM(Q17:AB17)</f>
        <v>10302095.2907628</v>
      </c>
      <c r="E17" s="58" t="n">
        <f aca="false">Residential!E79+WIP!E714</f>
        <v>635199.2</v>
      </c>
      <c r="F17" s="58" t="n">
        <f aca="false">Residential!F79+WIP!F714</f>
        <v>586647.88</v>
      </c>
      <c r="G17" s="58" t="n">
        <f aca="false">Residential!G79+WIP!G714</f>
        <v>636023.93</v>
      </c>
      <c r="H17" s="58" t="n">
        <f aca="false">Residential!H79+WIP!H714</f>
        <v>598928.95</v>
      </c>
      <c r="I17" s="58" t="n">
        <f aca="false">Residential!I79+WIP!I714</f>
        <v>575160.3</v>
      </c>
      <c r="J17" s="58" t="n">
        <f aca="false">Residential!J79+WIP!J714</f>
        <v>525304.66</v>
      </c>
      <c r="K17" s="58" t="n">
        <f aca="false">Residential!K79+WIP!K714</f>
        <v>483789.09</v>
      </c>
      <c r="L17" s="58" t="n">
        <f aca="false">Residential!L79+WIP!L714</f>
        <v>717766.02</v>
      </c>
      <c r="M17" s="58" t="n">
        <f aca="false">Residential!M79+WIP!M714</f>
        <v>855766.720409616</v>
      </c>
      <c r="N17" s="58" t="n">
        <f aca="false">Residential!N79+WIP!N714</f>
        <v>878757.594347457</v>
      </c>
      <c r="O17" s="58" t="n">
        <f aca="false">Residential!O79+WIP!O714</f>
        <v>1044944.87852372</v>
      </c>
      <c r="P17" s="58" t="n">
        <f aca="false">Residential!P79+WIP!P714</f>
        <v>1057175.53888459</v>
      </c>
      <c r="Q17" s="58" t="n">
        <f aca="false">Residential!Q79+WIP!Q714</f>
        <v>1026452.59864828</v>
      </c>
      <c r="R17" s="58" t="n">
        <f aca="false">Residential!R79+WIP!R714</f>
        <v>895060.963551106</v>
      </c>
      <c r="S17" s="58" t="n">
        <f aca="false">Residential!S79+WIP!S714</f>
        <v>840320.80565164</v>
      </c>
      <c r="T17" s="58" t="n">
        <f aca="false">Residential!T79+WIP!T714</f>
        <v>788895.942812245</v>
      </c>
      <c r="U17" s="58" t="n">
        <f aca="false">Residential!U79+WIP!U714</f>
        <v>716035.355297455</v>
      </c>
      <c r="V17" s="58" t="n">
        <f aca="false">Residential!V79+WIP!V714</f>
        <v>718328.422741787</v>
      </c>
      <c r="W17" s="58" t="n">
        <f aca="false">Residential!W79+WIP!W714</f>
        <v>833799.68863671</v>
      </c>
      <c r="X17" s="58" t="n">
        <f aca="false">Residential!X79+WIP!X714</f>
        <v>935729.262627246</v>
      </c>
      <c r="Y17" s="58" t="n">
        <f aca="false">Residential!Y79+WIP!Y714</f>
        <v>973746.794462774</v>
      </c>
      <c r="Z17" s="58" t="n">
        <f aca="false">Residential!Z79+WIP!Z714</f>
        <v>948796.002660959</v>
      </c>
      <c r="AA17" s="58" t="n">
        <f aca="false">Residential!AA79+WIP!AA714</f>
        <v>874137.170510402</v>
      </c>
      <c r="AB17" s="58" t="n">
        <f aca="false">Residential!AB79+WIP!AB714</f>
        <v>750792.283162206</v>
      </c>
    </row>
    <row r="18" customFormat="false" ht="15" hidden="false" customHeight="false" outlineLevel="0" collapsed="false">
      <c r="A18" s="27" t="s">
        <v>1059</v>
      </c>
      <c r="B18" s="56"/>
      <c r="C18" s="57" t="n">
        <f aca="false">SUM(E18:P18)</f>
        <v>807859.67</v>
      </c>
      <c r="D18" s="57" t="n">
        <f aca="false">SUM(Q18:AB18)</f>
        <v>1046336.9886176</v>
      </c>
      <c r="E18" s="58" t="n">
        <f aca="false">Residential!E36</f>
        <v>14200.01</v>
      </c>
      <c r="F18" s="58" t="n">
        <f aca="false">Residential!F36</f>
        <v>135355.36</v>
      </c>
      <c r="G18" s="58" t="n">
        <f aca="false">Residential!G36</f>
        <v>72516.9</v>
      </c>
      <c r="H18" s="58" t="n">
        <f aca="false">Residential!H36</f>
        <v>75030.21</v>
      </c>
      <c r="I18" s="58" t="n">
        <f aca="false">Residential!I36</f>
        <v>58661.54</v>
      </c>
      <c r="J18" s="58" t="n">
        <f aca="false">Residential!J36</f>
        <v>42614.36</v>
      </c>
      <c r="K18" s="58" t="n">
        <f aca="false">Residential!K36</f>
        <v>41057.29</v>
      </c>
      <c r="L18" s="58" t="n">
        <f aca="false">Residential!L36</f>
        <v>91094.95</v>
      </c>
      <c r="M18" s="58" t="n">
        <f aca="false">Residential!M36</f>
        <v>64273.0500000001</v>
      </c>
      <c r="N18" s="58" t="n">
        <f aca="false">Residential!N36</f>
        <v>44114</v>
      </c>
      <c r="O18" s="58" t="n">
        <f aca="false">Residential!O36</f>
        <v>72258</v>
      </c>
      <c r="P18" s="58" t="n">
        <f aca="false">Residential!P36</f>
        <v>96684</v>
      </c>
      <c r="Q18" s="58" t="n">
        <f aca="false">Residential!Q36</f>
        <v>92464</v>
      </c>
      <c r="R18" s="58" t="n">
        <f aca="false">Residential!R36</f>
        <v>88469.3291484843</v>
      </c>
      <c r="S18" s="58" t="n">
        <f aca="false">Residential!S36</f>
        <v>85740.850108977</v>
      </c>
      <c r="T18" s="58" t="n">
        <f aca="false">Residential!T36</f>
        <v>78762.6878744049</v>
      </c>
      <c r="U18" s="58" t="n">
        <f aca="false">Residential!U36</f>
        <v>67341.8971965454</v>
      </c>
      <c r="V18" s="58" t="n">
        <f aca="false">Residential!V36</f>
        <v>59826.2577369378</v>
      </c>
      <c r="W18" s="58" t="n">
        <f aca="false">Residential!W36</f>
        <v>73758.3445073431</v>
      </c>
      <c r="X18" s="58" t="n">
        <f aca="false">Residential!X36</f>
        <v>88102.9949490439</v>
      </c>
      <c r="Y18" s="58" t="n">
        <f aca="false">Residential!Y36</f>
        <v>98396.9856662696</v>
      </c>
      <c r="Z18" s="58" t="n">
        <f aca="false">Residential!Z36</f>
        <v>104444.454661753</v>
      </c>
      <c r="AA18" s="58" t="n">
        <f aca="false">Residential!AA36</f>
        <v>106043.443959258</v>
      </c>
      <c r="AB18" s="58" t="n">
        <f aca="false">Residential!AB36</f>
        <v>102985.742808579</v>
      </c>
    </row>
    <row r="19" customFormat="false" ht="15" hidden="false" customHeight="false" outlineLevel="0" collapsed="false">
      <c r="A19" s="27" t="s">
        <v>319</v>
      </c>
      <c r="B19" s="56" t="s">
        <v>1060</v>
      </c>
      <c r="C19" s="62" t="n">
        <f aca="false">P19</f>
        <v>25.4848930574214</v>
      </c>
      <c r="D19" s="62" t="n">
        <f aca="false">AB19</f>
        <v>19.7905462723541</v>
      </c>
      <c r="E19" s="72" t="n">
        <f aca="false">IFERROR(E13/AVERAGE(E16:E16)*30,0)</f>
        <v>22.4395257448292</v>
      </c>
      <c r="F19" s="72" t="n">
        <f aca="false">IFERROR(F13/AVERAGE(E16:F16)*30,0)</f>
        <v>23.8030913006839</v>
      </c>
      <c r="G19" s="72" t="n">
        <f aca="false">IFERROR(G13/AVERAGE(E16:G16)*30,0)</f>
        <v>22.3540004868042</v>
      </c>
      <c r="H19" s="72" t="n">
        <f aca="false">IFERROR(H13/AVERAGE(F16:H16)*30,0)</f>
        <v>19.6433655167148</v>
      </c>
      <c r="I19" s="72" t="n">
        <f aca="false">IFERROR(I13/AVERAGE(G16:I16)*30,0)</f>
        <v>17.4907836779328</v>
      </c>
      <c r="J19" s="72" t="n">
        <f aca="false">IFERROR(J13/AVERAGE(H16:J16)*30,0)</f>
        <v>16.4484228477173</v>
      </c>
      <c r="K19" s="72" t="n">
        <f aca="false">IFERROR(K13/AVERAGE(I16:K16)*30,0)</f>
        <v>26.0287768767678</v>
      </c>
      <c r="L19" s="72" t="n">
        <f aca="false">IFERROR(L13/AVERAGE(J16:L16)*30,0)</f>
        <v>28.1026458213668</v>
      </c>
      <c r="M19" s="72" t="n">
        <f aca="false">IFERROR(M13/AVERAGE(K16:M16)*30,0)</f>
        <v>25.4361098200729</v>
      </c>
      <c r="N19" s="72" t="n">
        <f aca="false">IFERROR(N13/AVERAGE(L16:N16)*30,0)</f>
        <v>28.0312036241379</v>
      </c>
      <c r="O19" s="72" t="n">
        <f aca="false">IFERROR(O13/AVERAGE(M16:O16)*30,0)</f>
        <v>27.1603771558746</v>
      </c>
      <c r="P19" s="72" t="n">
        <f aca="false">IFERROR(P13/AVERAGE(N16:P16)*30,0)</f>
        <v>25.4848930574214</v>
      </c>
      <c r="Q19" s="72" t="n">
        <f aca="false">IFERROR(Q13/AVERAGE(O16:Q16)*30,0)</f>
        <v>23.033324479705</v>
      </c>
      <c r="R19" s="72" t="n">
        <f aca="false">IFERROR(R13/AVERAGE(P16:R16)*30,0)</f>
        <v>22.398917168153</v>
      </c>
      <c r="S19" s="72" t="n">
        <f aca="false">IFERROR(S13/AVERAGE(Q16:S16)*30,0)</f>
        <v>21.427099711379</v>
      </c>
      <c r="T19" s="72" t="n">
        <f aca="false">IFERROR(T13/AVERAGE(R16:T16)*30,0)</f>
        <v>18.5836459024125</v>
      </c>
      <c r="U19" s="72" t="n">
        <f aca="false">IFERROR(U13/AVERAGE(S16:U16)*30,0)</f>
        <v>19.3150991376599</v>
      </c>
      <c r="V19" s="72" t="n">
        <f aca="false">IFERROR(V13/AVERAGE(T16:V16)*30,0)</f>
        <v>23.6668623305259</v>
      </c>
      <c r="W19" s="72" t="n">
        <f aca="false">IFERROR(W13/AVERAGE(U16:W16)*30,0)</f>
        <v>25.0586925345805</v>
      </c>
      <c r="X19" s="72" t="n">
        <f aca="false">IFERROR(X13/AVERAGE(V16:X16)*30,0)</f>
        <v>23.9378547384071</v>
      </c>
      <c r="Y19" s="72" t="n">
        <f aca="false">IFERROR(Y13/AVERAGE(W16:Y16)*30,0)</f>
        <v>22.0188497642662</v>
      </c>
      <c r="Z19" s="72" t="n">
        <f aca="false">IFERROR(Z13/AVERAGE(X16:Z16)*30,0)</f>
        <v>19.9907843656092</v>
      </c>
      <c r="AA19" s="72" t="n">
        <f aca="false">IFERROR(AA13/AVERAGE(Y16:AA16)*30,0)</f>
        <v>17.695429129961</v>
      </c>
      <c r="AB19" s="72" t="n">
        <f aca="false">IFERROR(AB13/AVERAGE(Z16:AB16)*30,0)</f>
        <v>19.7905462723541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50"/>
    <col collapsed="false" customWidth="true" hidden="false" outlineLevel="0" max="3" min="3" style="0" width="15"/>
    <col collapsed="false" customWidth="true" hidden="false" outlineLevel="0" max="4" min="4" style="0" width="13"/>
    <col collapsed="false" customWidth="true" hidden="false" outlineLevel="0" max="5" min="5" style="0" width="11"/>
    <col collapsed="false" customWidth="true" hidden="false" outlineLevel="0" max="6" min="6" style="0" width="9"/>
    <col collapsed="false" customWidth="true" hidden="false" outlineLevel="0" max="11" min="7" style="0" width="12"/>
    <col collapsed="false" customWidth="true" hidden="false" outlineLevel="0" max="12" min="12" style="0" width="56"/>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1061</v>
      </c>
    </row>
    <row r="3" customFormat="false" ht="15" hidden="false" customHeight="false" outlineLevel="0" collapsed="false">
      <c r="A3" s="24" t="s">
        <v>1062</v>
      </c>
    </row>
    <row r="4" customFormat="false" ht="15" hidden="false" customHeight="false" outlineLevel="0" collapsed="false">
      <c r="A4" s="0" t="s">
        <v>1063</v>
      </c>
      <c r="B4" s="117" t="n">
        <f aca="false">Assumptions!$C$17</f>
        <v>46265</v>
      </c>
    </row>
    <row r="6" customFormat="false" ht="30" hidden="false" customHeight="true" outlineLevel="0" collapsed="false">
      <c r="A6" s="25" t="s">
        <v>1064</v>
      </c>
      <c r="B6" s="26" t="s">
        <v>1065</v>
      </c>
      <c r="C6" s="26" t="s">
        <v>1066</v>
      </c>
      <c r="D6" s="26" t="s">
        <v>1067</v>
      </c>
      <c r="E6" s="26" t="s">
        <v>1068</v>
      </c>
      <c r="F6" s="26" t="s">
        <v>1069</v>
      </c>
      <c r="G6" s="26" t="s">
        <v>1070</v>
      </c>
      <c r="H6" s="26" t="s">
        <v>1071</v>
      </c>
      <c r="I6" s="26" t="s">
        <v>1072</v>
      </c>
      <c r="J6" s="26" t="s">
        <v>1073</v>
      </c>
      <c r="K6" s="26" t="s">
        <v>1074</v>
      </c>
      <c r="L6" s="26" t="s">
        <v>1075</v>
      </c>
    </row>
    <row r="7" customFormat="false" ht="15" hidden="false" customHeight="false" outlineLevel="0" collapsed="false">
      <c r="A7" s="14" t="s">
        <v>1076</v>
      </c>
      <c r="B7" s="14" t="s">
        <v>1077</v>
      </c>
      <c r="C7" s="14" t="s">
        <v>1078</v>
      </c>
      <c r="D7" s="71" t="n">
        <v>194349.57</v>
      </c>
      <c r="E7" s="112" t="n">
        <v>46295</v>
      </c>
      <c r="F7" s="113" t="n">
        <f aca="false">MAX(0,$B$4-E7)</f>
        <v>0</v>
      </c>
      <c r="G7" s="28" t="n">
        <f aca="false">IF(E7&gt;=$B$4,D7,0)</f>
        <v>194349.57</v>
      </c>
      <c r="H7" s="28" t="n">
        <f aca="false">IF(AND(F7&gt;=1,F7&lt;=30),D7,0)</f>
        <v>0</v>
      </c>
      <c r="I7" s="28" t="n">
        <f aca="false">IF(AND(F7&gt;30,F7&lt;=60),D7,0)</f>
        <v>0</v>
      </c>
      <c r="J7" s="28" t="n">
        <f aca="false">IF(AND(F7&gt;60,F7&lt;=90),D7,0)</f>
        <v>0</v>
      </c>
      <c r="K7" s="28" t="n">
        <f aca="false">IF(F7&gt;90,D7,0)</f>
        <v>0</v>
      </c>
      <c r="L7" s="44" t="s">
        <v>1079</v>
      </c>
    </row>
    <row r="8" customFormat="false" ht="22.35" hidden="false" customHeight="false" outlineLevel="0" collapsed="false">
      <c r="A8" s="14" t="s">
        <v>1076</v>
      </c>
      <c r="B8" s="14" t="s">
        <v>1080</v>
      </c>
      <c r="C8" s="14" t="s">
        <v>1078</v>
      </c>
      <c r="D8" s="71" t="n">
        <v>39806.54</v>
      </c>
      <c r="E8" s="112" t="n">
        <v>46264</v>
      </c>
      <c r="F8" s="113" t="n">
        <f aca="false">MAX(0,$B$4-E8)</f>
        <v>1</v>
      </c>
      <c r="G8" s="28" t="n">
        <f aca="false">IF(E8&gt;=$B$4,D8,0)</f>
        <v>0</v>
      </c>
      <c r="H8" s="28" t="n">
        <f aca="false">IF(AND(F8&gt;=1,F8&lt;=30),D8,0)</f>
        <v>39806.54</v>
      </c>
      <c r="I8" s="28" t="n">
        <f aca="false">IF(AND(F8&gt;30,F8&lt;=60),D8,0)</f>
        <v>0</v>
      </c>
      <c r="J8" s="28" t="n">
        <f aca="false">IF(AND(F8&gt;60,F8&lt;=90),D8,0)</f>
        <v>0</v>
      </c>
      <c r="K8" s="28" t="n">
        <f aca="false">IF(F8&gt;90,D8,0)</f>
        <v>0</v>
      </c>
      <c r="L8" s="44" t="s">
        <v>1081</v>
      </c>
    </row>
    <row r="9" customFormat="false" ht="15" hidden="false" customHeight="false" outlineLevel="0" collapsed="false">
      <c r="A9" s="14" t="s">
        <v>1082</v>
      </c>
      <c r="B9" s="14" t="s">
        <v>1083</v>
      </c>
      <c r="C9" s="14" t="s">
        <v>1078</v>
      </c>
      <c r="D9" s="71" t="n">
        <v>83121.49</v>
      </c>
      <c r="E9" s="112" t="n">
        <v>46310</v>
      </c>
      <c r="F9" s="113" t="n">
        <f aca="false">MAX(0,$B$4-E9)</f>
        <v>0</v>
      </c>
      <c r="G9" s="28" t="n">
        <f aca="false">IF(E9&gt;=$B$4,D9,0)</f>
        <v>83121.49</v>
      </c>
      <c r="H9" s="28" t="n">
        <f aca="false">IF(AND(F9&gt;=1,F9&lt;=30),D9,0)</f>
        <v>0</v>
      </c>
      <c r="I9" s="28" t="n">
        <f aca="false">IF(AND(F9&gt;30,F9&lt;=60),D9,0)</f>
        <v>0</v>
      </c>
      <c r="J9" s="28" t="n">
        <f aca="false">IF(AND(F9&gt;60,F9&lt;=90),D9,0)</f>
        <v>0</v>
      </c>
      <c r="K9" s="28" t="n">
        <f aca="false">IF(F9&gt;90,D9,0)</f>
        <v>0</v>
      </c>
      <c r="L9" s="44" t="s">
        <v>1084</v>
      </c>
    </row>
    <row r="10" customFormat="false" ht="15" hidden="false" customHeight="false" outlineLevel="0" collapsed="false">
      <c r="A10" s="14" t="s">
        <v>1082</v>
      </c>
      <c r="B10" s="14" t="s">
        <v>1085</v>
      </c>
      <c r="C10" s="14" t="s">
        <v>1078</v>
      </c>
      <c r="D10" s="71" t="n">
        <v>32325.02</v>
      </c>
      <c r="E10" s="112" t="n">
        <v>46279</v>
      </c>
      <c r="F10" s="113" t="n">
        <f aca="false">MAX(0,$B$4-E10)</f>
        <v>0</v>
      </c>
      <c r="G10" s="28" t="n">
        <f aca="false">IF(E10&gt;=$B$4,D10,0)</f>
        <v>32325.02</v>
      </c>
      <c r="H10" s="28" t="n">
        <f aca="false">IF(AND(F10&gt;=1,F10&lt;=30),D10,0)</f>
        <v>0</v>
      </c>
      <c r="I10" s="28" t="n">
        <f aca="false">IF(AND(F10&gt;30,F10&lt;=60),D10,0)</f>
        <v>0</v>
      </c>
      <c r="J10" s="28" t="n">
        <f aca="false">IF(AND(F10&gt;60,F10&lt;=90),D10,0)</f>
        <v>0</v>
      </c>
      <c r="K10" s="28" t="n">
        <f aca="false">IF(F10&gt;90,D10,0)</f>
        <v>0</v>
      </c>
      <c r="L10" s="44" t="s">
        <v>1086</v>
      </c>
    </row>
    <row r="11" customFormat="false" ht="15" hidden="false" customHeight="false" outlineLevel="0" collapsed="false">
      <c r="A11" s="14" t="s">
        <v>1053</v>
      </c>
      <c r="B11" s="14" t="s">
        <v>1087</v>
      </c>
      <c r="C11" s="14" t="s">
        <v>1088</v>
      </c>
      <c r="D11" s="71" t="n">
        <v>147462.08</v>
      </c>
      <c r="E11" s="112" t="n">
        <v>46295</v>
      </c>
      <c r="F11" s="113" t="n">
        <f aca="false">MAX(0,$B$4-E11)</f>
        <v>0</v>
      </c>
      <c r="G11" s="28" t="n">
        <f aca="false">IF(E11&gt;=$B$4,D11,0)</f>
        <v>147462.08</v>
      </c>
      <c r="H11" s="28" t="n">
        <f aca="false">IF(AND(F11&gt;=1,F11&lt;=30),D11,0)</f>
        <v>0</v>
      </c>
      <c r="I11" s="28" t="n">
        <f aca="false">IF(AND(F11&gt;30,F11&lt;=60),D11,0)</f>
        <v>0</v>
      </c>
      <c r="J11" s="28" t="n">
        <f aca="false">IF(AND(F11&gt;60,F11&lt;=90),D11,0)</f>
        <v>0</v>
      </c>
      <c r="K11" s="28" t="n">
        <f aca="false">IF(F11&gt;90,D11,0)</f>
        <v>0</v>
      </c>
      <c r="L11" s="44" t="s">
        <v>1089</v>
      </c>
    </row>
    <row r="12" customFormat="false" ht="15" hidden="false" customHeight="false" outlineLevel="0" collapsed="false">
      <c r="A12" s="14" t="s">
        <v>1090</v>
      </c>
      <c r="B12" s="14" t="s">
        <v>1091</v>
      </c>
      <c r="C12" s="14" t="s">
        <v>1092</v>
      </c>
      <c r="D12" s="71" t="n">
        <v>56144.71</v>
      </c>
      <c r="E12" s="112" t="n">
        <v>46275</v>
      </c>
      <c r="F12" s="113" t="n">
        <f aca="false">MAX(0,$B$4-E12)</f>
        <v>0</v>
      </c>
      <c r="G12" s="28" t="n">
        <f aca="false">IF(E12&gt;=$B$4,D12,0)</f>
        <v>56144.71</v>
      </c>
      <c r="H12" s="28" t="n">
        <f aca="false">IF(AND(F12&gt;=1,F12&lt;=30),D12,0)</f>
        <v>0</v>
      </c>
      <c r="I12" s="28" t="n">
        <f aca="false">IF(AND(F12&gt;30,F12&lt;=60),D12,0)</f>
        <v>0</v>
      </c>
      <c r="J12" s="28" t="n">
        <f aca="false">IF(AND(F12&gt;60,F12&lt;=90),D12,0)</f>
        <v>0</v>
      </c>
      <c r="K12" s="28" t="n">
        <f aca="false">IF(F12&gt;90,D12,0)</f>
        <v>0</v>
      </c>
      <c r="L12" s="44" t="s">
        <v>1093</v>
      </c>
    </row>
    <row r="13" customFormat="false" ht="15" hidden="false" customHeight="false" outlineLevel="0" collapsed="false">
      <c r="A13" s="14" t="s">
        <v>1094</v>
      </c>
      <c r="B13" s="14" t="s">
        <v>1095</v>
      </c>
      <c r="C13" s="14" t="s">
        <v>1092</v>
      </c>
      <c r="D13" s="71" t="n">
        <v>9139.84</v>
      </c>
      <c r="E13" s="112" t="n">
        <v>46246</v>
      </c>
      <c r="F13" s="113" t="n">
        <f aca="false">MAX(0,$B$4-E13)</f>
        <v>19</v>
      </c>
      <c r="G13" s="28" t="n">
        <f aca="false">IF(E13&gt;=$B$4,D13,0)</f>
        <v>0</v>
      </c>
      <c r="H13" s="28" t="n">
        <f aca="false">IF(AND(F13&gt;=1,F13&lt;=30),D13,0)</f>
        <v>9139.84</v>
      </c>
      <c r="I13" s="28" t="n">
        <f aca="false">IF(AND(F13&gt;30,F13&lt;=60),D13,0)</f>
        <v>0</v>
      </c>
      <c r="J13" s="28" t="n">
        <f aca="false">IF(AND(F13&gt;60,F13&lt;=90),D13,0)</f>
        <v>0</v>
      </c>
      <c r="K13" s="28" t="n">
        <f aca="false">IF(F13&gt;90,D13,0)</f>
        <v>0</v>
      </c>
      <c r="L13" s="44" t="s">
        <v>1096</v>
      </c>
    </row>
    <row r="14" customFormat="false" ht="15" hidden="false" customHeight="false" outlineLevel="0" collapsed="false">
      <c r="A14" s="14" t="s">
        <v>1097</v>
      </c>
      <c r="B14" s="14" t="s">
        <v>1098</v>
      </c>
      <c r="C14" s="14" t="s">
        <v>1092</v>
      </c>
      <c r="D14" s="71" t="n">
        <v>52820.87</v>
      </c>
      <c r="E14" s="112" t="n">
        <v>46277</v>
      </c>
      <c r="F14" s="113" t="n">
        <f aca="false">MAX(0,$B$4-E14)</f>
        <v>0</v>
      </c>
      <c r="G14" s="28" t="n">
        <f aca="false">IF(E14&gt;=$B$4,D14,0)</f>
        <v>52820.87</v>
      </c>
      <c r="H14" s="28" t="n">
        <f aca="false">IF(AND(F14&gt;=1,F14&lt;=30),D14,0)</f>
        <v>0</v>
      </c>
      <c r="I14" s="28" t="n">
        <f aca="false">IF(AND(F14&gt;30,F14&lt;=60),D14,0)</f>
        <v>0</v>
      </c>
      <c r="J14" s="28" t="n">
        <f aca="false">IF(AND(F14&gt;60,F14&lt;=90),D14,0)</f>
        <v>0</v>
      </c>
      <c r="K14" s="28" t="n">
        <f aca="false">IF(F14&gt;90,D14,0)</f>
        <v>0</v>
      </c>
      <c r="L14" s="44" t="s">
        <v>1099</v>
      </c>
    </row>
    <row r="15" customFormat="false" ht="15" hidden="false" customHeight="false" outlineLevel="0" collapsed="false">
      <c r="A15" s="14" t="s">
        <v>1100</v>
      </c>
      <c r="B15" s="14" t="s">
        <v>1101</v>
      </c>
      <c r="C15" s="14" t="s">
        <v>1092</v>
      </c>
      <c r="D15" s="71" t="n">
        <v>5868.99</v>
      </c>
      <c r="E15" s="112" t="n">
        <v>46248</v>
      </c>
      <c r="F15" s="113" t="n">
        <f aca="false">MAX(0,$B$4-E15)</f>
        <v>17</v>
      </c>
      <c r="G15" s="28" t="n">
        <f aca="false">IF(E15&gt;=$B$4,D15,0)</f>
        <v>0</v>
      </c>
      <c r="H15" s="28" t="n">
        <f aca="false">IF(AND(F15&gt;=1,F15&lt;=30),D15,0)</f>
        <v>5868.99</v>
      </c>
      <c r="I15" s="28" t="n">
        <f aca="false">IF(AND(F15&gt;30,F15&lt;=60),D15,0)</f>
        <v>0</v>
      </c>
      <c r="J15" s="28" t="n">
        <f aca="false">IF(AND(F15&gt;60,F15&lt;=90),D15,0)</f>
        <v>0</v>
      </c>
      <c r="K15" s="28" t="n">
        <f aca="false">IF(F15&gt;90,D15,0)</f>
        <v>0</v>
      </c>
      <c r="L15" s="44" t="s">
        <v>1102</v>
      </c>
    </row>
    <row r="16" customFormat="false" ht="22.35" hidden="false" customHeight="false" outlineLevel="0" collapsed="false">
      <c r="A16" s="14" t="s">
        <v>1103</v>
      </c>
      <c r="B16" s="14" t="s">
        <v>1104</v>
      </c>
      <c r="C16" s="14" t="s">
        <v>1092</v>
      </c>
      <c r="D16" s="71" t="n">
        <v>18400</v>
      </c>
      <c r="E16" s="112" t="n">
        <v>46203</v>
      </c>
      <c r="F16" s="113" t="n">
        <f aca="false">MAX(0,$B$4-E16)</f>
        <v>62</v>
      </c>
      <c r="G16" s="28" t="n">
        <f aca="false">IF(E16&gt;=$B$4,D16,0)</f>
        <v>0</v>
      </c>
      <c r="H16" s="28" t="n">
        <f aca="false">IF(AND(F16&gt;=1,F16&lt;=30),D16,0)</f>
        <v>0</v>
      </c>
      <c r="I16" s="28" t="n">
        <f aca="false">IF(AND(F16&gt;30,F16&lt;=60),D16,0)</f>
        <v>0</v>
      </c>
      <c r="J16" s="28" t="n">
        <f aca="false">IF(AND(F16&gt;60,F16&lt;=90),D16,0)</f>
        <v>18400</v>
      </c>
      <c r="K16" s="28" t="n">
        <f aca="false">IF(F16&gt;90,D16,0)</f>
        <v>0</v>
      </c>
      <c r="L16" s="44" t="s">
        <v>1105</v>
      </c>
    </row>
    <row r="17" customFormat="false" ht="15" hidden="false" customHeight="false" outlineLevel="0" collapsed="false">
      <c r="A17" s="14" t="s">
        <v>1106</v>
      </c>
      <c r="B17" s="14" t="s">
        <v>1107</v>
      </c>
      <c r="C17" s="14" t="s">
        <v>1108</v>
      </c>
      <c r="D17" s="71" t="n">
        <v>67199.97</v>
      </c>
      <c r="E17" s="112" t="n">
        <v>46325</v>
      </c>
      <c r="F17" s="113" t="n">
        <f aca="false">MAX(0,$B$4-E17)</f>
        <v>0</v>
      </c>
      <c r="G17" s="28" t="n">
        <f aca="false">IF(E17&gt;=$B$4,D17,0)</f>
        <v>67199.97</v>
      </c>
      <c r="H17" s="28" t="n">
        <f aca="false">IF(AND(F17&gt;=1,F17&lt;=30),D17,0)</f>
        <v>0</v>
      </c>
      <c r="I17" s="28" t="n">
        <f aca="false">IF(AND(F17&gt;30,F17&lt;=60),D17,0)</f>
        <v>0</v>
      </c>
      <c r="J17" s="28" t="n">
        <f aca="false">IF(AND(F17&gt;60,F17&lt;=90),D17,0)</f>
        <v>0</v>
      </c>
      <c r="K17" s="28" t="n">
        <f aca="false">IF(F17&gt;90,D17,0)</f>
        <v>0</v>
      </c>
      <c r="L17" s="44" t="s">
        <v>1109</v>
      </c>
    </row>
    <row r="18" customFormat="false" ht="15" hidden="false" customHeight="false" outlineLevel="0" collapsed="false">
      <c r="A18" s="14" t="s">
        <v>1106</v>
      </c>
      <c r="B18" s="14" t="s">
        <v>1110</v>
      </c>
      <c r="C18" s="14" t="s">
        <v>1108</v>
      </c>
      <c r="D18" s="71" t="n">
        <v>41187.08</v>
      </c>
      <c r="E18" s="112" t="n">
        <v>46294</v>
      </c>
      <c r="F18" s="113" t="n">
        <f aca="false">MAX(0,$B$4-E18)</f>
        <v>0</v>
      </c>
      <c r="G18" s="28" t="n">
        <f aca="false">IF(E18&gt;=$B$4,D18,0)</f>
        <v>41187.08</v>
      </c>
      <c r="H18" s="28" t="n">
        <f aca="false">IF(AND(F18&gt;=1,F18&lt;=30),D18,0)</f>
        <v>0</v>
      </c>
      <c r="I18" s="28" t="n">
        <f aca="false">IF(AND(F18&gt;30,F18&lt;=60),D18,0)</f>
        <v>0</v>
      </c>
      <c r="J18" s="28" t="n">
        <f aca="false">IF(AND(F18&gt;60,F18&lt;=90),D18,0)</f>
        <v>0</v>
      </c>
      <c r="K18" s="28" t="n">
        <f aca="false">IF(F18&gt;90,D18,0)</f>
        <v>0</v>
      </c>
      <c r="L18" s="44" t="s">
        <v>1111</v>
      </c>
    </row>
    <row r="19" customFormat="false" ht="15" hidden="false" customHeight="false" outlineLevel="0" collapsed="false">
      <c r="A19" s="14" t="s">
        <v>1112</v>
      </c>
      <c r="B19" s="14" t="s">
        <v>1113</v>
      </c>
      <c r="C19" s="14" t="s">
        <v>1114</v>
      </c>
      <c r="D19" s="71" t="n">
        <v>29000</v>
      </c>
      <c r="E19" s="112" t="n">
        <v>46477</v>
      </c>
      <c r="F19" s="113" t="n">
        <f aca="false">MAX(0,$B$4-E19)</f>
        <v>0</v>
      </c>
      <c r="G19" s="28" t="n">
        <f aca="false">IF(E19&gt;=$B$4,D19,0)</f>
        <v>29000</v>
      </c>
      <c r="H19" s="28" t="n">
        <f aca="false">IF(AND(F19&gt;=1,F19&lt;=30),D19,0)</f>
        <v>0</v>
      </c>
      <c r="I19" s="28" t="n">
        <f aca="false">IF(AND(F19&gt;30,F19&lt;=60),D19,0)</f>
        <v>0</v>
      </c>
      <c r="J19" s="28" t="n">
        <f aca="false">IF(AND(F19&gt;60,F19&lt;=90),D19,0)</f>
        <v>0</v>
      </c>
      <c r="K19" s="28" t="n">
        <f aca="false">IF(F19&gt;90,D19,0)</f>
        <v>0</v>
      </c>
      <c r="L19" s="44" t="s">
        <v>1115</v>
      </c>
    </row>
    <row r="20" customFormat="false" ht="15" hidden="false" customHeight="false" outlineLevel="0" collapsed="false">
      <c r="A20" s="14" t="s">
        <v>1112</v>
      </c>
      <c r="B20" s="14" t="s">
        <v>1116</v>
      </c>
      <c r="C20" s="14" t="s">
        <v>1114</v>
      </c>
      <c r="D20" s="71" t="n">
        <v>17000</v>
      </c>
      <c r="E20" s="112" t="n">
        <v>46568</v>
      </c>
      <c r="F20" s="113" t="n">
        <f aca="false">MAX(0,$B$4-E20)</f>
        <v>0</v>
      </c>
      <c r="G20" s="28" t="n">
        <f aca="false">IF(E20&gt;=$B$4,D20,0)</f>
        <v>17000</v>
      </c>
      <c r="H20" s="28" t="n">
        <f aca="false">IF(AND(F20&gt;=1,F20&lt;=30),D20,0)</f>
        <v>0</v>
      </c>
      <c r="I20" s="28" t="n">
        <f aca="false">IF(AND(F20&gt;30,F20&lt;=60),D20,0)</f>
        <v>0</v>
      </c>
      <c r="J20" s="28" t="n">
        <f aca="false">IF(AND(F20&gt;60,F20&lt;=90),D20,0)</f>
        <v>0</v>
      </c>
      <c r="K20" s="28" t="n">
        <f aca="false">IF(F20&gt;90,D20,0)</f>
        <v>0</v>
      </c>
      <c r="L20" s="44" t="s">
        <v>1117</v>
      </c>
    </row>
    <row r="21" customFormat="false" ht="15" hidden="false" customHeight="false" outlineLevel="0" collapsed="false">
      <c r="A21" s="79" t="s">
        <v>524</v>
      </c>
      <c r="D21" s="80" t="n">
        <f aca="false">SUM(D7:D20)</f>
        <v>793826.16</v>
      </c>
      <c r="G21" s="80" t="n">
        <f aca="false">SUM(G7:G20)</f>
        <v>720610.79</v>
      </c>
      <c r="H21" s="80" t="n">
        <f aca="false">SUM(H7:H20)</f>
        <v>54815.37</v>
      </c>
      <c r="I21" s="80" t="n">
        <f aca="false">SUM(I7:I20)</f>
        <v>0</v>
      </c>
      <c r="J21" s="80" t="n">
        <f aca="false">SUM(J7:J20)</f>
        <v>18400</v>
      </c>
      <c r="K21" s="80" t="n">
        <f aca="false">SUM(K7:K20)</f>
        <v>0</v>
      </c>
    </row>
    <row r="22" customFormat="false" ht="15" hidden="false" customHeight="false" outlineLevel="0" collapsed="false">
      <c r="A22" s="13" t="s">
        <v>1118</v>
      </c>
      <c r="G22" s="78" t="n">
        <f aca="false">IF($D$21=0,0,G21/$D$21)</f>
        <v>0.907769013306389</v>
      </c>
      <c r="H22" s="78" t="n">
        <f aca="false">IF($D$21=0,0,H21/$D$21)</f>
        <v>0.0690521083356588</v>
      </c>
      <c r="I22" s="78" t="n">
        <f aca="false">IF($D$21=0,0,I21/$D$21)</f>
        <v>0</v>
      </c>
      <c r="J22" s="78" t="n">
        <f aca="false">IF($D$21=0,0,J21/$D$21)</f>
        <v>0.0231788783579518</v>
      </c>
      <c r="K22" s="78" t="n">
        <f aca="false">IF($D$21=0,0,K21/$D$21)</f>
        <v>0</v>
      </c>
    </row>
    <row r="24" customFormat="false" ht="15" hidden="false" customHeight="false" outlineLevel="0" collapsed="false">
      <c r="A24" s="5" t="s">
        <v>1119</v>
      </c>
      <c r="D24" s="28" t="n">
        <f aca="false">SUMIFS(D7:D20,C7:C20,"Commercial")</f>
        <v>349602.62</v>
      </c>
      <c r="E24" s="118" t="s">
        <v>1120</v>
      </c>
      <c r="F24" s="58" t="n">
        <f aca="false">INDEX(WIP!$E$665:$AB$665,Assumptions!$C$10)</f>
        <v>349602.6170705</v>
      </c>
      <c r="G24" s="118" t="s">
        <v>1121</v>
      </c>
      <c r="H24" s="34" t="n">
        <f aca="false">ROUND(D24-F24,0)</f>
        <v>0</v>
      </c>
    </row>
    <row r="25" customFormat="false" ht="15" hidden="false" customHeight="false" outlineLevel="0" collapsed="false">
      <c r="A25" s="5" t="s">
        <v>1122</v>
      </c>
      <c r="D25" s="28" t="n">
        <f aca="false">SUMIFS(D7:D20,C7:C20,"Council")</f>
        <v>147462.08</v>
      </c>
      <c r="E25" s="118" t="s">
        <v>1120</v>
      </c>
      <c r="F25" s="58" t="n">
        <f aca="false">INDEX(WIP!$E$690:$AB$690,Assumptions!$C$10)</f>
        <v>147462.086</v>
      </c>
      <c r="G25" s="118" t="s">
        <v>1121</v>
      </c>
      <c r="H25" s="34" t="n">
        <f aca="false">ROUND(D25-F25,0)</f>
        <v>-0</v>
      </c>
    </row>
    <row r="26" customFormat="false" ht="15" hidden="false" customHeight="false" outlineLevel="0" collapsed="false">
      <c r="A26" s="5" t="s">
        <v>1123</v>
      </c>
      <c r="D26" s="28" t="n">
        <f aca="false">SUMIFS(D7:D20,C7:C20,"Homeowners")</f>
        <v>142374.41</v>
      </c>
      <c r="E26" s="118" t="s">
        <v>1120</v>
      </c>
      <c r="F26" s="58" t="n">
        <f aca="false">INDEX(Residential!$E$35:$AB$35,Assumptions!$C$10)+INDEX(Residential!$E$64:$AB$64,Assumptions!$C$10)</f>
        <v>142374.41</v>
      </c>
      <c r="G26" s="118" t="s">
        <v>1121</v>
      </c>
      <c r="H26" s="34" t="n">
        <f aca="false">ROUND(D26-F26,0)</f>
        <v>0</v>
      </c>
    </row>
    <row r="27" customFormat="false" ht="15" hidden="false" customHeight="false" outlineLevel="0" collapsed="false">
      <c r="A27" s="5" t="s">
        <v>1124</v>
      </c>
      <c r="D27" s="28" t="n">
        <f aca="false">SUMIFS(D7:D20,C7:C20,"SEAI grants")</f>
        <v>108387.05</v>
      </c>
      <c r="E27" s="118" t="s">
        <v>1120</v>
      </c>
      <c r="F27" s="58" t="n">
        <f aca="false">INDEX(Residential!$E$37:$AB$37,Assumptions!$C$10)</f>
        <v>108387.05</v>
      </c>
      <c r="G27" s="118" t="s">
        <v>1121</v>
      </c>
      <c r="H27" s="34" t="n">
        <f aca="false">ROUND(D27-F27,0)</f>
        <v>0</v>
      </c>
    </row>
    <row r="28" customFormat="false" ht="15" hidden="false" customHeight="false" outlineLevel="0" collapsed="false">
      <c r="A28" s="5" t="s">
        <v>1125</v>
      </c>
      <c r="D28" s="28" t="n">
        <f aca="false">SUMIFS(D7:D20,C7:C20,"Other")</f>
        <v>46000</v>
      </c>
      <c r="E28" s="118" t="s">
        <v>1120</v>
      </c>
      <c r="F28" s="58" t="n">
        <f aca="false">INDEX(BS!$E$14:$AB$14,Assumptions!$C$10)</f>
        <v>46000</v>
      </c>
      <c r="G28" s="118" t="s">
        <v>1121</v>
      </c>
      <c r="H28" s="34" t="n">
        <f aca="false">ROUND(D28-F28,0)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50"/>
    <col collapsed="false" customWidth="true" hidden="false" outlineLevel="0" max="3" min="3" style="0" width="15"/>
    <col collapsed="false" customWidth="true" hidden="false" outlineLevel="0" max="4" min="4" style="0" width="13"/>
    <col collapsed="false" customWidth="true" hidden="false" outlineLevel="0" max="5" min="5" style="0" width="11"/>
    <col collapsed="false" customWidth="true" hidden="false" outlineLevel="0" max="6" min="6" style="0" width="9"/>
    <col collapsed="false" customWidth="true" hidden="false" outlineLevel="0" max="11" min="7" style="0" width="12"/>
    <col collapsed="false" customWidth="true" hidden="false" outlineLevel="0" max="12" min="12" style="0" width="56"/>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1126</v>
      </c>
    </row>
    <row r="3" customFormat="false" ht="15" hidden="false" customHeight="false" outlineLevel="0" collapsed="false">
      <c r="A3" s="24" t="s">
        <v>1127</v>
      </c>
    </row>
    <row r="4" customFormat="false" ht="15" hidden="false" customHeight="false" outlineLevel="0" collapsed="false">
      <c r="A4" s="0" t="s">
        <v>1063</v>
      </c>
      <c r="B4" s="117" t="n">
        <f aca="false">Assumptions!$C$17</f>
        <v>46265</v>
      </c>
    </row>
    <row r="6" customFormat="false" ht="30" hidden="false" customHeight="true" outlineLevel="0" collapsed="false">
      <c r="A6" s="25" t="s">
        <v>1064</v>
      </c>
      <c r="B6" s="26" t="s">
        <v>1065</v>
      </c>
      <c r="C6" s="26" t="s">
        <v>1066</v>
      </c>
      <c r="D6" s="26" t="s">
        <v>1067</v>
      </c>
      <c r="E6" s="26" t="s">
        <v>1068</v>
      </c>
      <c r="F6" s="26" t="s">
        <v>1069</v>
      </c>
      <c r="G6" s="26" t="s">
        <v>1070</v>
      </c>
      <c r="H6" s="26" t="s">
        <v>1071</v>
      </c>
      <c r="I6" s="26" t="s">
        <v>1072</v>
      </c>
      <c r="J6" s="26" t="s">
        <v>1073</v>
      </c>
      <c r="K6" s="26" t="s">
        <v>1074</v>
      </c>
      <c r="L6" s="26" t="s">
        <v>1075</v>
      </c>
    </row>
    <row r="7" customFormat="false" ht="15" hidden="false" customHeight="false" outlineLevel="0" collapsed="false">
      <c r="A7" s="14" t="s">
        <v>959</v>
      </c>
      <c r="B7" s="14" t="s">
        <v>1128</v>
      </c>
      <c r="C7" s="14" t="s">
        <v>796</v>
      </c>
      <c r="D7" s="71" t="n">
        <v>125721.07</v>
      </c>
      <c r="E7" s="112" t="n">
        <v>46290</v>
      </c>
      <c r="F7" s="113" t="n">
        <f aca="false">MAX(0,$B$4-E7)</f>
        <v>0</v>
      </c>
      <c r="G7" s="28" t="n">
        <f aca="false">IF(E7&gt;=$B$4,D7,0)</f>
        <v>125721.07</v>
      </c>
      <c r="H7" s="28" t="n">
        <f aca="false">IF(AND(F7&gt;=1,F7&lt;=30),D7,0)</f>
        <v>0</v>
      </c>
      <c r="I7" s="28" t="n">
        <f aca="false">IF(AND(F7&gt;30,F7&lt;=60),D7,0)</f>
        <v>0</v>
      </c>
      <c r="J7" s="28" t="n">
        <f aca="false">IF(AND(F7&gt;60,F7&lt;=90),D7,0)</f>
        <v>0</v>
      </c>
      <c r="K7" s="28" t="n">
        <f aca="false">IF(F7&gt;90,D7,0)</f>
        <v>0</v>
      </c>
      <c r="L7" s="44" t="s">
        <v>1129</v>
      </c>
    </row>
    <row r="8" customFormat="false" ht="15" hidden="false" customHeight="false" outlineLevel="0" collapsed="false">
      <c r="A8" s="14" t="s">
        <v>995</v>
      </c>
      <c r="B8" s="14" t="s">
        <v>1130</v>
      </c>
      <c r="C8" s="14" t="s">
        <v>796</v>
      </c>
      <c r="D8" s="71" t="n">
        <v>77054.85</v>
      </c>
      <c r="E8" s="112" t="n">
        <v>46290</v>
      </c>
      <c r="F8" s="113" t="n">
        <f aca="false">MAX(0,$B$4-E8)</f>
        <v>0</v>
      </c>
      <c r="G8" s="28" t="n">
        <f aca="false">IF(E8&gt;=$B$4,D8,0)</f>
        <v>77054.85</v>
      </c>
      <c r="H8" s="28" t="n">
        <f aca="false">IF(AND(F8&gt;=1,F8&lt;=30),D8,0)</f>
        <v>0</v>
      </c>
      <c r="I8" s="28" t="n">
        <f aca="false">IF(AND(F8&gt;30,F8&lt;=60),D8,0)</f>
        <v>0</v>
      </c>
      <c r="J8" s="28" t="n">
        <f aca="false">IF(AND(F8&gt;60,F8&lt;=90),D8,0)</f>
        <v>0</v>
      </c>
      <c r="K8" s="28" t="n">
        <f aca="false">IF(F8&gt;90,D8,0)</f>
        <v>0</v>
      </c>
      <c r="L8" s="44" t="s">
        <v>1129</v>
      </c>
    </row>
    <row r="9" customFormat="false" ht="15" hidden="false" customHeight="false" outlineLevel="0" collapsed="false">
      <c r="A9" s="14" t="s">
        <v>998</v>
      </c>
      <c r="B9" s="14" t="s">
        <v>1131</v>
      </c>
      <c r="C9" s="14" t="s">
        <v>796</v>
      </c>
      <c r="D9" s="71" t="n">
        <v>56777.26</v>
      </c>
      <c r="E9" s="112" t="n">
        <v>46290</v>
      </c>
      <c r="F9" s="113" t="n">
        <f aca="false">MAX(0,$B$4-E9)</f>
        <v>0</v>
      </c>
      <c r="G9" s="28" t="n">
        <f aca="false">IF(E9&gt;=$B$4,D9,0)</f>
        <v>56777.26</v>
      </c>
      <c r="H9" s="28" t="n">
        <f aca="false">IF(AND(F9&gt;=1,F9&lt;=30),D9,0)</f>
        <v>0</v>
      </c>
      <c r="I9" s="28" t="n">
        <f aca="false">IF(AND(F9&gt;30,F9&lt;=60),D9,0)</f>
        <v>0</v>
      </c>
      <c r="J9" s="28" t="n">
        <f aca="false">IF(AND(F9&gt;60,F9&lt;=90),D9,0)</f>
        <v>0</v>
      </c>
      <c r="K9" s="28" t="n">
        <f aca="false">IF(F9&gt;90,D9,0)</f>
        <v>0</v>
      </c>
      <c r="L9" s="44" t="s">
        <v>1132</v>
      </c>
    </row>
    <row r="10" customFormat="false" ht="15" hidden="false" customHeight="false" outlineLevel="0" collapsed="false">
      <c r="A10" s="14" t="s">
        <v>975</v>
      </c>
      <c r="B10" s="14" t="s">
        <v>1133</v>
      </c>
      <c r="C10" s="14" t="s">
        <v>796</v>
      </c>
      <c r="D10" s="71" t="n">
        <v>36499.67</v>
      </c>
      <c r="E10" s="112" t="n">
        <v>46290</v>
      </c>
      <c r="F10" s="113" t="n">
        <f aca="false">MAX(0,$B$4-E10)</f>
        <v>0</v>
      </c>
      <c r="G10" s="28" t="n">
        <f aca="false">IF(E10&gt;=$B$4,D10,0)</f>
        <v>36499.67</v>
      </c>
      <c r="H10" s="28" t="n">
        <f aca="false">IF(AND(F10&gt;=1,F10&lt;=30),D10,0)</f>
        <v>0</v>
      </c>
      <c r="I10" s="28" t="n">
        <f aca="false">IF(AND(F10&gt;30,F10&lt;=60),D10,0)</f>
        <v>0</v>
      </c>
      <c r="J10" s="28" t="n">
        <f aca="false">IF(AND(F10&gt;60,F10&lt;=90),D10,0)</f>
        <v>0</v>
      </c>
      <c r="K10" s="28" t="n">
        <f aca="false">IF(F10&gt;90,D10,0)</f>
        <v>0</v>
      </c>
      <c r="L10" s="44" t="s">
        <v>1129</v>
      </c>
    </row>
    <row r="11" customFormat="false" ht="15" hidden="false" customHeight="false" outlineLevel="0" collapsed="false">
      <c r="A11" s="14" t="s">
        <v>963</v>
      </c>
      <c r="B11" s="14" t="s">
        <v>1134</v>
      </c>
      <c r="C11" s="14" t="s">
        <v>796</v>
      </c>
      <c r="D11" s="71" t="n">
        <v>32444.15</v>
      </c>
      <c r="E11" s="112" t="n">
        <v>46290</v>
      </c>
      <c r="F11" s="113" t="n">
        <f aca="false">MAX(0,$B$4-E11)</f>
        <v>0</v>
      </c>
      <c r="G11" s="28" t="n">
        <f aca="false">IF(E11&gt;=$B$4,D11,0)</f>
        <v>32444.15</v>
      </c>
      <c r="H11" s="28" t="n">
        <f aca="false">IF(AND(F11&gt;=1,F11&lt;=30),D11,0)</f>
        <v>0</v>
      </c>
      <c r="I11" s="28" t="n">
        <f aca="false">IF(AND(F11&gt;30,F11&lt;=60),D11,0)</f>
        <v>0</v>
      </c>
      <c r="J11" s="28" t="n">
        <f aca="false">IF(AND(F11&gt;60,F11&lt;=90),D11,0)</f>
        <v>0</v>
      </c>
      <c r="K11" s="28" t="n">
        <f aca="false">IF(F11&gt;90,D11,0)</f>
        <v>0</v>
      </c>
      <c r="L11" s="44" t="s">
        <v>1132</v>
      </c>
    </row>
    <row r="12" customFormat="false" ht="15" hidden="false" customHeight="false" outlineLevel="0" collapsed="false">
      <c r="A12" s="14" t="s">
        <v>1001</v>
      </c>
      <c r="B12" s="14" t="s">
        <v>1135</v>
      </c>
      <c r="C12" s="14" t="s">
        <v>796</v>
      </c>
      <c r="D12" s="71" t="n">
        <v>28388.63</v>
      </c>
      <c r="E12" s="112" t="n">
        <v>46290</v>
      </c>
      <c r="F12" s="113" t="n">
        <f aca="false">MAX(0,$B$4-E12)</f>
        <v>0</v>
      </c>
      <c r="G12" s="28" t="n">
        <f aca="false">IF(E12&gt;=$B$4,D12,0)</f>
        <v>28388.63</v>
      </c>
      <c r="H12" s="28" t="n">
        <f aca="false">IF(AND(F12&gt;=1,F12&lt;=30),D12,0)</f>
        <v>0</v>
      </c>
      <c r="I12" s="28" t="n">
        <f aca="false">IF(AND(F12&gt;30,F12&lt;=60),D12,0)</f>
        <v>0</v>
      </c>
      <c r="J12" s="28" t="n">
        <f aca="false">IF(AND(F12&gt;60,F12&lt;=90),D12,0)</f>
        <v>0</v>
      </c>
      <c r="K12" s="28" t="n">
        <f aca="false">IF(F12&gt;90,D12,0)</f>
        <v>0</v>
      </c>
      <c r="L12" s="44" t="s">
        <v>1129</v>
      </c>
    </row>
    <row r="13" customFormat="false" ht="15" hidden="false" customHeight="false" outlineLevel="0" collapsed="false">
      <c r="A13" s="14" t="s">
        <v>1136</v>
      </c>
      <c r="B13" s="14" t="s">
        <v>1137</v>
      </c>
      <c r="C13" s="14" t="s">
        <v>796</v>
      </c>
      <c r="D13" s="71" t="n">
        <v>20277.59</v>
      </c>
      <c r="E13" s="112" t="n">
        <v>46290</v>
      </c>
      <c r="F13" s="113" t="n">
        <f aca="false">MAX(0,$B$4-E13)</f>
        <v>0</v>
      </c>
      <c r="G13" s="28" t="n">
        <f aca="false">IF(E13&gt;=$B$4,D13,0)</f>
        <v>20277.59</v>
      </c>
      <c r="H13" s="28" t="n">
        <f aca="false">IF(AND(F13&gt;=1,F13&lt;=30),D13,0)</f>
        <v>0</v>
      </c>
      <c r="I13" s="28" t="n">
        <f aca="false">IF(AND(F13&gt;30,F13&lt;=60),D13,0)</f>
        <v>0</v>
      </c>
      <c r="J13" s="28" t="n">
        <f aca="false">IF(AND(F13&gt;60,F13&lt;=90),D13,0)</f>
        <v>0</v>
      </c>
      <c r="K13" s="28" t="n">
        <f aca="false">IF(F13&gt;90,D13,0)</f>
        <v>0</v>
      </c>
      <c r="L13" s="44" t="s">
        <v>1129</v>
      </c>
    </row>
    <row r="14" customFormat="false" ht="15" hidden="false" customHeight="false" outlineLevel="0" collapsed="false">
      <c r="A14" s="14" t="s">
        <v>1138</v>
      </c>
      <c r="B14" s="14" t="s">
        <v>1139</v>
      </c>
      <c r="C14" s="14" t="s">
        <v>796</v>
      </c>
      <c r="D14" s="71" t="n">
        <v>16222.07</v>
      </c>
      <c r="E14" s="112" t="n">
        <v>46290</v>
      </c>
      <c r="F14" s="113" t="n">
        <f aca="false">MAX(0,$B$4-E14)</f>
        <v>0</v>
      </c>
      <c r="G14" s="28" t="n">
        <f aca="false">IF(E14&gt;=$B$4,D14,0)</f>
        <v>16222.07</v>
      </c>
      <c r="H14" s="28" t="n">
        <f aca="false">IF(AND(F14&gt;=1,F14&lt;=30),D14,0)</f>
        <v>0</v>
      </c>
      <c r="I14" s="28" t="n">
        <f aca="false">IF(AND(F14&gt;30,F14&lt;=60),D14,0)</f>
        <v>0</v>
      </c>
      <c r="J14" s="28" t="n">
        <f aca="false">IF(AND(F14&gt;60,F14&lt;=90),D14,0)</f>
        <v>0</v>
      </c>
      <c r="K14" s="28" t="n">
        <f aca="false">IF(F14&gt;90,D14,0)</f>
        <v>0</v>
      </c>
      <c r="L14" s="44" t="s">
        <v>1132</v>
      </c>
    </row>
    <row r="15" customFormat="false" ht="15" hidden="false" customHeight="false" outlineLevel="0" collapsed="false">
      <c r="A15" s="14" t="s">
        <v>978</v>
      </c>
      <c r="B15" s="14" t="s">
        <v>1140</v>
      </c>
      <c r="C15" s="14" t="s">
        <v>796</v>
      </c>
      <c r="D15" s="71" t="n">
        <v>12166.55</v>
      </c>
      <c r="E15" s="112" t="n">
        <v>46259</v>
      </c>
      <c r="F15" s="113" t="n">
        <f aca="false">MAX(0,$B$4-E15)</f>
        <v>6</v>
      </c>
      <c r="G15" s="28" t="n">
        <f aca="false">IF(E15&gt;=$B$4,D15,0)</f>
        <v>0</v>
      </c>
      <c r="H15" s="28" t="n">
        <f aca="false">IF(AND(F15&gt;=1,F15&lt;=30),D15,0)</f>
        <v>12166.55</v>
      </c>
      <c r="I15" s="28" t="n">
        <f aca="false">IF(AND(F15&gt;30,F15&lt;=60),D15,0)</f>
        <v>0</v>
      </c>
      <c r="J15" s="28" t="n">
        <f aca="false">IF(AND(F15&gt;60,F15&lt;=90),D15,0)</f>
        <v>0</v>
      </c>
      <c r="K15" s="28" t="n">
        <f aca="false">IF(F15&gt;90,D15,0)</f>
        <v>0</v>
      </c>
      <c r="L15" s="44" t="s">
        <v>1141</v>
      </c>
    </row>
    <row r="16" customFormat="false" ht="15" hidden="false" customHeight="false" outlineLevel="0" collapsed="false">
      <c r="A16" s="14" t="s">
        <v>972</v>
      </c>
      <c r="B16" s="14" t="s">
        <v>1142</v>
      </c>
      <c r="C16" s="14" t="s">
        <v>797</v>
      </c>
      <c r="D16" s="71" t="n">
        <v>136001.98</v>
      </c>
      <c r="E16" s="112" t="n">
        <v>46295</v>
      </c>
      <c r="F16" s="113" t="n">
        <f aca="false">MAX(0,$B$4-E16)</f>
        <v>0</v>
      </c>
      <c r="G16" s="28" t="n">
        <f aca="false">IF(E16&gt;=$B$4,D16,0)</f>
        <v>136001.98</v>
      </c>
      <c r="H16" s="28" t="n">
        <f aca="false">IF(AND(F16&gt;=1,F16&lt;=30),D16,0)</f>
        <v>0</v>
      </c>
      <c r="I16" s="28" t="n">
        <f aca="false">IF(AND(F16&gt;30,F16&lt;=60),D16,0)</f>
        <v>0</v>
      </c>
      <c r="J16" s="28" t="n">
        <f aca="false">IF(AND(F16&gt;60,F16&lt;=90),D16,0)</f>
        <v>0</v>
      </c>
      <c r="K16" s="28" t="n">
        <f aca="false">IF(F16&gt;90,D16,0)</f>
        <v>0</v>
      </c>
      <c r="L16" s="44" t="s">
        <v>1143</v>
      </c>
    </row>
    <row r="17" customFormat="false" ht="15" hidden="false" customHeight="false" outlineLevel="0" collapsed="false">
      <c r="A17" s="14" t="s">
        <v>984</v>
      </c>
      <c r="B17" s="14" t="s">
        <v>1142</v>
      </c>
      <c r="C17" s="14" t="s">
        <v>797</v>
      </c>
      <c r="D17" s="71" t="n">
        <v>108001.58</v>
      </c>
      <c r="E17" s="112" t="n">
        <v>46295</v>
      </c>
      <c r="F17" s="113" t="n">
        <f aca="false">MAX(0,$B$4-E17)</f>
        <v>0</v>
      </c>
      <c r="G17" s="28" t="n">
        <f aca="false">IF(E17&gt;=$B$4,D17,0)</f>
        <v>108001.58</v>
      </c>
      <c r="H17" s="28" t="n">
        <f aca="false">IF(AND(F17&gt;=1,F17&lt;=30),D17,0)</f>
        <v>0</v>
      </c>
      <c r="I17" s="28" t="n">
        <f aca="false">IF(AND(F17&gt;30,F17&lt;=60),D17,0)</f>
        <v>0</v>
      </c>
      <c r="J17" s="28" t="n">
        <f aca="false">IF(AND(F17&gt;60,F17&lt;=90),D17,0)</f>
        <v>0</v>
      </c>
      <c r="K17" s="28" t="n">
        <f aca="false">IF(F17&gt;90,D17,0)</f>
        <v>0</v>
      </c>
      <c r="L17" s="44" t="s">
        <v>1143</v>
      </c>
    </row>
    <row r="18" customFormat="false" ht="15" hidden="false" customHeight="false" outlineLevel="0" collapsed="false">
      <c r="A18" s="14" t="s">
        <v>969</v>
      </c>
      <c r="B18" s="14" t="s">
        <v>1142</v>
      </c>
      <c r="C18" s="14" t="s">
        <v>797</v>
      </c>
      <c r="D18" s="71" t="n">
        <v>88001.28</v>
      </c>
      <c r="E18" s="112" t="n">
        <v>46310</v>
      </c>
      <c r="F18" s="113" t="n">
        <f aca="false">MAX(0,$B$4-E18)</f>
        <v>0</v>
      </c>
      <c r="G18" s="28" t="n">
        <f aca="false">IF(E18&gt;=$B$4,D18,0)</f>
        <v>88001.28</v>
      </c>
      <c r="H18" s="28" t="n">
        <f aca="false">IF(AND(F18&gt;=1,F18&lt;=30),D18,0)</f>
        <v>0</v>
      </c>
      <c r="I18" s="28" t="n">
        <f aca="false">IF(AND(F18&gt;30,F18&lt;=60),D18,0)</f>
        <v>0</v>
      </c>
      <c r="J18" s="28" t="n">
        <f aca="false">IF(AND(F18&gt;60,F18&lt;=90),D18,0)</f>
        <v>0</v>
      </c>
      <c r="K18" s="28" t="n">
        <f aca="false">IF(F18&gt;90,D18,0)</f>
        <v>0</v>
      </c>
      <c r="L18" s="44" t="s">
        <v>1143</v>
      </c>
    </row>
    <row r="19" customFormat="false" ht="15" hidden="false" customHeight="false" outlineLevel="0" collapsed="false">
      <c r="A19" s="14" t="s">
        <v>1144</v>
      </c>
      <c r="B19" s="14" t="s">
        <v>1142</v>
      </c>
      <c r="C19" s="14" t="s">
        <v>797</v>
      </c>
      <c r="D19" s="71" t="n">
        <v>68001</v>
      </c>
      <c r="E19" s="112" t="n">
        <v>46295</v>
      </c>
      <c r="F19" s="113" t="n">
        <f aca="false">MAX(0,$B$4-E19)</f>
        <v>0</v>
      </c>
      <c r="G19" s="28" t="n">
        <f aca="false">IF(E19&gt;=$B$4,D19,0)</f>
        <v>68001</v>
      </c>
      <c r="H19" s="28" t="n">
        <f aca="false">IF(AND(F19&gt;=1,F19&lt;=30),D19,0)</f>
        <v>0</v>
      </c>
      <c r="I19" s="28" t="n">
        <f aca="false">IF(AND(F19&gt;30,F19&lt;=60),D19,0)</f>
        <v>0</v>
      </c>
      <c r="J19" s="28" t="n">
        <f aca="false">IF(AND(F19&gt;60,F19&lt;=90),D19,0)</f>
        <v>0</v>
      </c>
      <c r="K19" s="28" t="n">
        <f aca="false">IF(F19&gt;90,D19,0)</f>
        <v>0</v>
      </c>
      <c r="L19" s="44" t="s">
        <v>1143</v>
      </c>
    </row>
    <row r="20" customFormat="false" ht="15" hidden="false" customHeight="false" outlineLevel="0" collapsed="false">
      <c r="A20" s="14" t="s">
        <v>1145</v>
      </c>
      <c r="B20" s="14" t="s">
        <v>1146</v>
      </c>
      <c r="C20" s="14" t="s">
        <v>1147</v>
      </c>
      <c r="D20" s="71" t="n">
        <v>48253.37</v>
      </c>
      <c r="E20" s="112" t="n">
        <v>46295</v>
      </c>
      <c r="F20" s="113" t="n">
        <f aca="false">MAX(0,$B$4-E20)</f>
        <v>0</v>
      </c>
      <c r="G20" s="28" t="n">
        <f aca="false">IF(E20&gt;=$B$4,D20,0)</f>
        <v>48253.37</v>
      </c>
      <c r="H20" s="28" t="n">
        <f aca="false">IF(AND(F20&gt;=1,F20&lt;=30),D20,0)</f>
        <v>0</v>
      </c>
      <c r="I20" s="28" t="n">
        <f aca="false">IF(AND(F20&gt;30,F20&lt;=60),D20,0)</f>
        <v>0</v>
      </c>
      <c r="J20" s="28" t="n">
        <f aca="false">IF(AND(F20&gt;60,F20&lt;=90),D20,0)</f>
        <v>0</v>
      </c>
      <c r="K20" s="28" t="n">
        <f aca="false">IF(F20&gt;90,D20,0)</f>
        <v>0</v>
      </c>
      <c r="L20" s="44" t="s">
        <v>1148</v>
      </c>
    </row>
    <row r="21" customFormat="false" ht="15" hidden="false" customHeight="false" outlineLevel="0" collapsed="false">
      <c r="A21" s="14" t="s">
        <v>1149</v>
      </c>
      <c r="B21" s="14" t="s">
        <v>1150</v>
      </c>
      <c r="C21" s="14" t="s">
        <v>1147</v>
      </c>
      <c r="D21" s="71" t="n">
        <v>32518.58</v>
      </c>
      <c r="E21" s="112" t="n">
        <v>46295</v>
      </c>
      <c r="F21" s="113" t="n">
        <f aca="false">MAX(0,$B$4-E21)</f>
        <v>0</v>
      </c>
      <c r="G21" s="28" t="n">
        <f aca="false">IF(E21&gt;=$B$4,D21,0)</f>
        <v>32518.58</v>
      </c>
      <c r="H21" s="28" t="n">
        <f aca="false">IF(AND(F21&gt;=1,F21&lt;=30),D21,0)</f>
        <v>0</v>
      </c>
      <c r="I21" s="28" t="n">
        <f aca="false">IF(AND(F21&gt;30,F21&lt;=60),D21,0)</f>
        <v>0</v>
      </c>
      <c r="J21" s="28" t="n">
        <f aca="false">IF(AND(F21&gt;60,F21&lt;=90),D21,0)</f>
        <v>0</v>
      </c>
      <c r="K21" s="28" t="n">
        <f aca="false">IF(F21&gt;90,D21,0)</f>
        <v>0</v>
      </c>
      <c r="L21" s="44" t="s">
        <v>1148</v>
      </c>
    </row>
    <row r="22" customFormat="false" ht="15" hidden="false" customHeight="false" outlineLevel="0" collapsed="false">
      <c r="A22" s="14" t="s">
        <v>1151</v>
      </c>
      <c r="B22" s="14" t="s">
        <v>1152</v>
      </c>
      <c r="C22" s="14" t="s">
        <v>1147</v>
      </c>
      <c r="D22" s="71" t="n">
        <v>24126.69</v>
      </c>
      <c r="E22" s="112" t="n">
        <v>46295</v>
      </c>
      <c r="F22" s="113" t="n">
        <f aca="false">MAX(0,$B$4-E22)</f>
        <v>0</v>
      </c>
      <c r="G22" s="28" t="n">
        <f aca="false">IF(E22&gt;=$B$4,D22,0)</f>
        <v>24126.69</v>
      </c>
      <c r="H22" s="28" t="n">
        <f aca="false">IF(AND(F22&gt;=1,F22&lt;=30),D22,0)</f>
        <v>0</v>
      </c>
      <c r="I22" s="28" t="n">
        <f aca="false">IF(AND(F22&gt;30,F22&lt;=60),D22,0)</f>
        <v>0</v>
      </c>
      <c r="J22" s="28" t="n">
        <f aca="false">IF(AND(F22&gt;60,F22&lt;=90),D22,0)</f>
        <v>0</v>
      </c>
      <c r="K22" s="28" t="n">
        <f aca="false">IF(F22&gt;90,D22,0)</f>
        <v>0</v>
      </c>
      <c r="L22" s="44" t="s">
        <v>1148</v>
      </c>
    </row>
    <row r="23" customFormat="false" ht="15" hidden="false" customHeight="false" outlineLevel="0" collapsed="false">
      <c r="A23" s="14" t="s">
        <v>1153</v>
      </c>
      <c r="B23" s="14" t="s">
        <v>1154</v>
      </c>
      <c r="C23" s="14" t="s">
        <v>71</v>
      </c>
      <c r="D23" s="71" t="n">
        <v>16930.06</v>
      </c>
      <c r="E23" s="112" t="n">
        <v>46285</v>
      </c>
      <c r="F23" s="113" t="n">
        <f aca="false">MAX(0,$B$4-E23)</f>
        <v>0</v>
      </c>
      <c r="G23" s="28" t="n">
        <f aca="false">IF(E23&gt;=$B$4,D23,0)</f>
        <v>16930.06</v>
      </c>
      <c r="H23" s="28" t="n">
        <f aca="false">IF(AND(F23&gt;=1,F23&lt;=30),D23,0)</f>
        <v>0</v>
      </c>
      <c r="I23" s="28" t="n">
        <f aca="false">IF(AND(F23&gt;30,F23&lt;=60),D23,0)</f>
        <v>0</v>
      </c>
      <c r="J23" s="28" t="n">
        <f aca="false">IF(AND(F23&gt;60,F23&lt;=90),D23,0)</f>
        <v>0</v>
      </c>
      <c r="K23" s="28" t="n">
        <f aca="false">IF(F23&gt;90,D23,0)</f>
        <v>0</v>
      </c>
      <c r="L23" s="44"/>
    </row>
    <row r="24" customFormat="false" ht="15" hidden="false" customHeight="false" outlineLevel="0" collapsed="false">
      <c r="A24" s="14" t="s">
        <v>1155</v>
      </c>
      <c r="B24" s="14" t="s">
        <v>1156</v>
      </c>
      <c r="C24" s="14" t="s">
        <v>71</v>
      </c>
      <c r="D24" s="71" t="n">
        <v>12415.38</v>
      </c>
      <c r="E24" s="112" t="n">
        <v>46285</v>
      </c>
      <c r="F24" s="113" t="n">
        <f aca="false">MAX(0,$B$4-E24)</f>
        <v>0</v>
      </c>
      <c r="G24" s="28" t="n">
        <f aca="false">IF(E24&gt;=$B$4,D24,0)</f>
        <v>12415.38</v>
      </c>
      <c r="H24" s="28" t="n">
        <f aca="false">IF(AND(F24&gt;=1,F24&lt;=30),D24,0)</f>
        <v>0</v>
      </c>
      <c r="I24" s="28" t="n">
        <f aca="false">IF(AND(F24&gt;30,F24&lt;=60),D24,0)</f>
        <v>0</v>
      </c>
      <c r="J24" s="28" t="n">
        <f aca="false">IF(AND(F24&gt;60,F24&lt;=90),D24,0)</f>
        <v>0</v>
      </c>
      <c r="K24" s="28" t="n">
        <f aca="false">IF(F24&gt;90,D24,0)</f>
        <v>0</v>
      </c>
      <c r="L24" s="44"/>
    </row>
    <row r="25" customFormat="false" ht="15" hidden="false" customHeight="false" outlineLevel="0" collapsed="false">
      <c r="A25" s="14" t="s">
        <v>1157</v>
      </c>
      <c r="B25" s="14" t="s">
        <v>1158</v>
      </c>
      <c r="C25" s="14" t="s">
        <v>71</v>
      </c>
      <c r="D25" s="71" t="n">
        <v>10158.04</v>
      </c>
      <c r="E25" s="112" t="n">
        <v>46285</v>
      </c>
      <c r="F25" s="113" t="n">
        <f aca="false">MAX(0,$B$4-E25)</f>
        <v>0</v>
      </c>
      <c r="G25" s="28" t="n">
        <f aca="false">IF(E25&gt;=$B$4,D25,0)</f>
        <v>10158.04</v>
      </c>
      <c r="H25" s="28" t="n">
        <f aca="false">IF(AND(F25&gt;=1,F25&lt;=30),D25,0)</f>
        <v>0</v>
      </c>
      <c r="I25" s="28" t="n">
        <f aca="false">IF(AND(F25&gt;30,F25&lt;=60),D25,0)</f>
        <v>0</v>
      </c>
      <c r="J25" s="28" t="n">
        <f aca="false">IF(AND(F25&gt;60,F25&lt;=90),D25,0)</f>
        <v>0</v>
      </c>
      <c r="K25" s="28" t="n">
        <f aca="false">IF(F25&gt;90,D25,0)</f>
        <v>0</v>
      </c>
      <c r="L25" s="44"/>
    </row>
    <row r="26" customFormat="false" ht="15" hidden="false" customHeight="false" outlineLevel="0" collapsed="false">
      <c r="A26" s="14" t="s">
        <v>1159</v>
      </c>
      <c r="B26" s="14" t="s">
        <v>1160</v>
      </c>
      <c r="C26" s="14" t="s">
        <v>71</v>
      </c>
      <c r="D26" s="71" t="n">
        <v>6772.02</v>
      </c>
      <c r="E26" s="112" t="n">
        <v>46285</v>
      </c>
      <c r="F26" s="113" t="n">
        <f aca="false">MAX(0,$B$4-E26)</f>
        <v>0</v>
      </c>
      <c r="G26" s="28" t="n">
        <f aca="false">IF(E26&gt;=$B$4,D26,0)</f>
        <v>6772.02</v>
      </c>
      <c r="H26" s="28" t="n">
        <f aca="false">IF(AND(F26&gt;=1,F26&lt;=30),D26,0)</f>
        <v>0</v>
      </c>
      <c r="I26" s="28" t="n">
        <f aca="false">IF(AND(F26&gt;30,F26&lt;=60),D26,0)</f>
        <v>0</v>
      </c>
      <c r="J26" s="28" t="n">
        <f aca="false">IF(AND(F26&gt;60,F26&lt;=90),D26,0)</f>
        <v>0</v>
      </c>
      <c r="K26" s="28" t="n">
        <f aca="false">IF(F26&gt;90,D26,0)</f>
        <v>0</v>
      </c>
      <c r="L26" s="44"/>
    </row>
    <row r="27" customFormat="false" ht="15" hidden="false" customHeight="false" outlineLevel="0" collapsed="false">
      <c r="A27" s="14" t="s">
        <v>1161</v>
      </c>
      <c r="B27" s="14" t="s">
        <v>1162</v>
      </c>
      <c r="C27" s="14" t="s">
        <v>71</v>
      </c>
      <c r="D27" s="71" t="n">
        <v>10158.03</v>
      </c>
      <c r="E27" s="112" t="n">
        <v>46285</v>
      </c>
      <c r="F27" s="113" t="n">
        <f aca="false">MAX(0,$B$4-E27)</f>
        <v>0</v>
      </c>
      <c r="G27" s="28" t="n">
        <f aca="false">IF(E27&gt;=$B$4,D27,0)</f>
        <v>10158.03</v>
      </c>
      <c r="H27" s="28" t="n">
        <f aca="false">IF(AND(F27&gt;=1,F27&lt;=30),D27,0)</f>
        <v>0</v>
      </c>
      <c r="I27" s="28" t="n">
        <f aca="false">IF(AND(F27&gt;30,F27&lt;=60),D27,0)</f>
        <v>0</v>
      </c>
      <c r="J27" s="28" t="n">
        <f aca="false">IF(AND(F27&gt;60,F27&lt;=90),D27,0)</f>
        <v>0</v>
      </c>
      <c r="K27" s="28" t="n">
        <f aca="false">IF(F27&gt;90,D27,0)</f>
        <v>0</v>
      </c>
      <c r="L27" s="44"/>
    </row>
    <row r="28" customFormat="false" ht="15" hidden="false" customHeight="false" outlineLevel="0" collapsed="false">
      <c r="A28" s="79" t="s">
        <v>524</v>
      </c>
      <c r="D28" s="80" t="n">
        <f aca="false">SUM(D7:D27)</f>
        <v>966889.85</v>
      </c>
      <c r="G28" s="80" t="n">
        <f aca="false">SUM(G7:G27)</f>
        <v>954723.3</v>
      </c>
      <c r="H28" s="80" t="n">
        <f aca="false">SUM(H7:H27)</f>
        <v>12166.55</v>
      </c>
      <c r="I28" s="80" t="n">
        <f aca="false">SUM(I7:I27)</f>
        <v>0</v>
      </c>
      <c r="J28" s="80" t="n">
        <f aca="false">SUM(J7:J27)</f>
        <v>0</v>
      </c>
      <c r="K28" s="80" t="n">
        <f aca="false">SUM(K7:K27)</f>
        <v>0</v>
      </c>
    </row>
    <row r="29" customFormat="false" ht="15" hidden="false" customHeight="false" outlineLevel="0" collapsed="false">
      <c r="A29" s="13" t="s">
        <v>1118</v>
      </c>
      <c r="G29" s="78" t="n">
        <f aca="false">IF($D$28=0,0,G28/$D$28)</f>
        <v>0.987416818989257</v>
      </c>
      <c r="H29" s="78" t="n">
        <f aca="false">IF($D$28=0,0,H28/$D$28)</f>
        <v>0.0125831810107428</v>
      </c>
      <c r="I29" s="78" t="n">
        <f aca="false">IF($D$28=0,0,I28/$D$28)</f>
        <v>0</v>
      </c>
      <c r="J29" s="78" t="n">
        <f aca="false">IF($D$28=0,0,J28/$D$28)</f>
        <v>0</v>
      </c>
      <c r="K29" s="78" t="n">
        <f aca="false">IF($D$28=0,0,K28/$D$28)</f>
        <v>0</v>
      </c>
    </row>
    <row r="31" customFormat="false" ht="15" hidden="false" customHeight="false" outlineLevel="0" collapsed="false">
      <c r="A31" s="5" t="s">
        <v>1163</v>
      </c>
      <c r="D31" s="28" t="n">
        <f aca="false">SUMIFS(D7:D27,C7:C27,"Subcontractors")</f>
        <v>405551.84</v>
      </c>
      <c r="E31" s="118" t="s">
        <v>1120</v>
      </c>
      <c r="F31" s="58" t="n">
        <f aca="false">INDEX(Payables!$E$14:$AB$14,Assumptions!$C$10)</f>
        <v>405551.8435</v>
      </c>
      <c r="G31" s="118" t="s">
        <v>1121</v>
      </c>
      <c r="H31" s="34" t="n">
        <f aca="false">ROUND(D31-F31,0)</f>
        <v>-0</v>
      </c>
    </row>
    <row r="32" customFormat="false" ht="15" hidden="false" customHeight="false" outlineLevel="0" collapsed="false">
      <c r="A32" s="5" t="s">
        <v>1164</v>
      </c>
      <c r="D32" s="28" t="n">
        <f aca="false">SUMIFS(D7:D27,C7:C27,"Materials")</f>
        <v>400005.84</v>
      </c>
      <c r="E32" s="118" t="s">
        <v>1120</v>
      </c>
      <c r="F32" s="58" t="n">
        <f aca="false">INDEX(Payables!$E$21:$AB$21,Assumptions!$C$10)</f>
        <v>400005.8374</v>
      </c>
      <c r="G32" s="118" t="s">
        <v>1121</v>
      </c>
      <c r="H32" s="34" t="n">
        <f aca="false">ROUND(D32-F32,0)</f>
        <v>0</v>
      </c>
    </row>
    <row r="33" customFormat="false" ht="15" hidden="false" customHeight="false" outlineLevel="0" collapsed="false">
      <c r="A33" s="5" t="s">
        <v>1165</v>
      </c>
      <c r="D33" s="28" t="n">
        <f aca="false">SUMIFS(D7:D27,C7:C27,"Plant and site services")</f>
        <v>104898.64</v>
      </c>
      <c r="E33" s="118" t="s">
        <v>1120</v>
      </c>
      <c r="F33" s="58" t="n">
        <f aca="false">INDEX(Payables!$E$26:$AB$26,Assumptions!$C$10)</f>
        <v>104898.6373</v>
      </c>
      <c r="G33" s="118" t="s">
        <v>1121</v>
      </c>
      <c r="H33" s="34" t="n">
        <f aca="false">ROUND(D33-F33,0)</f>
        <v>0</v>
      </c>
    </row>
    <row r="34" customFormat="false" ht="15" hidden="false" customHeight="false" outlineLevel="0" collapsed="false">
      <c r="A34" s="5" t="s">
        <v>1166</v>
      </c>
      <c r="D34" s="28" t="n">
        <f aca="false">SUMIFS(D7:D27,C7:C27,"Overheads")</f>
        <v>56433.53</v>
      </c>
      <c r="E34" s="118" t="s">
        <v>1120</v>
      </c>
      <c r="F34" s="58" t="n">
        <f aca="false">INDEX(Payables!$E$31:$AB$31,Assumptions!$C$10)</f>
        <v>56433.5188666667</v>
      </c>
      <c r="G34" s="118" t="s">
        <v>1121</v>
      </c>
      <c r="H34" s="34" t="n">
        <f aca="false">ROUND(D34-F34,0)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1167</v>
      </c>
    </row>
    <row r="3" customFormat="false" ht="15" hidden="false" customHeight="false" outlineLevel="0" collapsed="false">
      <c r="A3" s="47" t="s">
        <v>1168</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1169</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1170</v>
      </c>
      <c r="B9" s="56"/>
      <c r="C9" s="57" t="n">
        <f aca="false">SUM(E9:P9)</f>
        <v>3254897.67378213</v>
      </c>
      <c r="D9" s="57" t="n">
        <f aca="false">SUM(Q9:AB9)</f>
        <v>3338852.08408507</v>
      </c>
      <c r="E9" s="58" t="n">
        <f aca="false">WIP!E698+Residential!E71</f>
        <v>242236.31</v>
      </c>
      <c r="F9" s="58" t="n">
        <f aca="false">WIP!F698+Residential!F71</f>
        <v>196943.08</v>
      </c>
      <c r="G9" s="58" t="n">
        <f aca="false">WIP!G698+Residential!G71</f>
        <v>156359.38</v>
      </c>
      <c r="H9" s="58" t="n">
        <f aca="false">WIP!H698+Residential!H71</f>
        <v>134286.39</v>
      </c>
      <c r="I9" s="58" t="n">
        <f aca="false">WIP!I698+Residential!I71</f>
        <v>161564.48</v>
      </c>
      <c r="J9" s="58" t="n">
        <f aca="false">WIP!J698+Residential!J71</f>
        <v>230389.47</v>
      </c>
      <c r="K9" s="58" t="n">
        <f aca="false">WIP!K698+Residential!K71</f>
        <v>312506.99</v>
      </c>
      <c r="L9" s="58" t="n">
        <f aca="false">WIP!L698+Residential!L71</f>
        <v>341480.45</v>
      </c>
      <c r="M9" s="58" t="n">
        <f aca="false">WIP!M698+Residential!M71</f>
        <v>394883.010655918</v>
      </c>
      <c r="N9" s="58" t="n">
        <f aca="false">WIP!N698+Residential!N71</f>
        <v>393416.783630535</v>
      </c>
      <c r="O9" s="58" t="n">
        <f aca="false">WIP!O698+Residential!O71</f>
        <v>364380.147451341</v>
      </c>
      <c r="P9" s="58" t="n">
        <f aca="false">WIP!P698+Residential!P71</f>
        <v>326451.182044332</v>
      </c>
      <c r="Q9" s="58" t="n">
        <f aca="false">WIP!Q698+Residential!Q71</f>
        <v>293509.195879016</v>
      </c>
      <c r="R9" s="58" t="n">
        <f aca="false">WIP!R698+Residential!R71</f>
        <v>230158.547734856</v>
      </c>
      <c r="S9" s="58" t="n">
        <f aca="false">WIP!S698+Residential!S71</f>
        <v>189010.304298219</v>
      </c>
      <c r="T9" s="58" t="n">
        <f aca="false">WIP!T698+Residential!T71</f>
        <v>227893.330116458</v>
      </c>
      <c r="U9" s="58" t="n">
        <f aca="false">WIP!U698+Residential!U71</f>
        <v>299359.806292558</v>
      </c>
      <c r="V9" s="58" t="n">
        <f aca="false">WIP!V698+Residential!V71</f>
        <v>346549.262179086</v>
      </c>
      <c r="W9" s="58" t="n">
        <f aca="false">WIP!W698+Residential!W71</f>
        <v>362109.975031248</v>
      </c>
      <c r="X9" s="58" t="n">
        <f aca="false">WIP!X698+Residential!X71</f>
        <v>345238.25410054</v>
      </c>
      <c r="Y9" s="58" t="n">
        <f aca="false">WIP!Y698+Residential!Y71</f>
        <v>301976.333567797</v>
      </c>
      <c r="Z9" s="58" t="n">
        <f aca="false">WIP!Z698+Residential!Z71</f>
        <v>267414.350371112</v>
      </c>
      <c r="AA9" s="58" t="n">
        <f aca="false">WIP!AA698+Residential!AA71</f>
        <v>246153.216603048</v>
      </c>
      <c r="AB9" s="58" t="n">
        <f aca="false">WIP!AB698+Residential!AB71</f>
        <v>229479.50791113</v>
      </c>
    </row>
    <row r="10" customFormat="false" ht="15" hidden="false" customHeight="false" outlineLevel="0" collapsed="false">
      <c r="A10" s="27" t="s">
        <v>1171</v>
      </c>
      <c r="B10" s="56" t="s">
        <v>46</v>
      </c>
      <c r="C10" s="57" t="n">
        <f aca="false">SUM(E10:P10)</f>
        <v>75190.088348179</v>
      </c>
      <c r="D10" s="57" t="n">
        <f aca="false">SUM(Q10:AB10)</f>
        <v>-8320.81983274169</v>
      </c>
      <c r="E10" s="58" t="n">
        <f aca="false">WIP!E710</f>
        <v>8889.8915</v>
      </c>
      <c r="F10" s="58" t="n">
        <f aca="false">WIP!F710</f>
        <v>6950.306</v>
      </c>
      <c r="G10" s="58" t="n">
        <f aca="false">WIP!G710</f>
        <v>4478.838</v>
      </c>
      <c r="H10" s="58" t="n">
        <f aca="false">WIP!H710</f>
        <v>-7005.311</v>
      </c>
      <c r="I10" s="58" t="n">
        <f aca="false">WIP!I710</f>
        <v>-8743.4515</v>
      </c>
      <c r="J10" s="58" t="n">
        <f aca="false">WIP!J710</f>
        <v>7479.414</v>
      </c>
      <c r="K10" s="58" t="n">
        <f aca="false">WIP!K710</f>
        <v>11024.13</v>
      </c>
      <c r="L10" s="58" t="n">
        <f aca="false">WIP!L710</f>
        <v>11993.0295</v>
      </c>
      <c r="M10" s="58" t="n">
        <f aca="false">WIP!M710</f>
        <v>14613.0616726863</v>
      </c>
      <c r="N10" s="58" t="n">
        <f aca="false">WIP!N710</f>
        <v>14854.0354954046</v>
      </c>
      <c r="O10" s="58" t="n">
        <f aca="false">WIP!O710</f>
        <v>13521.6119315223</v>
      </c>
      <c r="P10" s="58" t="n">
        <f aca="false">WIP!P710</f>
        <v>-2865.46725143408</v>
      </c>
      <c r="Q10" s="58" t="n">
        <f aca="false">WIP!Q710</f>
        <v>6455.73844595679</v>
      </c>
      <c r="R10" s="58" t="n">
        <f aca="false">WIP!R710</f>
        <v>7663.58673169752</v>
      </c>
      <c r="S10" s="58" t="n">
        <f aca="false">WIP!S710</f>
        <v>-21046.5289577469</v>
      </c>
      <c r="T10" s="58" t="n">
        <f aca="false">WIP!T710</f>
        <v>-14579.4739876543</v>
      </c>
      <c r="U10" s="58" t="n">
        <f aca="false">WIP!U710</f>
        <v>-3203.67817283951</v>
      </c>
      <c r="V10" s="58" t="n">
        <f aca="false">WIP!V710</f>
        <v>11840.3841049383</v>
      </c>
      <c r="W10" s="58" t="n">
        <f aca="false">WIP!W710</f>
        <v>12428.799845679</v>
      </c>
      <c r="X10" s="58" t="n">
        <f aca="false">WIP!X710</f>
        <v>11594.1203132311</v>
      </c>
      <c r="Y10" s="58" t="n">
        <f aca="false">WIP!Y710</f>
        <v>9444.07786113867</v>
      </c>
      <c r="Z10" s="58" t="n">
        <f aca="false">WIP!Z710</f>
        <v>-3506.58374726957</v>
      </c>
      <c r="AA10" s="58" t="n">
        <f aca="false">WIP!AA710</f>
        <v>4811.1440094184</v>
      </c>
      <c r="AB10" s="58" t="n">
        <f aca="false">WIP!AB710</f>
        <v>-30222.4062792912</v>
      </c>
    </row>
    <row r="11" customFormat="false" ht="15" hidden="false" customHeight="false" outlineLevel="0" collapsed="false">
      <c r="A11" s="27" t="s">
        <v>1172</v>
      </c>
      <c r="B11" s="56" t="s">
        <v>1173</v>
      </c>
      <c r="C11" s="57" t="n">
        <f aca="false">SUM(E11:P11)</f>
        <v>3179707.58543395</v>
      </c>
      <c r="D11" s="57" t="n">
        <f aca="false">SUM(Q11:AB11)</f>
        <v>3347172.90391781</v>
      </c>
      <c r="E11" s="70" t="n">
        <f aca="false">E9-E10</f>
        <v>233346.4185</v>
      </c>
      <c r="F11" s="70" t="n">
        <f aca="false">F9-F10</f>
        <v>189992.774</v>
      </c>
      <c r="G11" s="70" t="n">
        <f aca="false">G9-G10</f>
        <v>151880.542</v>
      </c>
      <c r="H11" s="70" t="n">
        <f aca="false">H9-H10</f>
        <v>141291.701</v>
      </c>
      <c r="I11" s="70" t="n">
        <f aca="false">I9-I10</f>
        <v>170307.9315</v>
      </c>
      <c r="J11" s="70" t="n">
        <f aca="false">J9-J10</f>
        <v>222910.056</v>
      </c>
      <c r="K11" s="70" t="n">
        <f aca="false">K9-K10</f>
        <v>301482.86</v>
      </c>
      <c r="L11" s="70" t="n">
        <f aca="false">L9-L10</f>
        <v>329487.4205</v>
      </c>
      <c r="M11" s="70" t="n">
        <f aca="false">M9-M10</f>
        <v>380269.948983232</v>
      </c>
      <c r="N11" s="70" t="n">
        <f aca="false">N9-N10</f>
        <v>378562.74813513</v>
      </c>
      <c r="O11" s="70" t="n">
        <f aca="false">O9-O10</f>
        <v>350858.535519819</v>
      </c>
      <c r="P11" s="70" t="n">
        <f aca="false">P9-P10</f>
        <v>329316.649295766</v>
      </c>
      <c r="Q11" s="70" t="n">
        <f aca="false">Q9-Q10</f>
        <v>287053.457433059</v>
      </c>
      <c r="R11" s="70" t="n">
        <f aca="false">R9-R10</f>
        <v>222494.961003159</v>
      </c>
      <c r="S11" s="70" t="n">
        <f aca="false">S9-S10</f>
        <v>210056.833255966</v>
      </c>
      <c r="T11" s="70" t="n">
        <f aca="false">T9-T10</f>
        <v>242472.804104113</v>
      </c>
      <c r="U11" s="70" t="n">
        <f aca="false">U9-U10</f>
        <v>302563.484465398</v>
      </c>
      <c r="V11" s="70" t="n">
        <f aca="false">V9-V10</f>
        <v>334708.878074148</v>
      </c>
      <c r="W11" s="70" t="n">
        <f aca="false">W9-W10</f>
        <v>349681.175185569</v>
      </c>
      <c r="X11" s="70" t="n">
        <f aca="false">X9-X10</f>
        <v>333644.133787309</v>
      </c>
      <c r="Y11" s="70" t="n">
        <f aca="false">Y9-Y10</f>
        <v>292532.255706658</v>
      </c>
      <c r="Z11" s="70" t="n">
        <f aca="false">Z9-Z10</f>
        <v>270920.934118381</v>
      </c>
      <c r="AA11" s="70" t="n">
        <f aca="false">AA9-AA10</f>
        <v>241342.07259363</v>
      </c>
      <c r="AB11" s="70" t="n">
        <f aca="false">AB9-AB10</f>
        <v>259701.914190421</v>
      </c>
    </row>
    <row r="12" customFormat="false" ht="15" hidden="false" customHeight="false" outlineLevel="0" collapsed="false">
      <c r="A12" s="27" t="s">
        <v>1174</v>
      </c>
      <c r="B12" s="56"/>
      <c r="E12" s="58" t="n">
        <f aca="false">Inputs_Actuals!$C$135</f>
        <v>182000</v>
      </c>
      <c r="F12" s="70" t="n">
        <f aca="false">E14</f>
        <v>252395.4585</v>
      </c>
      <c r="G12" s="70" t="n">
        <f aca="false">F14</f>
        <v>218548.6225</v>
      </c>
      <c r="H12" s="70" t="n">
        <f aca="false">G14</f>
        <v>180318.2245</v>
      </c>
      <c r="I12" s="70" t="n">
        <f aca="false">H14</f>
        <v>158742.0755</v>
      </c>
      <c r="J12" s="70" t="n">
        <f aca="false">I14</f>
        <v>174451.557</v>
      </c>
      <c r="K12" s="70" t="n">
        <f aca="false">J14</f>
        <v>229204.573</v>
      </c>
      <c r="L12" s="70" t="n">
        <f aca="false">K14</f>
        <v>336942.863</v>
      </c>
      <c r="M12" s="70" t="n">
        <f aca="false">L14</f>
        <v>405551.8435</v>
      </c>
      <c r="N12" s="70" t="n">
        <f aca="false">M14</f>
        <v>424201.605049898</v>
      </c>
      <c r="O12" s="70" t="n">
        <f aca="false">N14</f>
        <v>429265.407999561</v>
      </c>
      <c r="P12" s="70" t="n">
        <f aca="false">O14</f>
        <v>401333.568604503</v>
      </c>
      <c r="Q12" s="70" t="n">
        <f aca="false">P14</f>
        <v>376097.787365075</v>
      </c>
      <c r="R12" s="70" t="n">
        <f aca="false">Q14</f>
        <v>330962.344005828</v>
      </c>
      <c r="S12" s="70" t="n">
        <f aca="false">R14</f>
        <v>260768.755327567</v>
      </c>
      <c r="T12" s="70" t="n">
        <f aca="false">S14</f>
        <v>239722.828056388</v>
      </c>
      <c r="U12" s="70" t="n">
        <f aca="false">T14</f>
        <v>270480.381871575</v>
      </c>
      <c r="V12" s="70" t="n">
        <f aca="false">U14</f>
        <v>334893.19167928</v>
      </c>
      <c r="W12" s="70" t="n">
        <f aca="false">V14</f>
        <v>375050.676002867</v>
      </c>
      <c r="X12" s="70" t="n">
        <f aca="false">W14</f>
        <v>394309.025595455</v>
      </c>
      <c r="Y12" s="70" t="n">
        <f aca="false">X14</f>
        <v>380268.290478718</v>
      </c>
      <c r="Z12" s="70" t="n">
        <f aca="false">Y14</f>
        <v>337018.140211633</v>
      </c>
      <c r="AA12" s="70" t="n">
        <f aca="false">Z14</f>
        <v>309925.234879269</v>
      </c>
      <c r="AB12" s="70" t="n">
        <f aca="false">AA14</f>
        <v>277464.863809414</v>
      </c>
    </row>
    <row r="13" customFormat="false" ht="15" hidden="false" customHeight="false" outlineLevel="0" collapsed="false">
      <c r="A13" s="27" t="s">
        <v>1175</v>
      </c>
      <c r="B13" s="56" t="s">
        <v>1176</v>
      </c>
      <c r="C13" s="57" t="n">
        <f aca="false">SUM(E13:P13)</f>
        <v>2985609.79806887</v>
      </c>
      <c r="D13" s="57" t="n">
        <f aca="false">SUM(Q13:AB13)</f>
        <v>3431389.83407998</v>
      </c>
      <c r="E13" s="58" t="n">
        <f aca="false">IF(E$5="A",Inputs_Actuals!E115,E12+E11-(E11*MIN(1,Assumptions!$C$76/30)+0*MIN(1,MAX(0,(Assumptions!$C$76-30)/30))))</f>
        <v>162950.96</v>
      </c>
      <c r="F13" s="58" t="n">
        <f aca="false">IF(F$5="A",Inputs_Actuals!F115,F12+F11-(F11*MIN(1,Assumptions!$C$76/30)+E11*MIN(1,MAX(0,(Assumptions!$C$76-30)/30))))</f>
        <v>223839.61</v>
      </c>
      <c r="G13" s="58" t="n">
        <f aca="false">IF(G$5="A",Inputs_Actuals!G115,G12+G11-(G11*MIN(1,Assumptions!$C$76/30)+F11*MIN(1,MAX(0,(Assumptions!$C$76-30)/30))))</f>
        <v>190110.94</v>
      </c>
      <c r="H13" s="58" t="n">
        <f aca="false">IF(H$5="A",Inputs_Actuals!H115,H12+H11-(H11*MIN(1,Assumptions!$C$76/30)+G11*MIN(1,MAX(0,(Assumptions!$C$76-30)/30))))</f>
        <v>162867.85</v>
      </c>
      <c r="I13" s="58" t="n">
        <f aca="false">IF(I$5="A",Inputs_Actuals!I115,I12+I11-(I11*MIN(1,Assumptions!$C$76/30)+H11*MIN(1,MAX(0,(Assumptions!$C$76-30)/30))))</f>
        <v>154598.45</v>
      </c>
      <c r="J13" s="58" t="n">
        <f aca="false">IF(J$5="A",Inputs_Actuals!J115,J12+J11-(J11*MIN(1,Assumptions!$C$76/30)+I11*MIN(1,MAX(0,(Assumptions!$C$76-30)/30))))</f>
        <v>168157.04</v>
      </c>
      <c r="K13" s="58" t="n">
        <f aca="false">IF(K$5="A",Inputs_Actuals!K115,K12+K11-(K11*MIN(1,Assumptions!$C$76/30)+J11*MIN(1,MAX(0,(Assumptions!$C$76-30)/30))))</f>
        <v>193744.57</v>
      </c>
      <c r="L13" s="58" t="n">
        <f aca="false">IF(L$5="A",Inputs_Actuals!L115,L12+L11-(L11*MIN(1,Assumptions!$C$76/30)+K11*MIN(1,MAX(0,(Assumptions!$C$76-30)/30))))</f>
        <v>260878.44</v>
      </c>
      <c r="M13" s="58" t="n">
        <f aca="false">IF(M$5="A",Inputs_Actuals!M115,M12+M11-(M11*MIN(1,Assumptions!$C$76/30)+L11*MIN(1,MAX(0,(Assumptions!$C$76-30)/30))))</f>
        <v>361620.187433333</v>
      </c>
      <c r="N13" s="58" t="n">
        <f aca="false">IF(N$5="A",Inputs_Actuals!N115,N12+N11-(N11*MIN(1,Assumptions!$C$76/30)+M11*MIN(1,MAX(0,(Assumptions!$C$76-30)/30))))</f>
        <v>373498.945185468</v>
      </c>
      <c r="O13" s="58" t="n">
        <f aca="false">IF(O$5="A",Inputs_Actuals!O115,O12+O11-(O11*MIN(1,Assumptions!$C$76/30)+N11*MIN(1,MAX(0,(Assumptions!$C$76-30)/30))))</f>
        <v>378790.374914877</v>
      </c>
      <c r="P13" s="58" t="n">
        <f aca="false">IF(P$5="A",Inputs_Actuals!P115,P12+P11-(P11*MIN(1,Assumptions!$C$76/30)+O11*MIN(1,MAX(0,(Assumptions!$C$76-30)/30))))</f>
        <v>354552.430535194</v>
      </c>
      <c r="Q13" s="58" t="n">
        <f aca="false">IF(Q$5="A",Inputs_Actuals!Q115,Q12+Q11-(Q11*MIN(1,Assumptions!$C$76/30)+P11*MIN(1,MAX(0,(Assumptions!$C$76-30)/30))))</f>
        <v>332188.900792306</v>
      </c>
      <c r="R13" s="58" t="n">
        <f aca="false">IF(R$5="A",Inputs_Actuals!R115,R12+R11-(R11*MIN(1,Assumptions!$C$76/30)+Q11*MIN(1,MAX(0,(Assumptions!$C$76-30)/30))))</f>
        <v>292688.54968142</v>
      </c>
      <c r="S13" s="58" t="n">
        <f aca="false">IF(S$5="A",Inputs_Actuals!S115,S12+S11-(S11*MIN(1,Assumptions!$C$76/30)+R11*MIN(1,MAX(0,(Assumptions!$C$76-30)/30))))</f>
        <v>231102.760527145</v>
      </c>
      <c r="T13" s="58" t="n">
        <f aca="false">IF(T$5="A",Inputs_Actuals!T115,T12+T11-(T11*MIN(1,Assumptions!$C$76/30)+S11*MIN(1,MAX(0,(Assumptions!$C$76-30)/30))))</f>
        <v>211715.250288925</v>
      </c>
      <c r="U13" s="58" t="n">
        <f aca="false">IF(U$5="A",Inputs_Actuals!U115,U12+U11-(U11*MIN(1,Assumptions!$C$76/30)+T11*MIN(1,MAX(0,(Assumptions!$C$76-30)/30))))</f>
        <v>238150.674657693</v>
      </c>
      <c r="V13" s="58" t="n">
        <f aca="false">IF(V$5="A",Inputs_Actuals!V115,V12+V11-(V11*MIN(1,Assumptions!$C$76/30)+U11*MIN(1,MAX(0,(Assumptions!$C$76-30)/30))))</f>
        <v>294551.39375056</v>
      </c>
      <c r="W13" s="58" t="n">
        <f aca="false">IF(W$5="A",Inputs_Actuals!W115,W12+W11-(W11*MIN(1,Assumptions!$C$76/30)+V11*MIN(1,MAX(0,(Assumptions!$C$76-30)/30))))</f>
        <v>330422.825592981</v>
      </c>
      <c r="X13" s="58" t="n">
        <f aca="false">IF(X$5="A",Inputs_Actuals!X115,X12+X11-(X11*MIN(1,Assumptions!$C$76/30)+W11*MIN(1,MAX(0,(Assumptions!$C$76-30)/30))))</f>
        <v>347684.868904046</v>
      </c>
      <c r="Y13" s="58" t="n">
        <f aca="false">IF(Y$5="A",Inputs_Actuals!Y115,Y12+Y11-(Y11*MIN(1,Assumptions!$C$76/30)+X11*MIN(1,MAX(0,(Assumptions!$C$76-30)/30))))</f>
        <v>335782.405973743</v>
      </c>
      <c r="Z13" s="58" t="n">
        <f aca="false">IF(Z$5="A",Inputs_Actuals!Z115,Z12+Z11-(Z11*MIN(1,Assumptions!$C$76/30)+Y11*MIN(1,MAX(0,(Assumptions!$C$76-30)/30))))</f>
        <v>298013.839450745</v>
      </c>
      <c r="AA13" s="58" t="n">
        <f aca="false">IF(AA$5="A",Inputs_Actuals!AA115,AA12+AA11-(AA11*MIN(1,Assumptions!$C$76/30)+Z11*MIN(1,MAX(0,(Assumptions!$C$76-30)/30))))</f>
        <v>273802.443663485</v>
      </c>
      <c r="AB13" s="58" t="n">
        <f aca="false">IF(AB$5="A",Inputs_Actuals!AB115,AB12+AB11-(AB11*MIN(1,Assumptions!$C$76/30)+AA11*MIN(1,MAX(0,(Assumptions!$C$76-30)/30))))</f>
        <v>245285.92079693</v>
      </c>
    </row>
    <row r="14" customFormat="false" ht="15" hidden="false" customHeight="false" outlineLevel="0" collapsed="false">
      <c r="A14" s="67" t="s">
        <v>1177</v>
      </c>
      <c r="B14" s="68"/>
      <c r="C14" s="69" t="n">
        <f aca="false">P14</f>
        <v>376097.787365075</v>
      </c>
      <c r="D14" s="69" t="n">
        <f aca="false">AB14</f>
        <v>291880.857202905</v>
      </c>
      <c r="E14" s="69" t="n">
        <f aca="false">E12+E11-E13</f>
        <v>252395.4585</v>
      </c>
      <c r="F14" s="69" t="n">
        <f aca="false">F12+F11-F13</f>
        <v>218548.6225</v>
      </c>
      <c r="G14" s="69" t="n">
        <f aca="false">G12+G11-G13</f>
        <v>180318.2245</v>
      </c>
      <c r="H14" s="69" t="n">
        <f aca="false">H12+H11-H13</f>
        <v>158742.0755</v>
      </c>
      <c r="I14" s="69" t="n">
        <f aca="false">I12+I11-I13</f>
        <v>174451.557</v>
      </c>
      <c r="J14" s="69" t="n">
        <f aca="false">J12+J11-J13</f>
        <v>229204.573</v>
      </c>
      <c r="K14" s="69" t="n">
        <f aca="false">K12+K11-K13</f>
        <v>336942.863</v>
      </c>
      <c r="L14" s="69" t="n">
        <f aca="false">L12+L11-L13</f>
        <v>405551.8435</v>
      </c>
      <c r="M14" s="69" t="n">
        <f aca="false">M12+M11-M13</f>
        <v>424201.605049898</v>
      </c>
      <c r="N14" s="69" t="n">
        <f aca="false">N12+N11-N13</f>
        <v>429265.407999561</v>
      </c>
      <c r="O14" s="69" t="n">
        <f aca="false">O12+O11-O13</f>
        <v>401333.568604503</v>
      </c>
      <c r="P14" s="69" t="n">
        <f aca="false">P12+P11-P13</f>
        <v>376097.787365075</v>
      </c>
      <c r="Q14" s="69" t="n">
        <f aca="false">Q12+Q11-Q13</f>
        <v>330962.344005828</v>
      </c>
      <c r="R14" s="69" t="n">
        <f aca="false">R12+R11-R13</f>
        <v>260768.755327567</v>
      </c>
      <c r="S14" s="69" t="n">
        <f aca="false">S12+S11-S13</f>
        <v>239722.828056388</v>
      </c>
      <c r="T14" s="69" t="n">
        <f aca="false">T12+T11-T13</f>
        <v>270480.381871575</v>
      </c>
      <c r="U14" s="69" t="n">
        <f aca="false">U12+U11-U13</f>
        <v>334893.19167928</v>
      </c>
      <c r="V14" s="69" t="n">
        <f aca="false">V12+V11-V13</f>
        <v>375050.676002867</v>
      </c>
      <c r="W14" s="69" t="n">
        <f aca="false">W12+W11-W13</f>
        <v>394309.025595455</v>
      </c>
      <c r="X14" s="69" t="n">
        <f aca="false">X12+X11-X13</f>
        <v>380268.290478718</v>
      </c>
      <c r="Y14" s="69" t="n">
        <f aca="false">Y12+Y11-Y13</f>
        <v>337018.140211633</v>
      </c>
      <c r="Z14" s="69" t="n">
        <f aca="false">Z12+Z11-Z13</f>
        <v>309925.234879269</v>
      </c>
      <c r="AA14" s="69" t="n">
        <f aca="false">AA12+AA11-AA13</f>
        <v>277464.863809414</v>
      </c>
      <c r="AB14" s="69" t="n">
        <f aca="false">AB12+AB11-AB13</f>
        <v>291880.857202905</v>
      </c>
    </row>
    <row r="15" customFormat="false" ht="15" hidden="false" customHeight="false" outlineLevel="0" collapsed="false">
      <c r="A15" s="27" t="s">
        <v>1178</v>
      </c>
      <c r="B15" s="56" t="s">
        <v>1179</v>
      </c>
      <c r="C15" s="57" t="n">
        <f aca="false">SUM(E15:P15)</f>
        <v>110467.562528548</v>
      </c>
      <c r="D15" s="57" t="n">
        <f aca="false">SUM(Q15:AB15)</f>
        <v>126961.423860959</v>
      </c>
      <c r="E15" s="58" t="n">
        <f aca="false">E13*Assumptions!$C$28</f>
        <v>6029.18552</v>
      </c>
      <c r="F15" s="58" t="n">
        <f aca="false">F13*Assumptions!$C$28</f>
        <v>8282.06557</v>
      </c>
      <c r="G15" s="58" t="n">
        <f aca="false">G13*Assumptions!$C$28</f>
        <v>7034.10478</v>
      </c>
      <c r="H15" s="58" t="n">
        <f aca="false">H13*Assumptions!$C$28</f>
        <v>6026.11045</v>
      </c>
      <c r="I15" s="58" t="n">
        <f aca="false">I13*Assumptions!$C$28</f>
        <v>5720.14265</v>
      </c>
      <c r="J15" s="58" t="n">
        <f aca="false">J13*Assumptions!$C$28</f>
        <v>6221.81048</v>
      </c>
      <c r="K15" s="58" t="n">
        <f aca="false">K13*Assumptions!$C$28</f>
        <v>7168.54909</v>
      </c>
      <c r="L15" s="58" t="n">
        <f aca="false">L13*Assumptions!$C$28</f>
        <v>9652.50228</v>
      </c>
      <c r="M15" s="58" t="n">
        <f aca="false">M13*Assumptions!$C$28</f>
        <v>13379.9469350333</v>
      </c>
      <c r="N15" s="58" t="n">
        <f aca="false">N13*Assumptions!$C$28</f>
        <v>13819.4609718623</v>
      </c>
      <c r="O15" s="58" t="n">
        <f aca="false">O13*Assumptions!$C$28</f>
        <v>14015.2438718505</v>
      </c>
      <c r="P15" s="58" t="n">
        <f aca="false">P13*Assumptions!$C$28</f>
        <v>13118.4399298022</v>
      </c>
      <c r="Q15" s="58" t="n">
        <f aca="false">Q13*Assumptions!$C$28</f>
        <v>12290.9893293153</v>
      </c>
      <c r="R15" s="58" t="n">
        <f aca="false">R13*Assumptions!$C$28</f>
        <v>10829.4763382125</v>
      </c>
      <c r="S15" s="58" t="n">
        <f aca="false">S13*Assumptions!$C$28</f>
        <v>8550.80213950438</v>
      </c>
      <c r="T15" s="58" t="n">
        <f aca="false">T13*Assumptions!$C$28</f>
        <v>7833.46426069024</v>
      </c>
      <c r="U15" s="58" t="n">
        <f aca="false">U13*Assumptions!$C$28</f>
        <v>8811.57496233464</v>
      </c>
      <c r="V15" s="58" t="n">
        <f aca="false">V13*Assumptions!$C$28</f>
        <v>10898.4015687707</v>
      </c>
      <c r="W15" s="58" t="n">
        <f aca="false">W13*Assumptions!$C$28</f>
        <v>12225.6445469403</v>
      </c>
      <c r="X15" s="58" t="n">
        <f aca="false">X13*Assumptions!$C$28</f>
        <v>12864.3401494497</v>
      </c>
      <c r="Y15" s="58" t="n">
        <f aca="false">Y13*Assumptions!$C$28</f>
        <v>12423.9490210285</v>
      </c>
      <c r="Z15" s="58" t="n">
        <f aca="false">Z13*Assumptions!$C$28</f>
        <v>11026.5120596776</v>
      </c>
      <c r="AA15" s="58" t="n">
        <f aca="false">AA13*Assumptions!$C$28</f>
        <v>10130.6904155489</v>
      </c>
      <c r="AB15" s="58" t="n">
        <f aca="false">AB13*Assumptions!$C$28</f>
        <v>9075.5790694864</v>
      </c>
    </row>
    <row r="16" customFormat="false" ht="15" hidden="false" customHeight="false" outlineLevel="0" collapsed="false">
      <c r="A16" s="27" t="s">
        <v>1180</v>
      </c>
      <c r="B16" s="56"/>
      <c r="C16" s="57" t="n">
        <f aca="false">SUM(E16:P16)</f>
        <v>2875142.23554032</v>
      </c>
      <c r="D16" s="57" t="n">
        <f aca="false">SUM(Q16:AB16)</f>
        <v>3304428.41021902</v>
      </c>
      <c r="E16" s="70" t="n">
        <f aca="false">E13-E15</f>
        <v>156921.77448</v>
      </c>
      <c r="F16" s="70" t="n">
        <f aca="false">F13-F15</f>
        <v>215557.54443</v>
      </c>
      <c r="G16" s="70" t="n">
        <f aca="false">G13-G15</f>
        <v>183076.83522</v>
      </c>
      <c r="H16" s="70" t="n">
        <f aca="false">H13-H15</f>
        <v>156841.73955</v>
      </c>
      <c r="I16" s="70" t="n">
        <f aca="false">I13-I15</f>
        <v>148878.30735</v>
      </c>
      <c r="J16" s="70" t="n">
        <f aca="false">J13-J15</f>
        <v>161935.22952</v>
      </c>
      <c r="K16" s="70" t="n">
        <f aca="false">K13-K15</f>
        <v>186576.02091</v>
      </c>
      <c r="L16" s="70" t="n">
        <f aca="false">L13-L15</f>
        <v>251225.93772</v>
      </c>
      <c r="M16" s="70" t="n">
        <f aca="false">M13-M15</f>
        <v>348240.2404983</v>
      </c>
      <c r="N16" s="70" t="n">
        <f aca="false">N13-N15</f>
        <v>359679.484213605</v>
      </c>
      <c r="O16" s="70" t="n">
        <f aca="false">O13-O15</f>
        <v>364775.131043027</v>
      </c>
      <c r="P16" s="70" t="n">
        <f aca="false">P13-P15</f>
        <v>341433.990605391</v>
      </c>
      <c r="Q16" s="70" t="n">
        <f aca="false">Q13-Q15</f>
        <v>319897.911462991</v>
      </c>
      <c r="R16" s="70" t="n">
        <f aca="false">R13-R15</f>
        <v>281859.073343207</v>
      </c>
      <c r="S16" s="70" t="n">
        <f aca="false">S13-S15</f>
        <v>222551.958387641</v>
      </c>
      <c r="T16" s="70" t="n">
        <f aca="false">T13-T15</f>
        <v>203881.786028235</v>
      </c>
      <c r="U16" s="70" t="n">
        <f aca="false">U13-U15</f>
        <v>229339.099695358</v>
      </c>
      <c r="V16" s="70" t="n">
        <f aca="false">V13-V15</f>
        <v>283652.992181789</v>
      </c>
      <c r="W16" s="70" t="n">
        <f aca="false">W13-W15</f>
        <v>318197.181046041</v>
      </c>
      <c r="X16" s="70" t="n">
        <f aca="false">X13-X15</f>
        <v>334820.528754597</v>
      </c>
      <c r="Y16" s="70" t="n">
        <f aca="false">Y13-Y15</f>
        <v>323358.456952715</v>
      </c>
      <c r="Z16" s="70" t="n">
        <f aca="false">Z13-Z15</f>
        <v>286987.327391067</v>
      </c>
      <c r="AA16" s="70" t="n">
        <f aca="false">AA13-AA15</f>
        <v>263671.753247936</v>
      </c>
      <c r="AB16" s="70" t="n">
        <f aca="false">AB13-AB15</f>
        <v>236210.341727443</v>
      </c>
    </row>
    <row r="17" customFormat="false" ht="15" hidden="false" customHeight="false" outlineLevel="0" collapsed="false">
      <c r="A17" s="21" t="s">
        <v>1181</v>
      </c>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row>
    <row r="18" customFormat="false" ht="15" hidden="false" customHeight="false" outlineLevel="0" collapsed="false">
      <c r="A18" s="27" t="s">
        <v>1170</v>
      </c>
      <c r="B18" s="56"/>
      <c r="C18" s="57" t="n">
        <f aca="false">SUM(E18:P18)</f>
        <v>2411992.26071381</v>
      </c>
      <c r="D18" s="57" t="n">
        <f aca="false">SUM(Q18:AB18)</f>
        <v>2538461.06832934</v>
      </c>
      <c r="E18" s="58" t="n">
        <f aca="false">(WIP!E699+Residential!E72)*(1+Assumptions!$C$24)</f>
        <v>169389.4869</v>
      </c>
      <c r="F18" s="58" t="n">
        <f aca="false">(WIP!F699+Residential!F72)*(1+Assumptions!$C$24)</f>
        <v>135899.7972</v>
      </c>
      <c r="G18" s="58" t="n">
        <f aca="false">(WIP!G699+Residential!G72)*(1+Assumptions!$C$24)</f>
        <v>126625.548</v>
      </c>
      <c r="H18" s="58" t="n">
        <f aca="false">(WIP!H699+Residential!H72)*(1+Assumptions!$C$24)</f>
        <v>117808.5513</v>
      </c>
      <c r="I18" s="58" t="n">
        <f aca="false">(WIP!I699+Residential!I72)*(1+Assumptions!$C$24)</f>
        <v>137779.2126</v>
      </c>
      <c r="J18" s="58" t="n">
        <f aca="false">(WIP!J699+Residential!J72)*(1+Assumptions!$C$24)</f>
        <v>187654.4457</v>
      </c>
      <c r="K18" s="58" t="n">
        <f aca="false">(WIP!K699+Residential!K72)*(1+Assumptions!$C$24)</f>
        <v>237662.2113</v>
      </c>
      <c r="L18" s="58" t="n">
        <f aca="false">(WIP!L699+Residential!L72)*(1+Assumptions!$C$24)</f>
        <v>250031.0544</v>
      </c>
      <c r="M18" s="58" t="n">
        <f aca="false">(WIP!M699+Residential!M72)*(1+Assumptions!$C$24)</f>
        <v>280538.787970169</v>
      </c>
      <c r="N18" s="58" t="n">
        <f aca="false">(WIP!N699+Residential!N72)*(1+Assumptions!$C$24)</f>
        <v>276290.756131378</v>
      </c>
      <c r="O18" s="58" t="n">
        <f aca="false">(WIP!O699+Residential!O72)*(1+Assumptions!$C$24)</f>
        <v>258485.389168203</v>
      </c>
      <c r="P18" s="58" t="n">
        <f aca="false">(WIP!P699+Residential!P72)*(1+Assumptions!$C$24)</f>
        <v>233827.02004406</v>
      </c>
      <c r="Q18" s="58" t="n">
        <f aca="false">(WIP!Q699+Residential!Q72)*(1+Assumptions!$C$24)</f>
        <v>213088.458542507</v>
      </c>
      <c r="R18" s="58" t="n">
        <f aca="false">(WIP!R699+Residential!R72)*(1+Assumptions!$C$24)</f>
        <v>176048.015908436</v>
      </c>
      <c r="S18" s="58" t="n">
        <f aca="false">(WIP!S699+Residential!S72)*(1+Assumptions!$C$24)</f>
        <v>153158.712136987</v>
      </c>
      <c r="T18" s="58" t="n">
        <f aca="false">(WIP!T699+Residential!T72)*(1+Assumptions!$C$24)</f>
        <v>177297.666498151</v>
      </c>
      <c r="U18" s="58" t="n">
        <f aca="false">(WIP!U699+Residential!U72)*(1+Assumptions!$C$24)</f>
        <v>222180.54767094</v>
      </c>
      <c r="V18" s="58" t="n">
        <f aca="false">(WIP!V699+Residential!V72)*(1+Assumptions!$C$24)</f>
        <v>252725.598183744</v>
      </c>
      <c r="W18" s="58" t="n">
        <f aca="false">(WIP!W699+Residential!W72)*(1+Assumptions!$C$24)</f>
        <v>263334.292470344</v>
      </c>
      <c r="X18" s="58" t="n">
        <f aca="false">(WIP!X699+Residential!X72)*(1+Assumptions!$C$24)</f>
        <v>253857.030554592</v>
      </c>
      <c r="Y18" s="58" t="n">
        <f aca="false">(WIP!Y699+Residential!Y72)*(1+Assumptions!$C$24)</f>
        <v>230001.012651726</v>
      </c>
      <c r="Z18" s="58" t="n">
        <f aca="false">(WIP!Z699+Residential!Z72)*(1+Assumptions!$C$24)</f>
        <v>211228.252280755</v>
      </c>
      <c r="AA18" s="58" t="n">
        <f aca="false">(WIP!AA699+Residential!AA72)*(1+Assumptions!$C$24)</f>
        <v>199193.532496089</v>
      </c>
      <c r="AB18" s="58" t="n">
        <f aca="false">(WIP!AB699+Residential!AB72)*(1+Assumptions!$C$24)</f>
        <v>186347.948935068</v>
      </c>
    </row>
    <row r="19" customFormat="false" ht="15" hidden="false" customHeight="false" outlineLevel="0" collapsed="false">
      <c r="A19" s="27" t="s">
        <v>1174</v>
      </c>
      <c r="B19" s="56"/>
      <c r="E19" s="58" t="n">
        <f aca="false">Inputs_Actuals!$C$136</f>
        <v>148000</v>
      </c>
      <c r="F19" s="70" t="n">
        <f aca="false">E21</f>
        <v>218555.8369</v>
      </c>
      <c r="G19" s="70" t="n">
        <f aca="false">F21</f>
        <v>214146.3441</v>
      </c>
      <c r="H19" s="70" t="n">
        <f aca="false">G21</f>
        <v>210234.8021</v>
      </c>
      <c r="I19" s="70" t="n">
        <f aca="false">H21</f>
        <v>179830.1234</v>
      </c>
      <c r="J19" s="70" t="n">
        <f aca="false">I21</f>
        <v>189119.496</v>
      </c>
      <c r="K19" s="70" t="n">
        <f aca="false">J21</f>
        <v>261846.9917</v>
      </c>
      <c r="L19" s="70" t="n">
        <f aca="false">K21</f>
        <v>362464.743</v>
      </c>
      <c r="M19" s="70" t="n">
        <f aca="false">L21</f>
        <v>400005.8374</v>
      </c>
      <c r="N19" s="70" t="n">
        <f aca="false">M21</f>
        <v>413888.683650169</v>
      </c>
      <c r="O19" s="70" t="n">
        <f aca="false">N21</f>
        <v>425911.443048801</v>
      </c>
      <c r="P19" s="70" t="n">
        <f aca="false">O21</f>
        <v>405840.459104938</v>
      </c>
      <c r="Q19" s="70" t="n">
        <f aca="false">P21</f>
        <v>371685.894267101</v>
      </c>
      <c r="R19" s="70" t="n">
        <f aca="false">Q21</f>
        <v>337796.202566006</v>
      </c>
      <c r="S19" s="70" t="n">
        <f aca="false">R21</f>
        <v>289695.193797773</v>
      </c>
      <c r="T19" s="70" t="n">
        <f aca="false">S21</f>
        <v>247050.987288153</v>
      </c>
      <c r="U19" s="70" t="n">
        <f aca="false">T21</f>
        <v>258982.312971211</v>
      </c>
      <c r="V19" s="70" t="n">
        <f aca="false">U21</f>
        <v>316739.30313662</v>
      </c>
      <c r="W19" s="70" t="n">
        <f aca="false">V21</f>
        <v>371221.890274912</v>
      </c>
      <c r="X19" s="70" t="n">
        <f aca="false">W21</f>
        <v>398121.278168341</v>
      </c>
      <c r="Y19" s="70" t="n">
        <f aca="false">X21</f>
        <v>394301.986538776</v>
      </c>
      <c r="Z19" s="70" t="n">
        <f aca="false">Y21</f>
        <v>365391.428947508</v>
      </c>
      <c r="AA19" s="70" t="n">
        <f aca="false">Z21</f>
        <v>333895.459028342</v>
      </c>
      <c r="AB19" s="70" t="n">
        <f aca="false">AA21</f>
        <v>311848.600379158</v>
      </c>
    </row>
    <row r="20" customFormat="false" ht="15" hidden="false" customHeight="false" outlineLevel="0" collapsed="false">
      <c r="A20" s="27" t="s">
        <v>1182</v>
      </c>
      <c r="B20" s="56" t="s">
        <v>1176</v>
      </c>
      <c r="C20" s="57" t="n">
        <f aca="false">SUM(E20:P20)</f>
        <v>2188306.36644671</v>
      </c>
      <c r="D20" s="57" t="n">
        <f aca="false">SUM(Q20:AB20)</f>
        <v>2617562.46299679</v>
      </c>
      <c r="E20" s="58" t="n">
        <f aca="false">IF(E$5="A",Inputs_Actuals!E116,E19+E18-(E18*MIN(1,Assumptions!$C$77/30)+0*MIN(1,MAX(0,(Assumptions!$C$77-30)/30))))</f>
        <v>98833.65</v>
      </c>
      <c r="F20" s="58" t="n">
        <f aca="false">IF(F$5="A",Inputs_Actuals!F116,F19+F18-(F18*MIN(1,Assumptions!$C$77/30)+E18*MIN(1,MAX(0,(Assumptions!$C$77-30)/30))))</f>
        <v>140309.29</v>
      </c>
      <c r="G20" s="58" t="n">
        <f aca="false">IF(G$5="A",Inputs_Actuals!G116,G19+G18-(G18*MIN(1,Assumptions!$C$77/30)+F18*MIN(1,MAX(0,(Assumptions!$C$77-30)/30))))</f>
        <v>130537.09</v>
      </c>
      <c r="H20" s="58" t="n">
        <f aca="false">IF(H$5="A",Inputs_Actuals!H116,H19+H18-(H18*MIN(1,Assumptions!$C$77/30)+G18*MIN(1,MAX(0,(Assumptions!$C$77-30)/30))))</f>
        <v>148213.23</v>
      </c>
      <c r="I20" s="58" t="n">
        <f aca="false">IF(I$5="A",Inputs_Actuals!I116,I19+I18-(I18*MIN(1,Assumptions!$C$77/30)+H18*MIN(1,MAX(0,(Assumptions!$C$77-30)/30))))</f>
        <v>128489.84</v>
      </c>
      <c r="J20" s="58" t="n">
        <f aca="false">IF(J$5="A",Inputs_Actuals!J116,J19+J18-(J18*MIN(1,Assumptions!$C$77/30)+I18*MIN(1,MAX(0,(Assumptions!$C$77-30)/30))))</f>
        <v>114926.95</v>
      </c>
      <c r="K20" s="58" t="n">
        <f aca="false">IF(K$5="A",Inputs_Actuals!K116,K19+K18-(K18*MIN(1,Assumptions!$C$77/30)+J18*MIN(1,MAX(0,(Assumptions!$C$77-30)/30))))</f>
        <v>137044.46</v>
      </c>
      <c r="L20" s="58" t="n">
        <f aca="false">IF(L$5="A",Inputs_Actuals!L116,L19+L18-(L18*MIN(1,Assumptions!$C$77/30)+K18*MIN(1,MAX(0,(Assumptions!$C$77-30)/30))))</f>
        <v>212489.96</v>
      </c>
      <c r="M20" s="58" t="n">
        <f aca="false">IF(M$5="A",Inputs_Actuals!M116,M19+M18-(M18*MIN(1,Assumptions!$C$77/30)+L18*MIN(1,MAX(0,(Assumptions!$C$77-30)/30))))</f>
        <v>266655.94172</v>
      </c>
      <c r="N20" s="58" t="n">
        <f aca="false">IF(N$5="A",Inputs_Actuals!N116,N19+N18-(N18*MIN(1,Assumptions!$C$77/30)+M18*MIN(1,MAX(0,(Assumptions!$C$77-30)/30))))</f>
        <v>264267.996732746</v>
      </c>
      <c r="O20" s="58" t="n">
        <f aca="false">IF(O$5="A",Inputs_Actuals!O116,O19+O18-(O18*MIN(1,Assumptions!$C$77/30)+N18*MIN(1,MAX(0,(Assumptions!$C$77-30)/30))))</f>
        <v>278556.373112067</v>
      </c>
      <c r="P20" s="58" t="n">
        <f aca="false">IF(P$5="A",Inputs_Actuals!P116,P19+P18-(P18*MIN(1,Assumptions!$C$77/30)+O18*MIN(1,MAX(0,(Assumptions!$C$77-30)/30))))</f>
        <v>267981.584881896</v>
      </c>
      <c r="Q20" s="58" t="n">
        <f aca="false">IF(Q$5="A",Inputs_Actuals!Q116,Q19+Q18-(Q18*MIN(1,Assumptions!$C$77/30)+P18*MIN(1,MAX(0,(Assumptions!$C$77-30)/30))))</f>
        <v>246978.150243603</v>
      </c>
      <c r="R20" s="58" t="n">
        <f aca="false">IF(R$5="A",Inputs_Actuals!R116,R19+R18-(R18*MIN(1,Assumptions!$C$77/30)+Q18*MIN(1,MAX(0,(Assumptions!$C$77-30)/30))))</f>
        <v>224149.024676669</v>
      </c>
      <c r="S20" s="58" t="n">
        <f aca="false">IF(S$5="A",Inputs_Actuals!S116,S19+S18-(S18*MIN(1,Assumptions!$C$77/30)+R18*MIN(1,MAX(0,(Assumptions!$C$77-30)/30))))</f>
        <v>195802.918646607</v>
      </c>
      <c r="T20" s="58" t="n">
        <f aca="false">IF(T$5="A",Inputs_Actuals!T116,T19+T18-(T18*MIN(1,Assumptions!$C$77/30)+S18*MIN(1,MAX(0,(Assumptions!$C$77-30)/30))))</f>
        <v>165366.340815093</v>
      </c>
      <c r="U20" s="58" t="n">
        <f aca="false">IF(U$5="A",Inputs_Actuals!U116,U19+U18-(U18*MIN(1,Assumptions!$C$77/30)+T18*MIN(1,MAX(0,(Assumptions!$C$77-30)/30))))</f>
        <v>164423.55750553</v>
      </c>
      <c r="V20" s="58" t="n">
        <f aca="false">IF(V$5="A",Inputs_Actuals!V116,V19+V18-(V18*MIN(1,Assumptions!$C$77/30)+U18*MIN(1,MAX(0,(Assumptions!$C$77-30)/30))))</f>
        <v>198243.011045452</v>
      </c>
      <c r="W20" s="58" t="n">
        <f aca="false">IF(W$5="A",Inputs_Actuals!W116,W19+W18-(W18*MIN(1,Assumptions!$C$77/30)+V18*MIN(1,MAX(0,(Assumptions!$C$77-30)/30))))</f>
        <v>236434.904576915</v>
      </c>
      <c r="X20" s="58" t="n">
        <f aca="false">IF(X$5="A",Inputs_Actuals!X116,X19+X18-(X18*MIN(1,Assumptions!$C$77/30)+W18*MIN(1,MAX(0,(Assumptions!$C$77-30)/30))))</f>
        <v>257676.322184158</v>
      </c>
      <c r="Y20" s="58" t="n">
        <f aca="false">IF(Y$5="A",Inputs_Actuals!Y116,Y19+Y18-(Y18*MIN(1,Assumptions!$C$77/30)+X18*MIN(1,MAX(0,(Assumptions!$C$77-30)/30))))</f>
        <v>258911.570242993</v>
      </c>
      <c r="Z20" s="58" t="n">
        <f aca="false">IF(Z$5="A",Inputs_Actuals!Z116,Z19+Z18-(Z18*MIN(1,Assumptions!$C$77/30)+Y18*MIN(1,MAX(0,(Assumptions!$C$77-30)/30))))</f>
        <v>242724.222199921</v>
      </c>
      <c r="AA20" s="58" t="n">
        <f aca="false">IF(AA$5="A",Inputs_Actuals!AA116,AA19+AA18-(AA18*MIN(1,Assumptions!$C$77/30)+Z18*MIN(1,MAX(0,(Assumptions!$C$77-30)/30))))</f>
        <v>221240.391145273</v>
      </c>
      <c r="AB20" s="58" t="n">
        <f aca="false">IF(AB$5="A",Inputs_Actuals!AB116,AB19+AB18-(AB18*MIN(1,Assumptions!$C$77/30)+AA18*MIN(1,MAX(0,(Assumptions!$C$77-30)/30))))</f>
        <v>205612.049714578</v>
      </c>
    </row>
    <row r="21" customFormat="false" ht="15" hidden="false" customHeight="false" outlineLevel="0" collapsed="false">
      <c r="A21" s="67" t="s">
        <v>1177</v>
      </c>
      <c r="B21" s="68"/>
      <c r="C21" s="69" t="n">
        <f aca="false">P21</f>
        <v>371685.894267101</v>
      </c>
      <c r="D21" s="69" t="n">
        <f aca="false">AB21</f>
        <v>292584.499599649</v>
      </c>
      <c r="E21" s="69" t="n">
        <f aca="false">E19+E18-E20</f>
        <v>218555.8369</v>
      </c>
      <c r="F21" s="69" t="n">
        <f aca="false">F19+F18-F20</f>
        <v>214146.3441</v>
      </c>
      <c r="G21" s="69" t="n">
        <f aca="false">G19+G18-G20</f>
        <v>210234.8021</v>
      </c>
      <c r="H21" s="69" t="n">
        <f aca="false">H19+H18-H20</f>
        <v>179830.1234</v>
      </c>
      <c r="I21" s="69" t="n">
        <f aca="false">I19+I18-I20</f>
        <v>189119.496</v>
      </c>
      <c r="J21" s="69" t="n">
        <f aca="false">J19+J18-J20</f>
        <v>261846.9917</v>
      </c>
      <c r="K21" s="69" t="n">
        <f aca="false">K19+K18-K20</f>
        <v>362464.743</v>
      </c>
      <c r="L21" s="69" t="n">
        <f aca="false">L19+L18-L20</f>
        <v>400005.8374</v>
      </c>
      <c r="M21" s="69" t="n">
        <f aca="false">M19+M18-M20</f>
        <v>413888.683650169</v>
      </c>
      <c r="N21" s="69" t="n">
        <f aca="false">N19+N18-N20</f>
        <v>425911.443048801</v>
      </c>
      <c r="O21" s="69" t="n">
        <f aca="false">O19+O18-O20</f>
        <v>405840.459104938</v>
      </c>
      <c r="P21" s="69" t="n">
        <f aca="false">P19+P18-P20</f>
        <v>371685.894267101</v>
      </c>
      <c r="Q21" s="69" t="n">
        <f aca="false">Q19+Q18-Q20</f>
        <v>337796.202566006</v>
      </c>
      <c r="R21" s="69" t="n">
        <f aca="false">R19+R18-R20</f>
        <v>289695.193797773</v>
      </c>
      <c r="S21" s="69" t="n">
        <f aca="false">S19+S18-S20</f>
        <v>247050.987288153</v>
      </c>
      <c r="T21" s="69" t="n">
        <f aca="false">T19+T18-T20</f>
        <v>258982.312971211</v>
      </c>
      <c r="U21" s="69" t="n">
        <f aca="false">U19+U18-U20</f>
        <v>316739.30313662</v>
      </c>
      <c r="V21" s="69" t="n">
        <f aca="false">V19+V18-V20</f>
        <v>371221.890274912</v>
      </c>
      <c r="W21" s="69" t="n">
        <f aca="false">W19+W18-W20</f>
        <v>398121.278168341</v>
      </c>
      <c r="X21" s="69" t="n">
        <f aca="false">X19+X18-X20</f>
        <v>394301.986538776</v>
      </c>
      <c r="Y21" s="69" t="n">
        <f aca="false">Y19+Y18-Y20</f>
        <v>365391.428947508</v>
      </c>
      <c r="Z21" s="69" t="n">
        <f aca="false">Z19+Z18-Z20</f>
        <v>333895.459028342</v>
      </c>
      <c r="AA21" s="69" t="n">
        <f aca="false">AA19+AA18-AA20</f>
        <v>311848.600379158</v>
      </c>
      <c r="AB21" s="69" t="n">
        <f aca="false">AB19+AB18-AB20</f>
        <v>292584.499599649</v>
      </c>
    </row>
    <row r="22" customFormat="false" ht="15" hidden="false" customHeight="false" outlineLevel="0" collapsed="false">
      <c r="A22" s="21" t="s">
        <v>1183</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row>
    <row r="23" customFormat="false" ht="15" hidden="false" customHeight="false" outlineLevel="0" collapsed="false">
      <c r="A23" s="27" t="s">
        <v>1170</v>
      </c>
      <c r="B23" s="56"/>
      <c r="C23" s="57" t="n">
        <f aca="false">SUM(E23:P23)</f>
        <v>887522.10506566</v>
      </c>
      <c r="D23" s="57" t="n">
        <f aca="false">SUM(Q23:AB23)</f>
        <v>924365.050215376</v>
      </c>
      <c r="E23" s="58" t="n">
        <f aca="false">(WIP!E700+WIP!E701+Residential!E73+Residential!E74)*(1+Assumptions!$C$24)</f>
        <v>60485.9019</v>
      </c>
      <c r="F23" s="58" t="n">
        <f aca="false">(WIP!F700+WIP!F701+Residential!F73+Residential!F74)*(1+Assumptions!$C$24)</f>
        <v>49657.3878</v>
      </c>
      <c r="G23" s="58" t="n">
        <f aca="false">(WIP!G700+WIP!G701+Residential!G73+Residential!G74)*(1+Assumptions!$C$24)</f>
        <v>42652.2918</v>
      </c>
      <c r="H23" s="58" t="n">
        <f aca="false">(WIP!H700+WIP!H701+Residential!H73+Residential!H74)*(1+Assumptions!$C$24)</f>
        <v>41443.5708</v>
      </c>
      <c r="I23" s="58" t="n">
        <f aca="false">(WIP!I700+WIP!I701+Residential!I73+Residential!I74)*(1+Assumptions!$C$24)</f>
        <v>50586.948</v>
      </c>
      <c r="J23" s="58" t="n">
        <f aca="false">(WIP!J700+WIP!J701+Residential!J73+Residential!J74)*(1+Assumptions!$C$24)</f>
        <v>67480.7766</v>
      </c>
      <c r="K23" s="58" t="n">
        <f aca="false">(WIP!K700+WIP!K701+Residential!K73+Residential!K74)*(1+Assumptions!$C$24)</f>
        <v>87855.5052</v>
      </c>
      <c r="L23" s="58" t="n">
        <f aca="false">(WIP!L700+WIP!L701+Residential!L73+Residential!L74)*(1+Assumptions!$C$24)</f>
        <v>93193.7052</v>
      </c>
      <c r="M23" s="58" t="n">
        <f aca="false">(WIP!M700+WIP!M701+Residential!M73+Residential!M74)*(1+Assumptions!$C$24)</f>
        <v>105265.00888457</v>
      </c>
      <c r="N23" s="58" t="n">
        <f aca="false">(WIP!N700+WIP!N701+Residential!N73+Residential!N74)*(1+Assumptions!$C$24)</f>
        <v>104026.632737275</v>
      </c>
      <c r="O23" s="58" t="n">
        <f aca="false">(WIP!O700+WIP!O701+Residential!O73+Residential!O74)*(1+Assumptions!$C$24)</f>
        <v>97039.2701897786</v>
      </c>
      <c r="P23" s="58" t="n">
        <f aca="false">(WIP!P700+WIP!P701+Residential!P73+Residential!P74)*(1+Assumptions!$C$24)</f>
        <v>87835.1059540364</v>
      </c>
      <c r="Q23" s="58" t="n">
        <f aca="false">(WIP!Q700+WIP!Q701+Residential!Q73+Residential!Q74)*(1+Assumptions!$C$24)</f>
        <v>80455.670064581</v>
      </c>
      <c r="R23" s="58" t="n">
        <f aca="false">(WIP!R700+WIP!R701+Residential!R73+Residential!R74)*(1+Assumptions!$C$24)</f>
        <v>66517.0080683851</v>
      </c>
      <c r="S23" s="58" t="n">
        <f aca="false">(WIP!S700+WIP!S701+Residential!S73+Residential!S74)*(1+Assumptions!$C$24)</f>
        <v>56339.2316702656</v>
      </c>
      <c r="T23" s="58" t="n">
        <f aca="false">(WIP!T700+WIP!T701+Residential!T73+Residential!T74)*(1+Assumptions!$C$24)</f>
        <v>63938.3989971462</v>
      </c>
      <c r="U23" s="58" t="n">
        <f aca="false">(WIP!U700+WIP!U701+Residential!U73+Residential!U74)*(1+Assumptions!$C$24)</f>
        <v>80572.7674752219</v>
      </c>
      <c r="V23" s="58" t="n">
        <f aca="false">(WIP!V700+WIP!V701+Residential!V73+Residential!V74)*(1+Assumptions!$C$24)</f>
        <v>91868.487443648</v>
      </c>
      <c r="W23" s="58" t="n">
        <f aca="false">(WIP!W700+WIP!W701+Residential!W73+Residential!W74)*(1+Assumptions!$C$24)</f>
        <v>95710.7097580614</v>
      </c>
      <c r="X23" s="58" t="n">
        <f aca="false">(WIP!X700+WIP!X701+Residential!X73+Residential!X74)*(1+Assumptions!$C$24)</f>
        <v>92001.3891681198</v>
      </c>
      <c r="Y23" s="58" t="n">
        <f aca="false">(WIP!Y700+WIP!Y701+Residential!Y73+Residential!Y74)*(1+Assumptions!$C$24)</f>
        <v>82829.6627962928</v>
      </c>
      <c r="Z23" s="58" t="n">
        <f aca="false">(WIP!Z700+WIP!Z701+Residential!Z73+Residential!Z74)*(1+Assumptions!$C$24)</f>
        <v>75622.1137828202</v>
      </c>
      <c r="AA23" s="58" t="n">
        <f aca="false">(WIP!AA700+WIP!AA701+Residential!AA73+Residential!AA74)*(1+Assumptions!$C$24)</f>
        <v>71493.7098578387</v>
      </c>
      <c r="AB23" s="58" t="n">
        <f aca="false">(WIP!AB700+WIP!AB701+Residential!AB73+Residential!AB74)*(1+Assumptions!$C$24)</f>
        <v>67015.9011329958</v>
      </c>
    </row>
    <row r="24" customFormat="false" ht="15" hidden="false" customHeight="false" outlineLevel="0" collapsed="false">
      <c r="A24" s="27" t="s">
        <v>1174</v>
      </c>
      <c r="B24" s="56"/>
      <c r="E24" s="58" t="n">
        <f aca="false">Inputs_Actuals!$C$137</f>
        <v>41000</v>
      </c>
      <c r="F24" s="70" t="n">
        <f aca="false">E26</f>
        <v>61614.4819</v>
      </c>
      <c r="G24" s="70" t="n">
        <f aca="false">F26</f>
        <v>48915.2997</v>
      </c>
      <c r="H24" s="70" t="n">
        <f aca="false">G26</f>
        <v>42861.8215</v>
      </c>
      <c r="I24" s="70" t="n">
        <f aca="false">H26</f>
        <v>39095.4823</v>
      </c>
      <c r="J24" s="70" t="n">
        <f aca="false">I26</f>
        <v>51569.1803</v>
      </c>
      <c r="K24" s="70" t="n">
        <f aca="false">J26</f>
        <v>73416.6069</v>
      </c>
      <c r="L24" s="70" t="n">
        <f aca="false">K26</f>
        <v>76893.3621</v>
      </c>
      <c r="M24" s="70" t="n">
        <f aca="false">L26</f>
        <v>104898.6373</v>
      </c>
      <c r="N24" s="70" t="n">
        <f aca="false">M26</f>
        <v>105265.00888457</v>
      </c>
      <c r="O24" s="70" t="n">
        <f aca="false">N26</f>
        <v>104026.632737275</v>
      </c>
      <c r="P24" s="70" t="n">
        <f aca="false">O26</f>
        <v>97039.2701897786</v>
      </c>
      <c r="Q24" s="70" t="n">
        <f aca="false">P26</f>
        <v>87835.1059540364</v>
      </c>
      <c r="R24" s="70" t="n">
        <f aca="false">Q26</f>
        <v>80455.670064581</v>
      </c>
      <c r="S24" s="70" t="n">
        <f aca="false">R26</f>
        <v>66517.0080683851</v>
      </c>
      <c r="T24" s="70" t="n">
        <f aca="false">S26</f>
        <v>56339.2316702656</v>
      </c>
      <c r="U24" s="70" t="n">
        <f aca="false">T26</f>
        <v>63938.3989971462</v>
      </c>
      <c r="V24" s="70" t="n">
        <f aca="false">U26</f>
        <v>80572.7674752219</v>
      </c>
      <c r="W24" s="70" t="n">
        <f aca="false">V26</f>
        <v>91868.487443648</v>
      </c>
      <c r="X24" s="70" t="n">
        <f aca="false">W26</f>
        <v>95710.7097580614</v>
      </c>
      <c r="Y24" s="70" t="n">
        <f aca="false">X26</f>
        <v>92001.3891681198</v>
      </c>
      <c r="Z24" s="70" t="n">
        <f aca="false">Y26</f>
        <v>82829.6627962928</v>
      </c>
      <c r="AA24" s="70" t="n">
        <f aca="false">Z26</f>
        <v>75622.1137828202</v>
      </c>
      <c r="AB24" s="70" t="n">
        <f aca="false">AA26</f>
        <v>71493.7098578387</v>
      </c>
    </row>
    <row r="25" customFormat="false" ht="15" hidden="false" customHeight="false" outlineLevel="0" collapsed="false">
      <c r="A25" s="27" t="s">
        <v>1182</v>
      </c>
      <c r="B25" s="56" t="s">
        <v>1176</v>
      </c>
      <c r="C25" s="57" t="n">
        <f aca="false">SUM(E25:P25)</f>
        <v>840686.999111624</v>
      </c>
      <c r="D25" s="57" t="n">
        <f aca="false">SUM(Q25:AB25)</f>
        <v>945184.255036417</v>
      </c>
      <c r="E25" s="58" t="n">
        <f aca="false">IF(E$5="A",Inputs_Actuals!E117,E24+E23-(E23*MIN(1,Assumptions!$C$78/30)+0*MIN(1,MAX(0,(Assumptions!$C$78-30)/30))))</f>
        <v>39871.42</v>
      </c>
      <c r="F25" s="58" t="n">
        <f aca="false">IF(F$5="A",Inputs_Actuals!F117,F24+F23-(F23*MIN(1,Assumptions!$C$78/30)+E23*MIN(1,MAX(0,(Assumptions!$C$78-30)/30))))</f>
        <v>62356.57</v>
      </c>
      <c r="G25" s="58" t="n">
        <f aca="false">IF(G$5="A",Inputs_Actuals!G117,G24+G23-(G23*MIN(1,Assumptions!$C$78/30)+F23*MIN(1,MAX(0,(Assumptions!$C$78-30)/30))))</f>
        <v>48705.77</v>
      </c>
      <c r="H25" s="58" t="n">
        <f aca="false">IF(H$5="A",Inputs_Actuals!H117,H24+H23-(H23*MIN(1,Assumptions!$C$78/30)+G23*MIN(1,MAX(0,(Assumptions!$C$78-30)/30))))</f>
        <v>45209.91</v>
      </c>
      <c r="I25" s="58" t="n">
        <f aca="false">IF(I$5="A",Inputs_Actuals!I117,I24+I23-(I23*MIN(1,Assumptions!$C$78/30)+H23*MIN(1,MAX(0,(Assumptions!$C$78-30)/30))))</f>
        <v>38113.25</v>
      </c>
      <c r="J25" s="58" t="n">
        <f aca="false">IF(J$5="A",Inputs_Actuals!J117,J24+J23-(J23*MIN(1,Assumptions!$C$78/30)+I23*MIN(1,MAX(0,(Assumptions!$C$78-30)/30))))</f>
        <v>45633.35</v>
      </c>
      <c r="K25" s="58" t="n">
        <f aca="false">IF(K$5="A",Inputs_Actuals!K117,K24+K23-(K23*MIN(1,Assumptions!$C$78/30)+J23*MIN(1,MAX(0,(Assumptions!$C$78-30)/30))))</f>
        <v>84378.75</v>
      </c>
      <c r="L25" s="58" t="n">
        <f aca="false">IF(L$5="A",Inputs_Actuals!L117,L24+L23-(L23*MIN(1,Assumptions!$C$78/30)+K23*MIN(1,MAX(0,(Assumptions!$C$78-30)/30))))</f>
        <v>65188.43</v>
      </c>
      <c r="M25" s="58" t="n">
        <f aca="false">IF(M$5="A",Inputs_Actuals!M117,M24+M23-(M23*MIN(1,Assumptions!$C$78/30)+L23*MIN(1,MAX(0,(Assumptions!$C$78-30)/30))))</f>
        <v>104898.6373</v>
      </c>
      <c r="N25" s="58" t="n">
        <f aca="false">IF(N$5="A",Inputs_Actuals!N117,N24+N23-(N23*MIN(1,Assumptions!$C$78/30)+M23*MIN(1,MAX(0,(Assumptions!$C$78-30)/30))))</f>
        <v>105265.00888457</v>
      </c>
      <c r="O25" s="58" t="n">
        <f aca="false">IF(O$5="A",Inputs_Actuals!O117,O24+O23-(O23*MIN(1,Assumptions!$C$78/30)+N23*MIN(1,MAX(0,(Assumptions!$C$78-30)/30))))</f>
        <v>104026.632737275</v>
      </c>
      <c r="P25" s="58" t="n">
        <f aca="false">IF(P$5="A",Inputs_Actuals!P117,P24+P23-(P23*MIN(1,Assumptions!$C$78/30)+O23*MIN(1,MAX(0,(Assumptions!$C$78-30)/30))))</f>
        <v>97039.2701897786</v>
      </c>
      <c r="Q25" s="58" t="n">
        <f aca="false">IF(Q$5="A",Inputs_Actuals!Q117,Q24+Q23-(Q23*MIN(1,Assumptions!$C$78/30)+P23*MIN(1,MAX(0,(Assumptions!$C$78-30)/30))))</f>
        <v>87835.1059540364</v>
      </c>
      <c r="R25" s="58" t="n">
        <f aca="false">IF(R$5="A",Inputs_Actuals!R117,R24+R23-(R23*MIN(1,Assumptions!$C$78/30)+Q23*MIN(1,MAX(0,(Assumptions!$C$78-30)/30))))</f>
        <v>80455.670064581</v>
      </c>
      <c r="S25" s="58" t="n">
        <f aca="false">IF(S$5="A",Inputs_Actuals!S117,S24+S23-(S23*MIN(1,Assumptions!$C$78/30)+R23*MIN(1,MAX(0,(Assumptions!$C$78-30)/30))))</f>
        <v>66517.0080683851</v>
      </c>
      <c r="T25" s="58" t="n">
        <f aca="false">IF(T$5="A",Inputs_Actuals!T117,T24+T23-(T23*MIN(1,Assumptions!$C$78/30)+S23*MIN(1,MAX(0,(Assumptions!$C$78-30)/30))))</f>
        <v>56339.2316702656</v>
      </c>
      <c r="U25" s="58" t="n">
        <f aca="false">IF(U$5="A",Inputs_Actuals!U117,U24+U23-(U23*MIN(1,Assumptions!$C$78/30)+T23*MIN(1,MAX(0,(Assumptions!$C$78-30)/30))))</f>
        <v>63938.3989971462</v>
      </c>
      <c r="V25" s="58" t="n">
        <f aca="false">IF(V$5="A",Inputs_Actuals!V117,V24+V23-(V23*MIN(1,Assumptions!$C$78/30)+U23*MIN(1,MAX(0,(Assumptions!$C$78-30)/30))))</f>
        <v>80572.7674752219</v>
      </c>
      <c r="W25" s="58" t="n">
        <f aca="false">IF(W$5="A",Inputs_Actuals!W117,W24+W23-(W23*MIN(1,Assumptions!$C$78/30)+V23*MIN(1,MAX(0,(Assumptions!$C$78-30)/30))))</f>
        <v>91868.4874436481</v>
      </c>
      <c r="X25" s="58" t="n">
        <f aca="false">IF(X$5="A",Inputs_Actuals!X117,X24+X23-(X23*MIN(1,Assumptions!$C$78/30)+W23*MIN(1,MAX(0,(Assumptions!$C$78-30)/30))))</f>
        <v>95710.7097580614</v>
      </c>
      <c r="Y25" s="58" t="n">
        <f aca="false">IF(Y$5="A",Inputs_Actuals!Y117,Y24+Y23-(Y23*MIN(1,Assumptions!$C$78/30)+X23*MIN(1,MAX(0,(Assumptions!$C$78-30)/30))))</f>
        <v>92001.3891681198</v>
      </c>
      <c r="Z25" s="58" t="n">
        <f aca="false">IF(Z$5="A",Inputs_Actuals!Z117,Z24+Z23-(Z23*MIN(1,Assumptions!$C$78/30)+Y23*MIN(1,MAX(0,(Assumptions!$C$78-30)/30))))</f>
        <v>82829.6627962928</v>
      </c>
      <c r="AA25" s="58" t="n">
        <f aca="false">IF(AA$5="A",Inputs_Actuals!AA117,AA24+AA23-(AA23*MIN(1,Assumptions!$C$78/30)+Z23*MIN(1,MAX(0,(Assumptions!$C$78-30)/30))))</f>
        <v>75622.1137828202</v>
      </c>
      <c r="AB25" s="58" t="n">
        <f aca="false">IF(AB$5="A",Inputs_Actuals!AB117,AB24+AB23-(AB23*MIN(1,Assumptions!$C$78/30)+AA23*MIN(1,MAX(0,(Assumptions!$C$78-30)/30))))</f>
        <v>71493.7098578387</v>
      </c>
    </row>
    <row r="26" customFormat="false" ht="15" hidden="false" customHeight="false" outlineLevel="0" collapsed="false">
      <c r="A26" s="67" t="s">
        <v>1177</v>
      </c>
      <c r="B26" s="68"/>
      <c r="C26" s="69" t="n">
        <f aca="false">P26</f>
        <v>87835.1059540364</v>
      </c>
      <c r="D26" s="69" t="n">
        <f aca="false">AB26</f>
        <v>67015.9011329958</v>
      </c>
      <c r="E26" s="69" t="n">
        <f aca="false">E24+E23-E25</f>
        <v>61614.4819</v>
      </c>
      <c r="F26" s="69" t="n">
        <f aca="false">F24+F23-F25</f>
        <v>48915.2997</v>
      </c>
      <c r="G26" s="69" t="n">
        <f aca="false">G24+G23-G25</f>
        <v>42861.8215</v>
      </c>
      <c r="H26" s="69" t="n">
        <f aca="false">H24+H23-H25</f>
        <v>39095.4823</v>
      </c>
      <c r="I26" s="69" t="n">
        <f aca="false">I24+I23-I25</f>
        <v>51569.1803</v>
      </c>
      <c r="J26" s="69" t="n">
        <f aca="false">J24+J23-J25</f>
        <v>73416.6069</v>
      </c>
      <c r="K26" s="69" t="n">
        <f aca="false">K24+K23-K25</f>
        <v>76893.3621</v>
      </c>
      <c r="L26" s="69" t="n">
        <f aca="false">L24+L23-L25</f>
        <v>104898.6373</v>
      </c>
      <c r="M26" s="69" t="n">
        <f aca="false">M24+M23-M25</f>
        <v>105265.00888457</v>
      </c>
      <c r="N26" s="69" t="n">
        <f aca="false">N24+N23-N25</f>
        <v>104026.632737275</v>
      </c>
      <c r="O26" s="69" t="n">
        <f aca="false">O24+O23-O25</f>
        <v>97039.2701897786</v>
      </c>
      <c r="P26" s="69" t="n">
        <f aca="false">P24+P23-P25</f>
        <v>87835.1059540364</v>
      </c>
      <c r="Q26" s="69" t="n">
        <f aca="false">Q24+Q23-Q25</f>
        <v>80455.670064581</v>
      </c>
      <c r="R26" s="69" t="n">
        <f aca="false">R24+R23-R25</f>
        <v>66517.0080683851</v>
      </c>
      <c r="S26" s="69" t="n">
        <f aca="false">S24+S23-S25</f>
        <v>56339.2316702656</v>
      </c>
      <c r="T26" s="69" t="n">
        <f aca="false">T24+T23-T25</f>
        <v>63938.3989971462</v>
      </c>
      <c r="U26" s="69" t="n">
        <f aca="false">U24+U23-U25</f>
        <v>80572.7674752219</v>
      </c>
      <c r="V26" s="69" t="n">
        <f aca="false">V24+V23-V25</f>
        <v>91868.487443648</v>
      </c>
      <c r="W26" s="69" t="n">
        <f aca="false">W24+W23-W25</f>
        <v>95710.7097580614</v>
      </c>
      <c r="X26" s="69" t="n">
        <f aca="false">X24+X23-X25</f>
        <v>92001.3891681198</v>
      </c>
      <c r="Y26" s="69" t="n">
        <f aca="false">Y24+Y23-Y25</f>
        <v>82829.6627962928</v>
      </c>
      <c r="Z26" s="69" t="n">
        <f aca="false">Z24+Z23-Z25</f>
        <v>75622.1137828202</v>
      </c>
      <c r="AA26" s="69" t="n">
        <f aca="false">AA24+AA23-AA25</f>
        <v>71493.7098578387</v>
      </c>
      <c r="AB26" s="69" t="n">
        <f aca="false">AB24+AB23-AB25</f>
        <v>67015.9011329958</v>
      </c>
    </row>
    <row r="27" customFormat="false" ht="15" hidden="false" customHeight="false" outlineLevel="0" collapsed="false">
      <c r="A27" s="21" t="s">
        <v>1184</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row>
    <row r="28" customFormat="false" ht="15" hidden="false" customHeight="false" outlineLevel="0" collapsed="false">
      <c r="A28" s="27" t="s">
        <v>1170</v>
      </c>
      <c r="B28" s="56"/>
      <c r="C28" s="57" t="n">
        <f aca="false">SUM(E28:P28)</f>
        <v>854081.459350806</v>
      </c>
      <c r="D28" s="57" t="n">
        <f aca="false">SUM(Q28:AB28)</f>
        <v>774750.44552</v>
      </c>
      <c r="E28" s="58" t="n">
        <f aca="false">Overheads!E45*(1+Assumptions!$C$24*Assumptions!$C$25)+Resources!E40*(1+Assumptions!$C$24*Assumptions!$C$26)+Resources!E35*(1+Assumptions!$C$24)+Overheads!E46</f>
        <v>57361.4112666667</v>
      </c>
      <c r="F28" s="58" t="n">
        <f aca="false">Overheads!F45*(1+Assumptions!$C$24*Assumptions!$C$25)+Resources!F40*(1+Assumptions!$C$24*Assumptions!$C$26)+Resources!F35*(1+Assumptions!$C$24)+Overheads!F46</f>
        <v>57190.4182</v>
      </c>
      <c r="G28" s="58" t="n">
        <f aca="false">Overheads!G45*(1+Assumptions!$C$24*Assumptions!$C$25)+Resources!G40*(1+Assumptions!$C$24*Assumptions!$C$26)+Resources!G35*(1+Assumptions!$C$24)+Overheads!G46</f>
        <v>61684.2088</v>
      </c>
      <c r="H28" s="58" t="n">
        <f aca="false">Overheads!H45*(1+Assumptions!$C$24*Assumptions!$C$25)+Resources!H40*(1+Assumptions!$C$24*Assumptions!$C$26)+Resources!H35*(1+Assumptions!$C$24)+Overheads!H46</f>
        <v>63844.0733333333</v>
      </c>
      <c r="I28" s="58" t="n">
        <f aca="false">Overheads!I45*(1+Assumptions!$C$24*Assumptions!$C$25)+Resources!I40*(1+Assumptions!$C$24*Assumptions!$C$26)+Resources!I35*(1+Assumptions!$C$24)+Overheads!I46</f>
        <v>62972.0492666667</v>
      </c>
      <c r="J28" s="58" t="n">
        <f aca="false">Overheads!J45*(1+Assumptions!$C$24*Assumptions!$C$25)+Resources!J40*(1+Assumptions!$C$24*Assumptions!$C$26)+Resources!J35*(1+Assumptions!$C$24)+Overheads!J46</f>
        <v>63686.4478666667</v>
      </c>
      <c r="K28" s="58" t="n">
        <f aca="false">Overheads!K45*(1+Assumptions!$C$24*Assumptions!$C$25)+Resources!K40*(1+Assumptions!$C$24*Assumptions!$C$26)+Resources!K35*(1+Assumptions!$C$24)+Overheads!K46</f>
        <v>69181.3850666667</v>
      </c>
      <c r="L28" s="58" t="n">
        <f aca="false">Overheads!L45*(1+Assumptions!$C$24*Assumptions!$C$25)+Resources!L40*(1+Assumptions!$C$24*Assumptions!$C$26)+Resources!L35*(1+Assumptions!$C$24)+Overheads!L46</f>
        <v>65328.5650666667</v>
      </c>
      <c r="M28" s="58" t="n">
        <f aca="false">Overheads!M45*(1+Assumptions!$C$24*Assumptions!$C$25)+Resources!M40*(1+Assumptions!$C$24*Assumptions!$C$26)+Resources!M35*(1+Assumptions!$C$24)+Overheads!M46</f>
        <v>111259.180112114</v>
      </c>
      <c r="N28" s="58" t="n">
        <f aca="false">Overheads!N45*(1+Assumptions!$C$24*Assumptions!$C$25)+Resources!N40*(1+Assumptions!$C$24*Assumptions!$C$26)+Resources!N35*(1+Assumptions!$C$24)+Overheads!N46</f>
        <v>105198.090756538</v>
      </c>
      <c r="O28" s="58" t="n">
        <f aca="false">Overheads!O45*(1+Assumptions!$C$24*Assumptions!$C$25)+Resources!O40*(1+Assumptions!$C$24*Assumptions!$C$26)+Resources!O35*(1+Assumptions!$C$24)+Overheads!O46</f>
        <v>73742.7402821536</v>
      </c>
      <c r="P28" s="58" t="n">
        <f aca="false">Overheads!P45*(1+Assumptions!$C$24*Assumptions!$C$25)+Resources!P40*(1+Assumptions!$C$24*Assumptions!$C$26)+Resources!P35*(1+Assumptions!$C$24)+Overheads!P46</f>
        <v>62632.8893333333</v>
      </c>
      <c r="Q28" s="58" t="n">
        <f aca="false">Overheads!Q45*(1+Assumptions!$C$24*Assumptions!$C$25)+Resources!Q40*(1+Assumptions!$C$24*Assumptions!$C$26)+Resources!Q35*(1+Assumptions!$C$24)+Overheads!Q46</f>
        <v>64833.9871266667</v>
      </c>
      <c r="R28" s="58" t="n">
        <f aca="false">Overheads!R45*(1+Assumptions!$C$24*Assumptions!$C$25)+Resources!R40*(1+Assumptions!$C$24*Assumptions!$C$26)+Resources!R35*(1+Assumptions!$C$24)+Overheads!R46</f>
        <v>64833.9871266667</v>
      </c>
      <c r="S28" s="58" t="n">
        <f aca="false">Overheads!S45*(1+Assumptions!$C$24*Assumptions!$C$25)+Resources!S40*(1+Assumptions!$C$24*Assumptions!$C$26)+Resources!S35*(1+Assumptions!$C$24)+Overheads!S46</f>
        <v>64584.6537933333</v>
      </c>
      <c r="T28" s="58" t="n">
        <f aca="false">Overheads!T45*(1+Assumptions!$C$24*Assumptions!$C$25)+Resources!T40*(1+Assumptions!$C$24*Assumptions!$C$26)+Resources!T35*(1+Assumptions!$C$24)+Overheads!T46</f>
        <v>64447.32046</v>
      </c>
      <c r="U28" s="58" t="n">
        <f aca="false">Overheads!U45*(1+Assumptions!$C$24*Assumptions!$C$25)+Resources!U40*(1+Assumptions!$C$24*Assumptions!$C$26)+Resources!U35*(1+Assumptions!$C$24)+Overheads!U46</f>
        <v>64471.32046</v>
      </c>
      <c r="V28" s="58" t="n">
        <f aca="false">Overheads!V45*(1+Assumptions!$C$24*Assumptions!$C$25)+Resources!V40*(1+Assumptions!$C$24*Assumptions!$C$26)+Resources!V35*(1+Assumptions!$C$24)+Overheads!V46</f>
        <v>64471.32046</v>
      </c>
      <c r="W28" s="58" t="n">
        <f aca="false">Overheads!W45*(1+Assumptions!$C$24*Assumptions!$C$25)+Resources!W40*(1+Assumptions!$C$24*Assumptions!$C$26)+Resources!W35*(1+Assumptions!$C$24)+Overheads!W46</f>
        <v>64522.52046</v>
      </c>
      <c r="X28" s="58" t="n">
        <f aca="false">Overheads!X45*(1+Assumptions!$C$24*Assumptions!$C$25)+Resources!X40*(1+Assumptions!$C$24*Assumptions!$C$26)+Resources!X35*(1+Assumptions!$C$24)+Overheads!X46</f>
        <v>64565.72046</v>
      </c>
      <c r="Y28" s="58" t="n">
        <f aca="false">Overheads!Y45*(1+Assumptions!$C$24*Assumptions!$C$25)+Resources!Y40*(1+Assumptions!$C$24*Assumptions!$C$26)+Resources!Y35*(1+Assumptions!$C$24)+Overheads!Y46</f>
        <v>64679.32046</v>
      </c>
      <c r="Z28" s="58" t="n">
        <f aca="false">Overheads!Z45*(1+Assumptions!$C$24*Assumptions!$C$25)+Resources!Z40*(1+Assumptions!$C$24*Assumptions!$C$26)+Resources!Z35*(1+Assumptions!$C$24)+Overheads!Z46</f>
        <v>64540.9871266667</v>
      </c>
      <c r="AA28" s="58" t="n">
        <f aca="false">Overheads!AA45*(1+Assumptions!$C$24*Assumptions!$C$25)+Resources!AA40*(1+Assumptions!$C$24*Assumptions!$C$26)+Resources!AA35*(1+Assumptions!$C$24)+Overheads!AA46</f>
        <v>64516.9871266667</v>
      </c>
      <c r="AB28" s="58" t="n">
        <f aca="false">Overheads!AB45*(1+Assumptions!$C$24*Assumptions!$C$25)+Resources!AB40*(1+Assumptions!$C$24*Assumptions!$C$26)+Resources!AB35*(1+Assumptions!$C$24)+Overheads!AB46</f>
        <v>64282.32046</v>
      </c>
    </row>
    <row r="29" customFormat="false" ht="15" hidden="false" customHeight="false" outlineLevel="0" collapsed="false">
      <c r="A29" s="27" t="s">
        <v>1174</v>
      </c>
      <c r="B29" s="56"/>
      <c r="E29" s="58" t="n">
        <f aca="false">Inputs_Actuals!$C$138</f>
        <v>38000</v>
      </c>
      <c r="F29" s="70" t="n">
        <f aca="false">E31</f>
        <v>51160.6212666667</v>
      </c>
      <c r="G29" s="70" t="n">
        <f aca="false">F31</f>
        <v>43646.2394666667</v>
      </c>
      <c r="H29" s="70" t="n">
        <f aca="false">G31</f>
        <v>51745.4982666667</v>
      </c>
      <c r="I29" s="70" t="n">
        <f aca="false">H31</f>
        <v>52506.7116</v>
      </c>
      <c r="J29" s="70" t="n">
        <f aca="false">I31</f>
        <v>52841.7108666667</v>
      </c>
      <c r="K29" s="70" t="n">
        <f aca="false">J31</f>
        <v>46566.5087333334</v>
      </c>
      <c r="L29" s="70" t="n">
        <f aca="false">K31</f>
        <v>57268.9238</v>
      </c>
      <c r="M29" s="70" t="n">
        <f aca="false">L31</f>
        <v>56433.5188666667</v>
      </c>
      <c r="N29" s="70" t="n">
        <f aca="false">M31</f>
        <v>89007.3440896909</v>
      </c>
      <c r="O29" s="70" t="n">
        <f aca="false">N31</f>
        <v>84158.4726052307</v>
      </c>
      <c r="P29" s="70" t="n">
        <f aca="false">O31</f>
        <v>58994.1922257229</v>
      </c>
      <c r="Q29" s="70" t="n">
        <f aca="false">P31</f>
        <v>50106.3114666667</v>
      </c>
      <c r="R29" s="70" t="n">
        <f aca="false">Q31</f>
        <v>51867.1897013333</v>
      </c>
      <c r="S29" s="70" t="n">
        <f aca="false">R31</f>
        <v>51867.1897013333</v>
      </c>
      <c r="T29" s="70" t="n">
        <f aca="false">S31</f>
        <v>51667.7230346667</v>
      </c>
      <c r="U29" s="70" t="n">
        <f aca="false">T31</f>
        <v>51557.856368</v>
      </c>
      <c r="V29" s="70" t="n">
        <f aca="false">U31</f>
        <v>51577.056368</v>
      </c>
      <c r="W29" s="70" t="n">
        <f aca="false">V31</f>
        <v>51577.056368</v>
      </c>
      <c r="X29" s="70" t="n">
        <f aca="false">W31</f>
        <v>51618.016368</v>
      </c>
      <c r="Y29" s="70" t="n">
        <f aca="false">X31</f>
        <v>51652.576368</v>
      </c>
      <c r="Z29" s="70" t="n">
        <f aca="false">Y31</f>
        <v>51743.456368</v>
      </c>
      <c r="AA29" s="70" t="n">
        <f aca="false">Z31</f>
        <v>51632.7897013333</v>
      </c>
      <c r="AB29" s="70" t="n">
        <f aca="false">AA31</f>
        <v>51613.5897013333</v>
      </c>
    </row>
    <row r="30" customFormat="false" ht="15" hidden="false" customHeight="false" outlineLevel="0" collapsed="false">
      <c r="A30" s="27" t="s">
        <v>1182</v>
      </c>
      <c r="B30" s="56" t="s">
        <v>1176</v>
      </c>
      <c r="C30" s="57" t="n">
        <f aca="false">SUM(E30:P30)</f>
        <v>841975.147884139</v>
      </c>
      <c r="D30" s="57" t="n">
        <f aca="false">SUM(Q30:AB30)</f>
        <v>773430.900618667</v>
      </c>
      <c r="E30" s="58" t="n">
        <f aca="false">IF(E$5="A",Inputs_Actuals!E118,E29+E28-(E28*MIN(1,Assumptions!$C$79/30)+0*MIN(1,MAX(0,(Assumptions!$C$79-30)/30))))</f>
        <v>44200.79</v>
      </c>
      <c r="F30" s="58" t="n">
        <f aca="false">IF(F$5="A",Inputs_Actuals!F118,F29+F28-(F28*MIN(1,Assumptions!$C$79/30)+E28*MIN(1,MAX(0,(Assumptions!$C$79-30)/30))))</f>
        <v>64704.8</v>
      </c>
      <c r="G30" s="58" t="n">
        <f aca="false">IF(G$5="A",Inputs_Actuals!G118,G29+G28-(G28*MIN(1,Assumptions!$C$79/30)+F28*MIN(1,MAX(0,(Assumptions!$C$79-30)/30))))</f>
        <v>53584.95</v>
      </c>
      <c r="H30" s="58" t="n">
        <f aca="false">IF(H$5="A",Inputs_Actuals!H118,H29+H28-(H28*MIN(1,Assumptions!$C$79/30)+G28*MIN(1,MAX(0,(Assumptions!$C$79-30)/30))))</f>
        <v>63082.86</v>
      </c>
      <c r="I30" s="58" t="n">
        <f aca="false">IF(I$5="A",Inputs_Actuals!I118,I29+I28-(I28*MIN(1,Assumptions!$C$79/30)+H28*MIN(1,MAX(0,(Assumptions!$C$79-30)/30))))</f>
        <v>62637.05</v>
      </c>
      <c r="J30" s="58" t="n">
        <f aca="false">IF(J$5="A",Inputs_Actuals!J118,J29+J28-(J28*MIN(1,Assumptions!$C$79/30)+I28*MIN(1,MAX(0,(Assumptions!$C$79-30)/30))))</f>
        <v>69961.65</v>
      </c>
      <c r="K30" s="58" t="n">
        <f aca="false">IF(K$5="A",Inputs_Actuals!K118,K29+K28-(K28*MIN(1,Assumptions!$C$79/30)+J28*MIN(1,MAX(0,(Assumptions!$C$79-30)/30))))</f>
        <v>58478.97</v>
      </c>
      <c r="L30" s="58" t="n">
        <f aca="false">IF(L$5="A",Inputs_Actuals!L118,L29+L28-(L28*MIN(1,Assumptions!$C$79/30)+K28*MIN(1,MAX(0,(Assumptions!$C$79-30)/30))))</f>
        <v>66163.97</v>
      </c>
      <c r="M30" s="58" t="n">
        <f aca="false">IF(M$5="A",Inputs_Actuals!M118,M29+M28-(M28*MIN(1,Assumptions!$C$79/30)+L28*MIN(1,MAX(0,(Assumptions!$C$79-30)/30))))</f>
        <v>78685.3548890894</v>
      </c>
      <c r="N30" s="58" t="n">
        <f aca="false">IF(N$5="A",Inputs_Actuals!N118,N29+N28-(N28*MIN(1,Assumptions!$C$79/30)+M28*MIN(1,MAX(0,(Assumptions!$C$79-30)/30))))</f>
        <v>110046.962240999</v>
      </c>
      <c r="O30" s="58" t="n">
        <f aca="false">IF(O$5="A",Inputs_Actuals!O118,O29+O28-(O28*MIN(1,Assumptions!$C$79/30)+N28*MIN(1,MAX(0,(Assumptions!$C$79-30)/30))))</f>
        <v>98907.0206616614</v>
      </c>
      <c r="P30" s="58" t="n">
        <f aca="false">IF(P$5="A",Inputs_Actuals!P118,P29+P28-(P28*MIN(1,Assumptions!$C$79/30)+O28*MIN(1,MAX(0,(Assumptions!$C$79-30)/30))))</f>
        <v>71520.7700923896</v>
      </c>
      <c r="Q30" s="58" t="n">
        <f aca="false">IF(Q$5="A",Inputs_Actuals!Q118,Q29+Q28-(Q28*MIN(1,Assumptions!$C$79/30)+P28*MIN(1,MAX(0,(Assumptions!$C$79-30)/30))))</f>
        <v>63073.108892</v>
      </c>
      <c r="R30" s="58" t="n">
        <f aca="false">IF(R$5="A",Inputs_Actuals!R118,R29+R28-(R28*MIN(1,Assumptions!$C$79/30)+Q28*MIN(1,MAX(0,(Assumptions!$C$79-30)/30))))</f>
        <v>64833.9871266667</v>
      </c>
      <c r="S30" s="58" t="n">
        <f aca="false">IF(S$5="A",Inputs_Actuals!S118,S29+S28-(S28*MIN(1,Assumptions!$C$79/30)+R28*MIN(1,MAX(0,(Assumptions!$C$79-30)/30))))</f>
        <v>64784.12046</v>
      </c>
      <c r="T30" s="58" t="n">
        <f aca="false">IF(T$5="A",Inputs_Actuals!T118,T29+T28-(T28*MIN(1,Assumptions!$C$79/30)+S28*MIN(1,MAX(0,(Assumptions!$C$79-30)/30))))</f>
        <v>64557.1871266667</v>
      </c>
      <c r="U30" s="58" t="n">
        <f aca="false">IF(U$5="A",Inputs_Actuals!U118,U29+U28-(U28*MIN(1,Assumptions!$C$79/30)+T28*MIN(1,MAX(0,(Assumptions!$C$79-30)/30))))</f>
        <v>64452.12046</v>
      </c>
      <c r="V30" s="58" t="n">
        <f aca="false">IF(V$5="A",Inputs_Actuals!V118,V29+V28-(V28*MIN(1,Assumptions!$C$79/30)+U28*MIN(1,MAX(0,(Assumptions!$C$79-30)/30))))</f>
        <v>64471.32046</v>
      </c>
      <c r="W30" s="58" t="n">
        <f aca="false">IF(W$5="A",Inputs_Actuals!W118,W29+W28-(W28*MIN(1,Assumptions!$C$79/30)+V28*MIN(1,MAX(0,(Assumptions!$C$79-30)/30))))</f>
        <v>64481.56046</v>
      </c>
      <c r="X30" s="58" t="n">
        <f aca="false">IF(X$5="A",Inputs_Actuals!X118,X29+X28-(X28*MIN(1,Assumptions!$C$79/30)+W28*MIN(1,MAX(0,(Assumptions!$C$79-30)/30))))</f>
        <v>64531.16046</v>
      </c>
      <c r="Y30" s="58" t="n">
        <f aca="false">IF(Y$5="A",Inputs_Actuals!Y118,Y29+Y28-(Y28*MIN(1,Assumptions!$C$79/30)+X28*MIN(1,MAX(0,(Assumptions!$C$79-30)/30))))</f>
        <v>64588.44046</v>
      </c>
      <c r="Z30" s="58" t="n">
        <f aca="false">IF(Z$5="A",Inputs_Actuals!Z118,Z29+Z28-(Z28*MIN(1,Assumptions!$C$79/30)+Y28*MIN(1,MAX(0,(Assumptions!$C$79-30)/30))))</f>
        <v>64651.6537933333</v>
      </c>
      <c r="AA30" s="58" t="n">
        <f aca="false">IF(AA$5="A",Inputs_Actuals!AA118,AA29+AA28-(AA28*MIN(1,Assumptions!$C$79/30)+Z28*MIN(1,MAX(0,(Assumptions!$C$79-30)/30))))</f>
        <v>64536.1871266667</v>
      </c>
      <c r="AB30" s="58" t="n">
        <f aca="false">IF(AB$5="A",Inputs_Actuals!AB118,AB29+AB28-(AB28*MIN(1,Assumptions!$C$79/30)+AA28*MIN(1,MAX(0,(Assumptions!$C$79-30)/30))))</f>
        <v>64470.0537933333</v>
      </c>
    </row>
    <row r="31" customFormat="false" ht="15" hidden="false" customHeight="false" outlineLevel="0" collapsed="false">
      <c r="A31" s="67" t="s">
        <v>1177</v>
      </c>
      <c r="B31" s="68"/>
      <c r="C31" s="69" t="n">
        <f aca="false">P31</f>
        <v>50106.3114666667</v>
      </c>
      <c r="D31" s="69" t="n">
        <f aca="false">AB31</f>
        <v>51425.856368</v>
      </c>
      <c r="E31" s="69" t="n">
        <f aca="false">E29+E28-E30</f>
        <v>51160.6212666667</v>
      </c>
      <c r="F31" s="69" t="n">
        <f aca="false">F29+F28-F30</f>
        <v>43646.2394666667</v>
      </c>
      <c r="G31" s="69" t="n">
        <f aca="false">G29+G28-G30</f>
        <v>51745.4982666667</v>
      </c>
      <c r="H31" s="69" t="n">
        <f aca="false">H29+H28-H30</f>
        <v>52506.7116</v>
      </c>
      <c r="I31" s="69" t="n">
        <f aca="false">I29+I28-I30</f>
        <v>52841.7108666667</v>
      </c>
      <c r="J31" s="69" t="n">
        <f aca="false">J29+J28-J30</f>
        <v>46566.5087333334</v>
      </c>
      <c r="K31" s="69" t="n">
        <f aca="false">K29+K28-K30</f>
        <v>57268.9238</v>
      </c>
      <c r="L31" s="69" t="n">
        <f aca="false">L29+L28-L30</f>
        <v>56433.5188666667</v>
      </c>
      <c r="M31" s="69" t="n">
        <f aca="false">M29+M28-M30</f>
        <v>89007.3440896909</v>
      </c>
      <c r="N31" s="69" t="n">
        <f aca="false">N29+N28-N30</f>
        <v>84158.4726052307</v>
      </c>
      <c r="O31" s="69" t="n">
        <f aca="false">O29+O28-O30</f>
        <v>58994.1922257229</v>
      </c>
      <c r="P31" s="69" t="n">
        <f aca="false">P29+P28-P30</f>
        <v>50106.3114666667</v>
      </c>
      <c r="Q31" s="69" t="n">
        <f aca="false">Q29+Q28-Q30</f>
        <v>51867.1897013333</v>
      </c>
      <c r="R31" s="69" t="n">
        <f aca="false">R29+R28-R30</f>
        <v>51867.1897013333</v>
      </c>
      <c r="S31" s="69" t="n">
        <f aca="false">S29+S28-S30</f>
        <v>51667.7230346667</v>
      </c>
      <c r="T31" s="69" t="n">
        <f aca="false">T29+T28-T30</f>
        <v>51557.856368</v>
      </c>
      <c r="U31" s="69" t="n">
        <f aca="false">U29+U28-U30</f>
        <v>51577.056368</v>
      </c>
      <c r="V31" s="69" t="n">
        <f aca="false">V29+V28-V30</f>
        <v>51577.056368</v>
      </c>
      <c r="W31" s="69" t="n">
        <f aca="false">W29+W28-W30</f>
        <v>51618.016368</v>
      </c>
      <c r="X31" s="69" t="n">
        <f aca="false">X29+X28-X30</f>
        <v>51652.576368</v>
      </c>
      <c r="Y31" s="69" t="n">
        <f aca="false">Y29+Y28-Y30</f>
        <v>51743.456368</v>
      </c>
      <c r="Z31" s="69" t="n">
        <f aca="false">Z29+Z28-Z30</f>
        <v>51632.7897013333</v>
      </c>
      <c r="AA31" s="69" t="n">
        <f aca="false">AA29+AA28-AA30</f>
        <v>51613.5897013333</v>
      </c>
      <c r="AB31" s="69" t="n">
        <f aca="false">AB29+AB28-AB30</f>
        <v>51425.856368</v>
      </c>
    </row>
    <row r="32" customFormat="false" ht="15" hidden="false" customHeight="false" outlineLevel="0" collapsed="false">
      <c r="A32" s="21" t="s">
        <v>1042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row>
    <row r="33" customFormat="false" ht="15" hidden="false" customHeight="false" outlineLevel="0" collapsed="false">
      <c r="A33" s="67" t="s">
        <v>1185</v>
      </c>
      <c r="B33" s="68"/>
      <c r="C33" s="69" t="n">
        <f aca="false">P33</f>
        <v>885725.099052879</v>
      </c>
      <c r="D33" s="69" t="n">
        <f aca="false">AB33</f>
        <v>702907.11430355</v>
      </c>
      <c r="E33" s="69" t="n">
        <f aca="false">E14+E21+E26+E31</f>
        <v>583726.398566667</v>
      </c>
      <c r="F33" s="69" t="n">
        <f aca="false">F14+F21+F26+F31</f>
        <v>525256.505766667</v>
      </c>
      <c r="G33" s="69" t="n">
        <f aca="false">G14+G21+G26+G31</f>
        <v>485160.346366667</v>
      </c>
      <c r="H33" s="69" t="n">
        <f aca="false">H14+H21+H26+H31</f>
        <v>430174.3928</v>
      </c>
      <c r="I33" s="69" t="n">
        <f aca="false">I14+I21+I26+I31</f>
        <v>467981.944166667</v>
      </c>
      <c r="J33" s="69" t="n">
        <f aca="false">J14+J21+J26+J31</f>
        <v>611034.680333333</v>
      </c>
      <c r="K33" s="69" t="n">
        <f aca="false">K14+K21+K26+K31</f>
        <v>833569.8919</v>
      </c>
      <c r="L33" s="69" t="n">
        <f aca="false">L14+L21+L26+L31</f>
        <v>966889.837066667</v>
      </c>
      <c r="M33" s="69" t="n">
        <f aca="false">M14+M21+M26+M31</f>
        <v>1032362.64167433</v>
      </c>
      <c r="N33" s="69" t="n">
        <f aca="false">N14+N21+N26+N31</f>
        <v>1043361.95639087</v>
      </c>
      <c r="O33" s="69" t="n">
        <f aca="false">O14+O21+O26+O31</f>
        <v>963207.490124942</v>
      </c>
      <c r="P33" s="69" t="n">
        <f aca="false">P14+P21+P26+P31</f>
        <v>885725.099052879</v>
      </c>
      <c r="Q33" s="69" t="n">
        <f aca="false">Q14+Q21+Q26+Q31</f>
        <v>801081.406337748</v>
      </c>
      <c r="R33" s="69" t="n">
        <f aca="false">R14+R21+R26+R31</f>
        <v>668848.146895058</v>
      </c>
      <c r="S33" s="69" t="n">
        <f aca="false">S14+S21+S26+S31</f>
        <v>594780.770049473</v>
      </c>
      <c r="T33" s="69" t="n">
        <f aca="false">T14+T21+T26+T31</f>
        <v>644958.950207932</v>
      </c>
      <c r="U33" s="69" t="n">
        <f aca="false">U14+U21+U26+U31</f>
        <v>783782.318659121</v>
      </c>
      <c r="V33" s="69" t="n">
        <f aca="false">V14+V21+V26+V31</f>
        <v>889718.110089427</v>
      </c>
      <c r="W33" s="69" t="n">
        <f aca="false">W14+W21+W26+W31</f>
        <v>939759.029889858</v>
      </c>
      <c r="X33" s="69" t="n">
        <f aca="false">X14+X21+X26+X31</f>
        <v>918224.242553614</v>
      </c>
      <c r="Y33" s="69" t="n">
        <f aca="false">Y14+Y21+Y26+Y31</f>
        <v>836982.688323434</v>
      </c>
      <c r="Z33" s="69" t="n">
        <f aca="false">Z14+Z21+Z26+Z31</f>
        <v>771075.597391765</v>
      </c>
      <c r="AA33" s="69" t="n">
        <f aca="false">AA14+AA21+AA26+AA31</f>
        <v>712420.763747744</v>
      </c>
      <c r="AB33" s="69" t="n">
        <f aca="false">AB14+AB21+AB26+AB31</f>
        <v>702907.11430355</v>
      </c>
    </row>
    <row r="34" customFormat="false" ht="15" hidden="false" customHeight="false" outlineLevel="0" collapsed="false">
      <c r="A34" s="27" t="s">
        <v>1186</v>
      </c>
      <c r="B34" s="56"/>
      <c r="E34" s="72" t="n">
        <f aca="false">IFERROR(E14/E11*30,0)</f>
        <v>32.4490249461446</v>
      </c>
      <c r="F34" s="72" t="n">
        <f aca="false">IFERROR(F14/F11*30,0)</f>
        <v>34.5089896682071</v>
      </c>
      <c r="G34" s="72" t="n">
        <f aca="false">IFERROR(G14/G11*30,0)</f>
        <v>35.6171150284676</v>
      </c>
      <c r="H34" s="72" t="n">
        <f aca="false">IFERROR(H14/H11*30,0)</f>
        <v>33.705180355922</v>
      </c>
      <c r="I34" s="72" t="n">
        <f aca="false">IFERROR(I14/I11*30,0)</f>
        <v>30.7299059057622</v>
      </c>
      <c r="J34" s="72" t="n">
        <f aca="false">IFERROR(J14/J11*30,0)</f>
        <v>30.8471376903696</v>
      </c>
      <c r="K34" s="72" t="n">
        <f aca="false">IFERROR(K14/K11*30,0)</f>
        <v>33.5285591028293</v>
      </c>
      <c r="L34" s="72" t="n">
        <f aca="false">IFERROR(L14/L11*30,0)</f>
        <v>36.9257050437226</v>
      </c>
      <c r="M34" s="72" t="n">
        <f aca="false">IFERROR(M14/M11*30,0)</f>
        <v>33.465826541182</v>
      </c>
      <c r="N34" s="72" t="n">
        <f aca="false">IFERROR(N14/N11*30,0)</f>
        <v>34.0180387622027</v>
      </c>
      <c r="O34" s="72" t="n">
        <f aca="false">IFERROR(O14/O11*30,0)</f>
        <v>34.3158448184738</v>
      </c>
      <c r="P34" s="72" t="n">
        <f aca="false">IFERROR(P14/P11*30,0)</f>
        <v>34.2616555982835</v>
      </c>
      <c r="Q34" s="72" t="n">
        <f aca="false">IFERROR(Q14/Q11*30,0)</f>
        <v>34.5889243382141</v>
      </c>
      <c r="R34" s="72" t="n">
        <f aca="false">IFERROR(R14/R11*30,0)</f>
        <v>35.1606284679676</v>
      </c>
      <c r="S34" s="72" t="n">
        <f aca="false">IFERROR(S14/S11*30,0)</f>
        <v>34.2368526184918</v>
      </c>
      <c r="T34" s="72" t="n">
        <f aca="false">IFERROR(T14/T11*30,0)</f>
        <v>33.4652436017653</v>
      </c>
      <c r="U34" s="72" t="n">
        <f aca="false">IFERROR(U14/U11*30,0)</f>
        <v>33.2055792130044</v>
      </c>
      <c r="V34" s="72" t="n">
        <f aca="false">IFERROR(V14/V11*30,0)</f>
        <v>33.615840562178</v>
      </c>
      <c r="W34" s="72" t="n">
        <f aca="false">IFERROR(W14/W11*30,0)</f>
        <v>33.828732020207</v>
      </c>
      <c r="X34" s="72" t="n">
        <f aca="false">IFERROR(X14/X11*30,0)</f>
        <v>34.1922652284183</v>
      </c>
      <c r="Y34" s="72" t="n">
        <f aca="false">IFERROR(Y14/Y11*30,0)</f>
        <v>34.5621517255434</v>
      </c>
      <c r="Z34" s="72" t="n">
        <f aca="false">IFERROR(Z14/Z11*30,0)</f>
        <v>34.319079389839</v>
      </c>
      <c r="AA34" s="72" t="n">
        <f aca="false">IFERROR(AA14/AA11*30,0)</f>
        <v>34.490239620583</v>
      </c>
      <c r="AB34" s="72" t="n">
        <f aca="false">IFERROR(AB14/AB11*30,0)</f>
        <v>33.7172166920059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1187</v>
      </c>
    </row>
    <row r="3" customFormat="false" ht="15" hidden="false" customHeight="false" outlineLevel="0" collapsed="false">
      <c r="A3" s="47" t="s">
        <v>1188</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1189</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1190</v>
      </c>
      <c r="B9" s="56" t="s">
        <v>49</v>
      </c>
      <c r="C9" s="57" t="n">
        <f aca="false">SUM(E9:P9)</f>
        <v>285010.244979517</v>
      </c>
      <c r="D9" s="57" t="n">
        <f aca="false">SUM(Q9:AB9)</f>
        <v>387623.991851672</v>
      </c>
      <c r="E9" s="58" t="n">
        <f aca="false">Residential!E30</f>
        <v>21549.6574889868</v>
      </c>
      <c r="F9" s="58" t="n">
        <f aca="false">Residential!F30</f>
        <v>19574.2304405286</v>
      </c>
      <c r="G9" s="58" t="n">
        <f aca="false">Residential!G30</f>
        <v>17453.0997356828</v>
      </c>
      <c r="H9" s="58" t="n">
        <f aca="false">Residential!H30</f>
        <v>19340.293876652</v>
      </c>
      <c r="I9" s="58" t="n">
        <f aca="false">Residential!I30</f>
        <v>19033.7475330397</v>
      </c>
      <c r="J9" s="58" t="n">
        <f aca="false">Residential!J30</f>
        <v>20750.9225550661</v>
      </c>
      <c r="K9" s="58" t="n">
        <f aca="false">Residential!K30</f>
        <v>20841.6889427313</v>
      </c>
      <c r="L9" s="58" t="n">
        <f aca="false">Residential!L30</f>
        <v>25229.9133039648</v>
      </c>
      <c r="M9" s="58" t="n">
        <f aca="false">Residential!M30</f>
        <v>30041.525896218</v>
      </c>
      <c r="N9" s="58" t="n">
        <f aca="false">Residential!N30</f>
        <v>32088.0966723201</v>
      </c>
      <c r="O9" s="58" t="n">
        <f aca="false">Residential!O30</f>
        <v>30513.6351391262</v>
      </c>
      <c r="P9" s="58" t="n">
        <f aca="false">Residential!P30</f>
        <v>28593.433395201</v>
      </c>
      <c r="Q9" s="58" t="n">
        <f aca="false">Residential!Q30</f>
        <v>26187.2697557848</v>
      </c>
      <c r="R9" s="58" t="n">
        <f aca="false">Residential!R30</f>
        <v>24402.8124613239</v>
      </c>
      <c r="S9" s="58" t="n">
        <f aca="false">Residential!S30</f>
        <v>24868.9545574155</v>
      </c>
      <c r="T9" s="58" t="n">
        <f aca="false">Residential!T30</f>
        <v>27168.4810650061</v>
      </c>
      <c r="U9" s="58" t="n">
        <f aca="false">Residential!U30</f>
        <v>31396.7415400852</v>
      </c>
      <c r="V9" s="58" t="n">
        <f aca="false">Residential!V30</f>
        <v>34698.1409331031</v>
      </c>
      <c r="W9" s="58" t="n">
        <f aca="false">Residential!W30</f>
        <v>36483.2503770829</v>
      </c>
      <c r="X9" s="58" t="n">
        <f aca="false">Residential!X30</f>
        <v>36894.1590539475</v>
      </c>
      <c r="Y9" s="58" t="n">
        <f aca="false">Residential!Y30</f>
        <v>36883.1301023069</v>
      </c>
      <c r="Z9" s="58" t="n">
        <f aca="false">Residential!Z30</f>
        <v>36984.2370534934</v>
      </c>
      <c r="AA9" s="58" t="n">
        <f aca="false">Residential!AA30</f>
        <v>36357.7111211109</v>
      </c>
      <c r="AB9" s="58" t="n">
        <f aca="false">Residential!AB30</f>
        <v>35299.1038310121</v>
      </c>
    </row>
    <row r="10" customFormat="false" ht="15" hidden="false" customHeight="false" outlineLevel="0" collapsed="false">
      <c r="A10" s="27" t="s">
        <v>1191</v>
      </c>
      <c r="B10" s="56" t="s">
        <v>49</v>
      </c>
      <c r="C10" s="57" t="n">
        <f aca="false">SUM(E10:P10)</f>
        <v>268956.277096726</v>
      </c>
      <c r="D10" s="57" t="n">
        <f aca="false">SUM(Q10:AB10)</f>
        <v>292419.984490955</v>
      </c>
      <c r="E10" s="58" t="n">
        <f aca="false">Residential!E59</f>
        <v>18365.2703524229</v>
      </c>
      <c r="F10" s="58" t="n">
        <f aca="false">Residential!F59</f>
        <v>15167.9874449339</v>
      </c>
      <c r="G10" s="58" t="n">
        <f aca="false">Residential!G59</f>
        <v>20534.6632599119</v>
      </c>
      <c r="H10" s="58" t="n">
        <f aca="false">Residential!H59</f>
        <v>18901.7591629956</v>
      </c>
      <c r="I10" s="58" t="n">
        <f aca="false">Residential!I59</f>
        <v>24961.0242290749</v>
      </c>
      <c r="J10" s="58" t="n">
        <f aca="false">Residential!J59</f>
        <v>23922.0689867841</v>
      </c>
      <c r="K10" s="58" t="n">
        <f aca="false">Residential!K59</f>
        <v>27812.1659471366</v>
      </c>
      <c r="L10" s="58" t="n">
        <f aca="false">Residential!L59</f>
        <v>24041.2270044053</v>
      </c>
      <c r="M10" s="58" t="n">
        <f aca="false">Residential!M59</f>
        <v>26054.0358572812</v>
      </c>
      <c r="N10" s="58" t="n">
        <f aca="false">Residential!N59</f>
        <v>23306.438560709</v>
      </c>
      <c r="O10" s="58" t="n">
        <f aca="false">Residential!O59</f>
        <v>24261.7153477907</v>
      </c>
      <c r="P10" s="58" t="n">
        <f aca="false">Residential!P59</f>
        <v>21627.9209432796</v>
      </c>
      <c r="Q10" s="58" t="n">
        <f aca="false">Residential!Q59</f>
        <v>21775.0160274386</v>
      </c>
      <c r="R10" s="58" t="n">
        <f aca="false">Residential!R59</f>
        <v>20024.2222751384</v>
      </c>
      <c r="S10" s="58" t="n">
        <f aca="false">Residential!S59</f>
        <v>20578.2287582633</v>
      </c>
      <c r="T10" s="58" t="n">
        <f aca="false">Residential!T59</f>
        <v>21751.7903799616</v>
      </c>
      <c r="U10" s="58" t="n">
        <f aca="false">Residential!U59</f>
        <v>23726.4273568499</v>
      </c>
      <c r="V10" s="58" t="n">
        <f aca="false">Residential!V59</f>
        <v>25616.0737052323</v>
      </c>
      <c r="W10" s="58" t="n">
        <f aca="false">Residential!W59</f>
        <v>26572.5346461774</v>
      </c>
      <c r="X10" s="58" t="n">
        <f aca="false">Residential!X59</f>
        <v>26957.3025683803</v>
      </c>
      <c r="Y10" s="58" t="n">
        <f aca="false">Residential!Y59</f>
        <v>27253.1267198533</v>
      </c>
      <c r="Z10" s="58" t="n">
        <f aca="false">Residential!Z59</f>
        <v>26957.3292056432</v>
      </c>
      <c r="AA10" s="58" t="n">
        <f aca="false">Residential!AA59</f>
        <v>26272.5859659226</v>
      </c>
      <c r="AB10" s="58" t="n">
        <f aca="false">Residential!AB59</f>
        <v>24935.346882094</v>
      </c>
    </row>
    <row r="11" customFormat="false" ht="15" hidden="false" customHeight="false" outlineLevel="0" collapsed="false">
      <c r="A11" s="27" t="s">
        <v>1192</v>
      </c>
      <c r="B11" s="56" t="s">
        <v>46</v>
      </c>
      <c r="C11" s="57" t="n">
        <f aca="false">SUM(E11:P11)</f>
        <v>404821.368046794</v>
      </c>
      <c r="D11" s="57" t="n">
        <f aca="false">SUM(Q11:AB11)</f>
        <v>368497.542236795</v>
      </c>
      <c r="E11" s="58" t="n">
        <f aca="false">WIP!E662</f>
        <v>22443.6025125</v>
      </c>
      <c r="F11" s="58" t="n">
        <f aca="false">WIP!F662</f>
        <v>18225.897345</v>
      </c>
      <c r="G11" s="58" t="n">
        <f aca="false">WIP!G662</f>
        <v>19348.7684175</v>
      </c>
      <c r="H11" s="58" t="n">
        <f aca="false">WIP!H662</f>
        <v>16417.8966825</v>
      </c>
      <c r="I11" s="58" t="n">
        <f aca="false">WIP!I662</f>
        <v>14884.78356</v>
      </c>
      <c r="J11" s="58" t="n">
        <f aca="false">WIP!J662</f>
        <v>17891.35722</v>
      </c>
      <c r="K11" s="58" t="n">
        <f aca="false">WIP!K662</f>
        <v>28451.8213875</v>
      </c>
      <c r="L11" s="58" t="n">
        <f aca="false">WIP!L662</f>
        <v>41781.3016455</v>
      </c>
      <c r="M11" s="58" t="n">
        <f aca="false">WIP!M662</f>
        <v>41872.4766884259</v>
      </c>
      <c r="N11" s="58" t="n">
        <f aca="false">WIP!N662</f>
        <v>59428.4362744991</v>
      </c>
      <c r="O11" s="58" t="n">
        <f aca="false">WIP!O662</f>
        <v>62036.2243276905</v>
      </c>
      <c r="P11" s="58" t="n">
        <f aca="false">WIP!P662</f>
        <v>62038.8019856789</v>
      </c>
      <c r="Q11" s="58" t="n">
        <f aca="false">WIP!Q662</f>
        <v>51519.0932375598</v>
      </c>
      <c r="R11" s="58" t="n">
        <f aca="false">WIP!R662</f>
        <v>48846.7595585139</v>
      </c>
      <c r="S11" s="58" t="n">
        <f aca="false">WIP!S662</f>
        <v>42384.1506535382</v>
      </c>
      <c r="T11" s="58" t="n">
        <f aca="false">WIP!T662</f>
        <v>30301.0592773438</v>
      </c>
      <c r="U11" s="58" t="n">
        <f aca="false">WIP!U662</f>
        <v>17082.6752929688</v>
      </c>
      <c r="V11" s="58" t="n">
        <f aca="false">WIP!V662</f>
        <v>24703.4692382813</v>
      </c>
      <c r="W11" s="58" t="n">
        <f aca="false">WIP!W662</f>
        <v>29941.5592382813</v>
      </c>
      <c r="X11" s="58" t="n">
        <f aca="false">WIP!X662</f>
        <v>31319.5052929688</v>
      </c>
      <c r="Y11" s="58" t="n">
        <f aca="false">WIP!Y662</f>
        <v>28425.7707259589</v>
      </c>
      <c r="Z11" s="58" t="n">
        <f aca="false">WIP!Z662</f>
        <v>24909.8461690848</v>
      </c>
      <c r="AA11" s="58" t="n">
        <f aca="false">WIP!AA662</f>
        <v>17434.4859388666</v>
      </c>
      <c r="AB11" s="58" t="n">
        <f aca="false">WIP!AB662</f>
        <v>21629.1676134293</v>
      </c>
    </row>
    <row r="12" customFormat="false" ht="15" hidden="false" customHeight="false" outlineLevel="0" collapsed="false">
      <c r="A12" s="27" t="s">
        <v>1193</v>
      </c>
      <c r="B12" s="56" t="s">
        <v>46</v>
      </c>
      <c r="C12" s="57" t="n">
        <f aca="false">SUM(E12:P12)</f>
        <v>0</v>
      </c>
      <c r="D12" s="57" t="n">
        <f aca="false">SUM(Q12:AB12)</f>
        <v>0</v>
      </c>
      <c r="E12" s="58" t="n">
        <f aca="false">WIP!E687</f>
        <v>0</v>
      </c>
      <c r="F12" s="58" t="n">
        <f aca="false">WIP!F687</f>
        <v>0</v>
      </c>
      <c r="G12" s="58" t="n">
        <f aca="false">WIP!G687</f>
        <v>0</v>
      </c>
      <c r="H12" s="58" t="n">
        <f aca="false">WIP!H687</f>
        <v>0</v>
      </c>
      <c r="I12" s="58" t="n">
        <f aca="false">WIP!I687</f>
        <v>0</v>
      </c>
      <c r="J12" s="58" t="n">
        <f aca="false">WIP!J687</f>
        <v>0</v>
      </c>
      <c r="K12" s="58" t="n">
        <f aca="false">WIP!K687</f>
        <v>0</v>
      </c>
      <c r="L12" s="58" t="n">
        <f aca="false">WIP!L687</f>
        <v>0</v>
      </c>
      <c r="M12" s="58" t="n">
        <f aca="false">WIP!M687</f>
        <v>0</v>
      </c>
      <c r="N12" s="58" t="n">
        <f aca="false">WIP!N687</f>
        <v>0</v>
      </c>
      <c r="O12" s="58" t="n">
        <f aca="false">WIP!O687</f>
        <v>0</v>
      </c>
      <c r="P12" s="58" t="n">
        <f aca="false">WIP!P687</f>
        <v>0</v>
      </c>
      <c r="Q12" s="58" t="n">
        <f aca="false">WIP!Q687</f>
        <v>0</v>
      </c>
      <c r="R12" s="58" t="n">
        <f aca="false">WIP!R687</f>
        <v>0</v>
      </c>
      <c r="S12" s="58" t="n">
        <f aca="false">WIP!S687</f>
        <v>0</v>
      </c>
      <c r="T12" s="58" t="n">
        <f aca="false">WIP!T687</f>
        <v>0</v>
      </c>
      <c r="U12" s="58" t="n">
        <f aca="false">WIP!U687</f>
        <v>0</v>
      </c>
      <c r="V12" s="58" t="n">
        <f aca="false">WIP!V687</f>
        <v>0</v>
      </c>
      <c r="W12" s="58" t="n">
        <f aca="false">WIP!W687</f>
        <v>0</v>
      </c>
      <c r="X12" s="58" t="n">
        <f aca="false">WIP!X687</f>
        <v>0</v>
      </c>
      <c r="Y12" s="58" t="n">
        <f aca="false">WIP!Y687</f>
        <v>0</v>
      </c>
      <c r="Z12" s="58" t="n">
        <f aca="false">WIP!Z687</f>
        <v>0</v>
      </c>
      <c r="AA12" s="58" t="n">
        <f aca="false">WIP!AA687</f>
        <v>0</v>
      </c>
      <c r="AB12" s="58" t="n">
        <f aca="false">WIP!AB687</f>
        <v>0</v>
      </c>
    </row>
    <row r="13" customFormat="false" ht="15" hidden="false" customHeight="false" outlineLevel="0" collapsed="false">
      <c r="A13" s="27" t="s">
        <v>1194</v>
      </c>
      <c r="B13" s="56" t="s">
        <v>57</v>
      </c>
      <c r="C13" s="57" t="n">
        <f aca="false">SUM(E13:P13)</f>
        <v>6412.5</v>
      </c>
      <c r="D13" s="57" t="n">
        <f aca="false">SUM(Q13:AB13)</f>
        <v>0</v>
      </c>
      <c r="E13" s="58" t="n">
        <f aca="false">Retentions!E30</f>
        <v>0</v>
      </c>
      <c r="F13" s="58" t="n">
        <f aca="false">Retentions!F30</f>
        <v>0</v>
      </c>
      <c r="G13" s="58" t="n">
        <f aca="false">Retentions!G30</f>
        <v>0</v>
      </c>
      <c r="H13" s="58" t="n">
        <f aca="false">Retentions!H30</f>
        <v>0</v>
      </c>
      <c r="I13" s="58" t="n">
        <f aca="false">Retentions!I30</f>
        <v>0</v>
      </c>
      <c r="J13" s="58" t="n">
        <f aca="false">Retentions!J30</f>
        <v>0</v>
      </c>
      <c r="K13" s="58" t="n">
        <f aca="false">Retentions!K30</f>
        <v>0</v>
      </c>
      <c r="L13" s="58" t="n">
        <f aca="false">Retentions!L30</f>
        <v>0</v>
      </c>
      <c r="M13" s="58" t="n">
        <f aca="false">Retentions!M30</f>
        <v>0</v>
      </c>
      <c r="N13" s="58" t="n">
        <f aca="false">Retentions!N30</f>
        <v>0</v>
      </c>
      <c r="O13" s="58" t="n">
        <f aca="false">Retentions!O30</f>
        <v>3847.5</v>
      </c>
      <c r="P13" s="58" t="n">
        <f aca="false">Retentions!P30</f>
        <v>2565</v>
      </c>
      <c r="Q13" s="58" t="n">
        <f aca="false">Retentions!Q30</f>
        <v>0</v>
      </c>
      <c r="R13" s="58" t="n">
        <f aca="false">Retentions!R30</f>
        <v>0</v>
      </c>
      <c r="S13" s="58" t="n">
        <f aca="false">Retentions!S30</f>
        <v>0</v>
      </c>
      <c r="T13" s="58" t="n">
        <f aca="false">Retentions!T30</f>
        <v>0</v>
      </c>
      <c r="U13" s="58" t="n">
        <f aca="false">Retentions!U30</f>
        <v>0</v>
      </c>
      <c r="V13" s="58" t="n">
        <f aca="false">Retentions!V30</f>
        <v>0</v>
      </c>
      <c r="W13" s="58" t="n">
        <f aca="false">Retentions!W30</f>
        <v>0</v>
      </c>
      <c r="X13" s="58" t="n">
        <f aca="false">Retentions!X30</f>
        <v>0</v>
      </c>
      <c r="Y13" s="58" t="n">
        <f aca="false">Retentions!Y30</f>
        <v>0</v>
      </c>
      <c r="Z13" s="58" t="n">
        <f aca="false">Retentions!Z30</f>
        <v>0</v>
      </c>
      <c r="AA13" s="58" t="n">
        <f aca="false">Retentions!AA30</f>
        <v>0</v>
      </c>
      <c r="AB13" s="58" t="n">
        <f aca="false">Retentions!AB30</f>
        <v>0</v>
      </c>
    </row>
    <row r="14" customFormat="false" ht="15" hidden="false" customHeight="false" outlineLevel="0" collapsed="false">
      <c r="A14" s="27" t="s">
        <v>1195</v>
      </c>
      <c r="B14" s="56" t="s">
        <v>1196</v>
      </c>
      <c r="C14" s="57" t="n">
        <f aca="false">SUM(E14:P14)</f>
        <v>439411.185960587</v>
      </c>
      <c r="D14" s="57" t="n">
        <f aca="false">SUM(Q14:AB14)</f>
        <v>450745.031351484</v>
      </c>
      <c r="E14" s="58" t="n">
        <f aca="false">Payables!E9*Assumptions!$C$23</f>
        <v>32701.90185</v>
      </c>
      <c r="F14" s="58" t="n">
        <f aca="false">Payables!F9*Assumptions!$C$23</f>
        <v>26587.3158</v>
      </c>
      <c r="G14" s="58" t="n">
        <f aca="false">Payables!G9*Assumptions!$C$23</f>
        <v>21108.5163</v>
      </c>
      <c r="H14" s="58" t="n">
        <f aca="false">Payables!H9*Assumptions!$C$23</f>
        <v>18128.66265</v>
      </c>
      <c r="I14" s="58" t="n">
        <f aca="false">Payables!I9*Assumptions!$C$23</f>
        <v>21811.2048</v>
      </c>
      <c r="J14" s="58" t="n">
        <f aca="false">Payables!J9*Assumptions!$C$23</f>
        <v>31102.57845</v>
      </c>
      <c r="K14" s="58" t="n">
        <f aca="false">Payables!K9*Assumptions!$C$23</f>
        <v>42188.44365</v>
      </c>
      <c r="L14" s="58" t="n">
        <f aca="false">Payables!L9*Assumptions!$C$23</f>
        <v>46099.86075</v>
      </c>
      <c r="M14" s="58" t="n">
        <f aca="false">Payables!M9*Assumptions!$C$23</f>
        <v>53309.2064385489</v>
      </c>
      <c r="N14" s="58" t="n">
        <f aca="false">Payables!N9*Assumptions!$C$23</f>
        <v>53111.2657901222</v>
      </c>
      <c r="O14" s="58" t="n">
        <f aca="false">Payables!O9*Assumptions!$C$23</f>
        <v>49191.319905931</v>
      </c>
      <c r="P14" s="58" t="n">
        <f aca="false">Payables!P9*Assumptions!$C$23</f>
        <v>44070.9095759848</v>
      </c>
      <c r="Q14" s="58" t="n">
        <f aca="false">Payables!Q9*Assumptions!$C$23</f>
        <v>39623.7414436671</v>
      </c>
      <c r="R14" s="58" t="n">
        <f aca="false">Payables!R9*Assumptions!$C$23</f>
        <v>31071.4039442056</v>
      </c>
      <c r="S14" s="58" t="n">
        <f aca="false">Payables!S9*Assumptions!$C$23</f>
        <v>25516.3910802596</v>
      </c>
      <c r="T14" s="58" t="n">
        <f aca="false">Payables!T9*Assumptions!$C$23</f>
        <v>30765.5995657219</v>
      </c>
      <c r="U14" s="58" t="n">
        <f aca="false">Payables!U9*Assumptions!$C$23</f>
        <v>40413.5738494954</v>
      </c>
      <c r="V14" s="58" t="n">
        <f aca="false">Payables!V9*Assumptions!$C$23</f>
        <v>46784.1503941766</v>
      </c>
      <c r="W14" s="58" t="n">
        <f aca="false">Payables!W9*Assumptions!$C$23</f>
        <v>48884.8466292185</v>
      </c>
      <c r="X14" s="58" t="n">
        <f aca="false">Payables!X9*Assumptions!$C$23</f>
        <v>46607.1643035729</v>
      </c>
      <c r="Y14" s="58" t="n">
        <f aca="false">Payables!Y9*Assumptions!$C$23</f>
        <v>40766.8050316526</v>
      </c>
      <c r="Z14" s="58" t="n">
        <f aca="false">Payables!Z9*Assumptions!$C$23</f>
        <v>36100.9373001001</v>
      </c>
      <c r="AA14" s="58" t="n">
        <f aca="false">Payables!AA9*Assumptions!$C$23</f>
        <v>33230.6842414115</v>
      </c>
      <c r="AB14" s="58" t="n">
        <f aca="false">Payables!AB9*Assumptions!$C$23</f>
        <v>30979.7335680025</v>
      </c>
    </row>
    <row r="15" customFormat="false" ht="15" hidden="false" customHeight="false" outlineLevel="0" collapsed="false">
      <c r="A15" s="67" t="s">
        <v>1197</v>
      </c>
      <c r="B15" s="68"/>
      <c r="C15" s="69" t="n">
        <f aca="false">SUM(E15:P15)</f>
        <v>1404611.57608362</v>
      </c>
      <c r="D15" s="69" t="n">
        <f aca="false">SUM(Q15:AB15)</f>
        <v>1499286.54993091</v>
      </c>
      <c r="E15" s="69" t="n">
        <f aca="false">E9+E10+E11+E12+E13+E14</f>
        <v>95060.4322039097</v>
      </c>
      <c r="F15" s="69" t="n">
        <f aca="false">F9+F10+F11+F12+F13+F14</f>
        <v>79555.4310304626</v>
      </c>
      <c r="G15" s="69" t="n">
        <f aca="false">G9+G10+G11+G12+G13+G14</f>
        <v>78445.0477130947</v>
      </c>
      <c r="H15" s="69" t="n">
        <f aca="false">H9+H10+H11+H12+H13+H14</f>
        <v>72788.6123721476</v>
      </c>
      <c r="I15" s="69" t="n">
        <f aca="false">I9+I10+I11+I12+I13+I14</f>
        <v>80690.7601221146</v>
      </c>
      <c r="J15" s="69" t="n">
        <f aca="false">J9+J10+J11+J12+J13+J14</f>
        <v>93666.9272118502</v>
      </c>
      <c r="K15" s="69" t="n">
        <f aca="false">K9+K10+K11+K12+K13+K14</f>
        <v>119294.119927368</v>
      </c>
      <c r="L15" s="69" t="n">
        <f aca="false">L9+L10+L11+L12+L13+L14</f>
        <v>137152.30270387</v>
      </c>
      <c r="M15" s="69" t="n">
        <f aca="false">M9+M10+M11+M12+M13+M14</f>
        <v>151277.244880474</v>
      </c>
      <c r="N15" s="69" t="n">
        <f aca="false">N9+N10+N11+N12+N13+N14</f>
        <v>167934.23729765</v>
      </c>
      <c r="O15" s="69" t="n">
        <f aca="false">O9+O10+O11+O12+O13+O14</f>
        <v>169850.394720538</v>
      </c>
      <c r="P15" s="69" t="n">
        <f aca="false">P9+P10+P11+P12+P13+P14</f>
        <v>158896.065900144</v>
      </c>
      <c r="Q15" s="69" t="n">
        <f aca="false">Q9+Q10+Q11+Q12+Q13+Q14</f>
        <v>139105.12046445</v>
      </c>
      <c r="R15" s="69" t="n">
        <f aca="false">R9+R10+R11+R12+R13+R14</f>
        <v>124345.198239182</v>
      </c>
      <c r="S15" s="69" t="n">
        <f aca="false">S9+S10+S11+S12+S13+S14</f>
        <v>113347.725049477</v>
      </c>
      <c r="T15" s="69" t="n">
        <f aca="false">T9+T10+T11+T12+T13+T14</f>
        <v>109986.930288033</v>
      </c>
      <c r="U15" s="69" t="n">
        <f aca="false">U9+U10+U11+U12+U13+U14</f>
        <v>112619.418039399</v>
      </c>
      <c r="V15" s="69" t="n">
        <f aca="false">V9+V10+V11+V12+V13+V14</f>
        <v>131801.834270793</v>
      </c>
      <c r="W15" s="69" t="n">
        <f aca="false">W9+W10+W11+W12+W13+W14</f>
        <v>141882.19089076</v>
      </c>
      <c r="X15" s="69" t="n">
        <f aca="false">X9+X10+X11+X12+X13+X14</f>
        <v>141778.131218869</v>
      </c>
      <c r="Y15" s="69" t="n">
        <f aca="false">Y9+Y10+Y11+Y12+Y13+Y14</f>
        <v>133328.832579772</v>
      </c>
      <c r="Z15" s="69" t="n">
        <f aca="false">Z9+Z10+Z11+Z12+Z13+Z14</f>
        <v>124952.349728322</v>
      </c>
      <c r="AA15" s="69" t="n">
        <f aca="false">AA9+AA10+AA11+AA12+AA13+AA14</f>
        <v>113295.467267312</v>
      </c>
      <c r="AB15" s="69" t="n">
        <f aca="false">AB9+AB10+AB11+AB12+AB13+AB14</f>
        <v>112843.351894538</v>
      </c>
    </row>
    <row r="16" customFormat="false" ht="15" hidden="false" customHeight="false" outlineLevel="0" collapsed="false">
      <c r="A16" s="21" t="s">
        <v>1198</v>
      </c>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row>
    <row r="17" customFormat="false" ht="15" hidden="false" customHeight="false" outlineLevel="0" collapsed="false">
      <c r="A17" s="27" t="s">
        <v>1199</v>
      </c>
      <c r="B17" s="56"/>
      <c r="C17" s="57" t="n">
        <f aca="false">SUM(E17:P17)</f>
        <v>439411.185960587</v>
      </c>
      <c r="D17" s="57" t="n">
        <f aca="false">SUM(Q17:AB17)</f>
        <v>450745.031351484</v>
      </c>
      <c r="E17" s="70" t="n">
        <f aca="false">E14</f>
        <v>32701.90185</v>
      </c>
      <c r="F17" s="70" t="n">
        <f aca="false">F14</f>
        <v>26587.3158</v>
      </c>
      <c r="G17" s="70" t="n">
        <f aca="false">G14</f>
        <v>21108.5163</v>
      </c>
      <c r="H17" s="70" t="n">
        <f aca="false">H14</f>
        <v>18128.66265</v>
      </c>
      <c r="I17" s="70" t="n">
        <f aca="false">I14</f>
        <v>21811.2048</v>
      </c>
      <c r="J17" s="70" t="n">
        <f aca="false">J14</f>
        <v>31102.57845</v>
      </c>
      <c r="K17" s="70" t="n">
        <f aca="false">K14</f>
        <v>42188.44365</v>
      </c>
      <c r="L17" s="70" t="n">
        <f aca="false">L14</f>
        <v>46099.86075</v>
      </c>
      <c r="M17" s="70" t="n">
        <f aca="false">M14</f>
        <v>53309.2064385489</v>
      </c>
      <c r="N17" s="70" t="n">
        <f aca="false">N14</f>
        <v>53111.2657901222</v>
      </c>
      <c r="O17" s="70" t="n">
        <f aca="false">O14</f>
        <v>49191.319905931</v>
      </c>
      <c r="P17" s="70" t="n">
        <f aca="false">P14</f>
        <v>44070.9095759848</v>
      </c>
      <c r="Q17" s="70" t="n">
        <f aca="false">Q14</f>
        <v>39623.7414436671</v>
      </c>
      <c r="R17" s="70" t="n">
        <f aca="false">R14</f>
        <v>31071.4039442056</v>
      </c>
      <c r="S17" s="70" t="n">
        <f aca="false">S14</f>
        <v>25516.3910802596</v>
      </c>
      <c r="T17" s="70" t="n">
        <f aca="false">T14</f>
        <v>30765.5995657219</v>
      </c>
      <c r="U17" s="70" t="n">
        <f aca="false">U14</f>
        <v>40413.5738494954</v>
      </c>
      <c r="V17" s="70" t="n">
        <f aca="false">V14</f>
        <v>46784.1503941766</v>
      </c>
      <c r="W17" s="70" t="n">
        <f aca="false">W14</f>
        <v>48884.8466292185</v>
      </c>
      <c r="X17" s="70" t="n">
        <f aca="false">X14</f>
        <v>46607.1643035729</v>
      </c>
      <c r="Y17" s="70" t="n">
        <f aca="false">Y14</f>
        <v>40766.8050316526</v>
      </c>
      <c r="Z17" s="70" t="n">
        <f aca="false">Z14</f>
        <v>36100.9373001001</v>
      </c>
      <c r="AA17" s="70" t="n">
        <f aca="false">AA14</f>
        <v>33230.6842414115</v>
      </c>
      <c r="AB17" s="70" t="n">
        <f aca="false">AB14</f>
        <v>30979.7335680025</v>
      </c>
    </row>
    <row r="18" customFormat="false" ht="15" hidden="false" customHeight="false" outlineLevel="0" collapsed="false">
      <c r="A18" s="27" t="s">
        <v>797</v>
      </c>
      <c r="B18" s="56" t="s">
        <v>1200</v>
      </c>
      <c r="C18" s="57" t="n">
        <f aca="false">SUM(E18:P18)</f>
        <v>451022.943060306</v>
      </c>
      <c r="D18" s="57" t="n">
        <f aca="false">SUM(Q18:AB18)</f>
        <v>474671.581882722</v>
      </c>
      <c r="E18" s="58" t="n">
        <f aca="false">(WIP!E699+Residential!E72)*Assumptions!$C$24</f>
        <v>31674.4569</v>
      </c>
      <c r="F18" s="58" t="n">
        <f aca="false">(WIP!F699+Residential!F72)*Assumptions!$C$24</f>
        <v>25412.1572</v>
      </c>
      <c r="G18" s="58" t="n">
        <f aca="false">(WIP!G699+Residential!G72)*Assumptions!$C$24</f>
        <v>23677.948</v>
      </c>
      <c r="H18" s="58" t="n">
        <f aca="false">(WIP!H699+Residential!H72)*Assumptions!$C$24</f>
        <v>22029.2413</v>
      </c>
      <c r="I18" s="58" t="n">
        <f aca="false">(WIP!I699+Residential!I72)*Assumptions!$C$24</f>
        <v>25763.5926</v>
      </c>
      <c r="J18" s="58" t="n">
        <f aca="false">(WIP!J699+Residential!J72)*Assumptions!$C$24</f>
        <v>35089.8557</v>
      </c>
      <c r="K18" s="58" t="n">
        <f aca="false">(WIP!K699+Residential!K72)*Assumptions!$C$24</f>
        <v>44440.9013</v>
      </c>
      <c r="L18" s="58" t="n">
        <f aca="false">(WIP!L699+Residential!L72)*Assumptions!$C$24</f>
        <v>46753.7744</v>
      </c>
      <c r="M18" s="58" t="n">
        <f aca="false">(WIP!M699+Residential!M72)*Assumptions!$C$24</f>
        <v>52458.4725472674</v>
      </c>
      <c r="N18" s="58" t="n">
        <f aca="false">(WIP!N699+Residential!N72)*Assumptions!$C$24</f>
        <v>51664.1251302576</v>
      </c>
      <c r="O18" s="58" t="n">
        <f aca="false">(WIP!O699+Residential!O72)*Assumptions!$C$24</f>
        <v>48334.6662672249</v>
      </c>
      <c r="P18" s="58" t="n">
        <f aca="false">(WIP!P699+Residential!P72)*Assumptions!$C$24</f>
        <v>43723.7517155559</v>
      </c>
      <c r="Q18" s="58" t="n">
        <f aca="false">(WIP!Q699+Residential!Q72)*Assumptions!$C$24</f>
        <v>39845.8093209566</v>
      </c>
      <c r="R18" s="58" t="n">
        <f aca="false">(WIP!R699+Residential!R72)*Assumptions!$C$24</f>
        <v>32919.5476901954</v>
      </c>
      <c r="S18" s="58" t="n">
        <f aca="false">(WIP!S699+Residential!S72)*Assumptions!$C$24</f>
        <v>28639.433976835</v>
      </c>
      <c r="T18" s="58" t="n">
        <f aca="false">(WIP!T699+Residential!T72)*Assumptions!$C$24</f>
        <v>33153.2221907112</v>
      </c>
      <c r="U18" s="58" t="n">
        <f aca="false">(WIP!U699+Residential!U72)*Assumptions!$C$24</f>
        <v>41545.9560685497</v>
      </c>
      <c r="V18" s="58" t="n">
        <f aca="false">(WIP!V699+Residential!V72)*Assumptions!$C$24</f>
        <v>47257.6321807001</v>
      </c>
      <c r="W18" s="58" t="n">
        <f aca="false">(WIP!W699+Residential!W72)*Assumptions!$C$24</f>
        <v>49241.3717627473</v>
      </c>
      <c r="X18" s="58" t="n">
        <f aca="false">(WIP!X699+Residential!X72)*Assumptions!$C$24</f>
        <v>47469.2008354116</v>
      </c>
      <c r="Y18" s="58" t="n">
        <f aca="false">(WIP!Y699+Residential!Y72)*Assumptions!$C$24</f>
        <v>43008.3194389406</v>
      </c>
      <c r="Z18" s="58" t="n">
        <f aca="false">(WIP!Z699+Residential!Z72)*Assumptions!$C$24</f>
        <v>39497.9658736371</v>
      </c>
      <c r="AA18" s="58" t="n">
        <f aca="false">(WIP!AA699+Residential!AA72)*Assumptions!$C$24</f>
        <v>37247.5711171549</v>
      </c>
      <c r="AB18" s="58" t="n">
        <f aca="false">(WIP!AB699+Residential!AB72)*Assumptions!$C$24</f>
        <v>34845.5514268827</v>
      </c>
    </row>
    <row r="19" customFormat="false" ht="15" hidden="false" customHeight="false" outlineLevel="0" collapsed="false">
      <c r="A19" s="27" t="s">
        <v>634</v>
      </c>
      <c r="B19" s="56"/>
      <c r="C19" s="57" t="n">
        <f aca="false">SUM(E19:P19)</f>
        <v>165959.418020408</v>
      </c>
      <c r="D19" s="57" t="n">
        <f aca="false">SUM(Q19:AB19)</f>
        <v>172848.749227266</v>
      </c>
      <c r="E19" s="58" t="n">
        <f aca="false">(WIP!E700+WIP!E701+Residential!E73+Residential!E74)*Assumptions!$C$24</f>
        <v>11310.3719</v>
      </c>
      <c r="F19" s="58" t="n">
        <f aca="false">(WIP!F700+WIP!F701+Residential!F73+Residential!F74)*Assumptions!$C$24</f>
        <v>9285.5278</v>
      </c>
      <c r="G19" s="58" t="n">
        <f aca="false">(WIP!G700+WIP!G701+Residential!G73+Residential!G74)*Assumptions!$C$24</f>
        <v>7975.6318</v>
      </c>
      <c r="H19" s="58" t="n">
        <f aca="false">(WIP!H700+WIP!H701+Residential!H73+Residential!H74)*Assumptions!$C$24</f>
        <v>7749.6108</v>
      </c>
      <c r="I19" s="58" t="n">
        <f aca="false">(WIP!I700+WIP!I701+Residential!I73+Residential!I74)*Assumptions!$C$24</f>
        <v>9459.348</v>
      </c>
      <c r="J19" s="58" t="n">
        <f aca="false">(WIP!J700+WIP!J701+Residential!J73+Residential!J74)*Assumptions!$C$24</f>
        <v>12618.3566</v>
      </c>
      <c r="K19" s="58" t="n">
        <f aca="false">(WIP!K700+WIP!K701+Residential!K73+Residential!K74)*Assumptions!$C$24</f>
        <v>16428.2652</v>
      </c>
      <c r="L19" s="58" t="n">
        <f aca="false">(WIP!L700+WIP!L701+Residential!L73+Residential!L74)*Assumptions!$C$24</f>
        <v>17426.4652</v>
      </c>
      <c r="M19" s="58" t="n">
        <f aca="false">(WIP!M700+WIP!M701+Residential!M73+Residential!M74)*Assumptions!$C$24</f>
        <v>19683.7008483343</v>
      </c>
      <c r="N19" s="58" t="n">
        <f aca="false">(WIP!N700+WIP!N701+Residential!N73+Residential!N74)*Assumptions!$C$24</f>
        <v>19452.1345768888</v>
      </c>
      <c r="O19" s="58" t="n">
        <f aca="false">(WIP!O700+WIP!O701+Residential!O73+Residential!O74)*Assumptions!$C$24</f>
        <v>18145.5545883326</v>
      </c>
      <c r="P19" s="58" t="n">
        <f aca="false">(WIP!P700+WIP!P701+Residential!P73+Residential!P74)*Assumptions!$C$24</f>
        <v>16424.4507068523</v>
      </c>
      <c r="Q19" s="58" t="n">
        <f aca="false">(WIP!Q700+WIP!Q701+Residential!Q73+Residential!Q74)*Assumptions!$C$24</f>
        <v>15044.5561909379</v>
      </c>
      <c r="R19" s="58" t="n">
        <f aca="false">(WIP!R700+WIP!R701+Residential!R73+Residential!R74)*Assumptions!$C$24</f>
        <v>12438.1397201045</v>
      </c>
      <c r="S19" s="58" t="n">
        <f aca="false">(WIP!S700+WIP!S701+Residential!S73+Residential!S74)*Assumptions!$C$24</f>
        <v>10534.9782798058</v>
      </c>
      <c r="T19" s="58" t="n">
        <f aca="false">(WIP!T700+WIP!T701+Residential!T73+Residential!T74)*Assumptions!$C$24</f>
        <v>11955.9607880842</v>
      </c>
      <c r="U19" s="58" t="n">
        <f aca="false">(WIP!U700+WIP!U701+Residential!U73+Residential!U74)*Assumptions!$C$24</f>
        <v>15066.4524547163</v>
      </c>
      <c r="V19" s="58" t="n">
        <f aca="false">(WIP!V700+WIP!V701+Residential!V73+Residential!V74)*Assumptions!$C$24</f>
        <v>17178.6602536903</v>
      </c>
      <c r="W19" s="58" t="n">
        <f aca="false">(WIP!W700+WIP!W701+Residential!W73+Residential!W74)*Assumptions!$C$24</f>
        <v>17897.1245889058</v>
      </c>
      <c r="X19" s="58" t="n">
        <f aca="false">(WIP!X700+WIP!X701+Residential!X73+Residential!X74)*Assumptions!$C$24</f>
        <v>17203.5117956647</v>
      </c>
      <c r="Y19" s="58" t="n">
        <f aca="false">(WIP!Y700+WIP!Y701+Residential!Y73+Residential!Y74)*Assumptions!$C$24</f>
        <v>15488.4735310141</v>
      </c>
      <c r="Z19" s="58" t="n">
        <f aca="false">(WIP!Z700+WIP!Z701+Residential!Z73+Residential!Z74)*Assumptions!$C$24</f>
        <v>14140.7204634542</v>
      </c>
      <c r="AA19" s="58" t="n">
        <f aca="false">(WIP!AA700+WIP!AA701+Residential!AA73+Residential!AA74)*Assumptions!$C$24</f>
        <v>13368.7424937422</v>
      </c>
      <c r="AB19" s="58" t="n">
        <f aca="false">(WIP!AB700+WIP!AB701+Residential!AB73+Residential!AB74)*Assumptions!$C$24</f>
        <v>12531.4286671456</v>
      </c>
    </row>
    <row r="20" customFormat="false" ht="15" hidden="false" customHeight="false" outlineLevel="0" collapsed="false">
      <c r="A20" s="27" t="s">
        <v>71</v>
      </c>
      <c r="B20" s="56"/>
      <c r="C20" s="57" t="n">
        <f aca="false">SUM(E20:P20)</f>
        <v>66511.0642</v>
      </c>
      <c r="D20" s="57" t="n">
        <f aca="false">SUM(Q20:AB20)</f>
        <v>70241.50872</v>
      </c>
      <c r="E20" s="58" t="n">
        <f aca="false">Overheads!E45*Assumptions!$C$24*Assumptions!$C$25</f>
        <v>5189.3566</v>
      </c>
      <c r="F20" s="58" t="n">
        <f aca="false">Overheads!F45*Assumptions!$C$24*Assumptions!$C$25</f>
        <v>5136.0242</v>
      </c>
      <c r="G20" s="58" t="n">
        <f aca="false">Overheads!G45*Assumptions!$C$24*Assumptions!$C$25</f>
        <v>5695.1588</v>
      </c>
      <c r="H20" s="58" t="n">
        <f aca="false">Overheads!H45*Assumptions!$C$24*Assumptions!$C$25</f>
        <v>5910.77</v>
      </c>
      <c r="I20" s="58" t="n">
        <f aca="false">Overheads!I45*Assumptions!$C$24*Assumptions!$C$25</f>
        <v>5915.1906</v>
      </c>
      <c r="J20" s="58" t="n">
        <f aca="false">Overheads!J45*Assumptions!$C$24*Assumptions!$C$25</f>
        <v>5406.2512</v>
      </c>
      <c r="K20" s="58" t="n">
        <f aca="false">Overheads!K45*Assumptions!$C$24*Assumptions!$C$25</f>
        <v>5566.2484</v>
      </c>
      <c r="L20" s="58" t="n">
        <f aca="false">Overheads!L45*Assumptions!$C$24*Assumptions!$C$25</f>
        <v>5070.0004</v>
      </c>
      <c r="M20" s="58" t="n">
        <f aca="false">Overheads!M45*Assumptions!$C$24*Assumptions!$C$25</f>
        <v>5655.516</v>
      </c>
      <c r="N20" s="58" t="n">
        <f aca="false">Overheads!N45*Assumptions!$C$24*Assumptions!$C$25</f>
        <v>5655.516</v>
      </c>
      <c r="O20" s="58" t="n">
        <f aca="false">Overheads!O45*Assumptions!$C$24*Assumptions!$C$25</f>
        <v>5655.516</v>
      </c>
      <c r="P20" s="58" t="n">
        <f aca="false">Overheads!P45*Assumptions!$C$24*Assumptions!$C$25</f>
        <v>5655.516</v>
      </c>
      <c r="Q20" s="58" t="n">
        <f aca="false">Overheads!Q45*Assumptions!$C$24*Assumptions!$C$25</f>
        <v>5853.45906</v>
      </c>
      <c r="R20" s="58" t="n">
        <f aca="false">Overheads!R45*Assumptions!$C$24*Assumptions!$C$25</f>
        <v>5853.45906</v>
      </c>
      <c r="S20" s="58" t="n">
        <f aca="false">Overheads!S45*Assumptions!$C$24*Assumptions!$C$25</f>
        <v>5853.45906</v>
      </c>
      <c r="T20" s="58" t="n">
        <f aca="false">Overheads!T45*Assumptions!$C$24*Assumptions!$C$25</f>
        <v>5853.45906</v>
      </c>
      <c r="U20" s="58" t="n">
        <f aca="false">Overheads!U45*Assumptions!$C$24*Assumptions!$C$25</f>
        <v>5853.45906</v>
      </c>
      <c r="V20" s="58" t="n">
        <f aca="false">Overheads!V45*Assumptions!$C$24*Assumptions!$C$25</f>
        <v>5853.45906</v>
      </c>
      <c r="W20" s="58" t="n">
        <f aca="false">Overheads!W45*Assumptions!$C$24*Assumptions!$C$25</f>
        <v>5853.45906</v>
      </c>
      <c r="X20" s="58" t="n">
        <f aca="false">Overheads!X45*Assumptions!$C$24*Assumptions!$C$25</f>
        <v>5853.45906</v>
      </c>
      <c r="Y20" s="58" t="n">
        <f aca="false">Overheads!Y45*Assumptions!$C$24*Assumptions!$C$25</f>
        <v>5853.45906</v>
      </c>
      <c r="Z20" s="58" t="n">
        <f aca="false">Overheads!Z45*Assumptions!$C$24*Assumptions!$C$25</f>
        <v>5853.45906</v>
      </c>
      <c r="AA20" s="58" t="n">
        <f aca="false">Overheads!AA45*Assumptions!$C$24*Assumptions!$C$25</f>
        <v>5853.45906</v>
      </c>
      <c r="AB20" s="58" t="n">
        <f aca="false">Overheads!AB45*Assumptions!$C$24*Assumptions!$C$25</f>
        <v>5853.45906</v>
      </c>
    </row>
    <row r="21" customFormat="false" ht="15" hidden="false" customHeight="false" outlineLevel="0" collapsed="false">
      <c r="A21" s="27" t="s">
        <v>1201</v>
      </c>
      <c r="B21" s="56"/>
      <c r="C21" s="57" t="n">
        <f aca="false">SUM(E21:P21)</f>
        <v>45982.7584428336</v>
      </c>
      <c r="D21" s="57" t="n">
        <f aca="false">SUM(Q21:AB21)</f>
        <v>24989.5368</v>
      </c>
      <c r="E21" s="58" t="n">
        <f aca="false">Resources!E40*Assumptions!$C$24*Assumptions!$C$26+Resources!E35*Assumptions!$C$24</f>
        <v>1880.388</v>
      </c>
      <c r="F21" s="58" t="n">
        <f aca="false">Resources!F40*Assumptions!$C$24*Assumptions!$C$26+Resources!F35*Assumptions!$C$24</f>
        <v>1892.394</v>
      </c>
      <c r="G21" s="58" t="n">
        <f aca="false">Resources!G40*Assumptions!$C$24*Assumptions!$C$26+Resources!G35*Assumptions!$C$24</f>
        <v>1894.05</v>
      </c>
      <c r="H21" s="58" t="n">
        <f aca="false">Resources!H40*Assumptions!$C$24*Assumptions!$C$26+Resources!H35*Assumptions!$C$24</f>
        <v>1940.97</v>
      </c>
      <c r="I21" s="58" t="n">
        <f aca="false">Resources!I40*Assumptions!$C$24*Assumptions!$C$26+Resources!I35*Assumptions!$C$24</f>
        <v>1833.192</v>
      </c>
      <c r="J21" s="58" t="n">
        <f aca="false">Resources!J40*Assumptions!$C$24*Assumptions!$C$26+Resources!J35*Assumptions!$C$24</f>
        <v>2624.53</v>
      </c>
      <c r="K21" s="58" t="n">
        <f aca="false">Resources!K40*Assumptions!$C$24*Assumptions!$C$26+Resources!K35*Assumptions!$C$24</f>
        <v>3355.47</v>
      </c>
      <c r="L21" s="58" t="n">
        <f aca="false">Resources!L40*Assumptions!$C$24*Assumptions!$C$26+Resources!L35*Assumptions!$C$24</f>
        <v>3452.898</v>
      </c>
      <c r="M21" s="58" t="n">
        <f aca="false">Resources!M40*Assumptions!$C$24*Assumptions!$C$26+Resources!M35*Assumptions!$C$24</f>
        <v>11085.0645629698</v>
      </c>
      <c r="N21" s="58" t="n">
        <f aca="false">Resources!N40*Assumptions!$C$24*Assumptions!$C$26+Resources!N35*Assumptions!$C$24</f>
        <v>9951.6901306264</v>
      </c>
      <c r="O21" s="58" t="n">
        <f aca="false">Resources!O40*Assumptions!$C$24*Assumptions!$C$26+Resources!O35*Assumptions!$C$24</f>
        <v>4060.0717492374</v>
      </c>
      <c r="P21" s="58" t="n">
        <f aca="false">Resources!P40*Assumptions!$C$24*Assumptions!$C$26+Resources!P35*Assumptions!$C$24</f>
        <v>2012.04</v>
      </c>
      <c r="Q21" s="58" t="n">
        <f aca="false">Resources!Q40*Assumptions!$C$24*Assumptions!$C$26+Resources!Q35*Assumptions!$C$24</f>
        <v>2082.4614</v>
      </c>
      <c r="R21" s="58" t="n">
        <f aca="false">Resources!R40*Assumptions!$C$24*Assumptions!$C$26+Resources!R35*Assumptions!$C$24</f>
        <v>2082.4614</v>
      </c>
      <c r="S21" s="58" t="n">
        <f aca="false">Resources!S40*Assumptions!$C$24*Assumptions!$C$26+Resources!S35*Assumptions!$C$24</f>
        <v>2082.4614</v>
      </c>
      <c r="T21" s="58" t="n">
        <f aca="false">Resources!T40*Assumptions!$C$24*Assumptions!$C$26+Resources!T35*Assumptions!$C$24</f>
        <v>2082.4614</v>
      </c>
      <c r="U21" s="58" t="n">
        <f aca="false">Resources!U40*Assumptions!$C$24*Assumptions!$C$26+Resources!U35*Assumptions!$C$24</f>
        <v>2082.4614</v>
      </c>
      <c r="V21" s="58" t="n">
        <f aca="false">Resources!V40*Assumptions!$C$24*Assumptions!$C$26+Resources!V35*Assumptions!$C$24</f>
        <v>2082.4614</v>
      </c>
      <c r="W21" s="58" t="n">
        <f aca="false">Resources!W40*Assumptions!$C$24*Assumptions!$C$26+Resources!W35*Assumptions!$C$24</f>
        <v>2082.4614</v>
      </c>
      <c r="X21" s="58" t="n">
        <f aca="false">Resources!X40*Assumptions!$C$24*Assumptions!$C$26+Resources!X35*Assumptions!$C$24</f>
        <v>2082.4614</v>
      </c>
      <c r="Y21" s="58" t="n">
        <f aca="false">Resources!Y40*Assumptions!$C$24*Assumptions!$C$26+Resources!Y35*Assumptions!$C$24</f>
        <v>2082.4614</v>
      </c>
      <c r="Z21" s="58" t="n">
        <f aca="false">Resources!Z40*Assumptions!$C$24*Assumptions!$C$26+Resources!Z35*Assumptions!$C$24</f>
        <v>2082.4614</v>
      </c>
      <c r="AA21" s="58" t="n">
        <f aca="false">Resources!AA40*Assumptions!$C$24*Assumptions!$C$26+Resources!AA35*Assumptions!$C$24</f>
        <v>2082.4614</v>
      </c>
      <c r="AB21" s="58" t="n">
        <f aca="false">Resources!AB40*Assumptions!$C$24*Assumptions!$C$26+Resources!AB35*Assumptions!$C$24</f>
        <v>2082.4614</v>
      </c>
    </row>
    <row r="22" customFormat="false" ht="15" hidden="false" customHeight="false" outlineLevel="0" collapsed="false">
      <c r="A22" s="27" t="s">
        <v>1202</v>
      </c>
      <c r="B22" s="56"/>
      <c r="C22" s="57" t="n">
        <f aca="false">SUM(E22:P22)</f>
        <v>13524</v>
      </c>
      <c r="D22" s="57" t="n">
        <f aca="false">SUM(Q22:AB22)</f>
        <v>24127.92</v>
      </c>
      <c r="E22" s="58" t="n">
        <f aca="false">Fixed_Assets!E33*Assumptions!$C$24*Assumptions!$C$27</f>
        <v>414</v>
      </c>
      <c r="F22" s="58" t="n">
        <f aca="false">Fixed_Assets!F33*Assumptions!$C$24*Assumptions!$C$27</f>
        <v>0</v>
      </c>
      <c r="G22" s="58" t="n">
        <f aca="false">Fixed_Assets!G33*Assumptions!$C$24*Assumptions!$C$27</f>
        <v>1518</v>
      </c>
      <c r="H22" s="58" t="n">
        <f aca="false">Fixed_Assets!H33*Assumptions!$C$24*Assumptions!$C$27</f>
        <v>9062</v>
      </c>
      <c r="I22" s="58" t="n">
        <f aca="false">Fixed_Assets!I33*Assumptions!$C$24*Assumptions!$C$27</f>
        <v>0</v>
      </c>
      <c r="J22" s="58" t="n">
        <f aca="false">Fixed_Assets!J33*Assumptions!$C$24*Assumptions!$C$27</f>
        <v>713</v>
      </c>
      <c r="K22" s="58" t="n">
        <f aca="false">Fixed_Assets!K33*Assumptions!$C$24*Assumptions!$C$27</f>
        <v>276</v>
      </c>
      <c r="L22" s="58" t="n">
        <f aca="false">Fixed_Assets!L33*Assumptions!$C$24*Assumptions!$C$27</f>
        <v>437</v>
      </c>
      <c r="M22" s="58" t="n">
        <f aca="false">Fixed_Assets!M33*Assumptions!$C$24*Assumptions!$C$27</f>
        <v>276</v>
      </c>
      <c r="N22" s="58" t="n">
        <f aca="false">Fixed_Assets!N33*Assumptions!$C$24*Assumptions!$C$27</f>
        <v>276</v>
      </c>
      <c r="O22" s="58" t="n">
        <f aca="false">Fixed_Assets!O33*Assumptions!$C$24*Assumptions!$C$27</f>
        <v>276</v>
      </c>
      <c r="P22" s="58" t="n">
        <f aca="false">Fixed_Assets!P33*Assumptions!$C$24*Assumptions!$C$27</f>
        <v>276</v>
      </c>
      <c r="Q22" s="58" t="n">
        <f aca="false">Fixed_Assets!Q33*Assumptions!$C$24*Assumptions!$C$27</f>
        <v>3045.66</v>
      </c>
      <c r="R22" s="58" t="n">
        <f aca="false">Fixed_Assets!R33*Assumptions!$C$24*Assumptions!$C$27</f>
        <v>285.66</v>
      </c>
      <c r="S22" s="58" t="n">
        <f aca="false">Fixed_Assets!S33*Assumptions!$C$24*Assumptions!$C$27</f>
        <v>18225.66</v>
      </c>
      <c r="T22" s="58" t="n">
        <f aca="false">Fixed_Assets!T33*Assumptions!$C$24*Assumptions!$C$27</f>
        <v>285.66</v>
      </c>
      <c r="U22" s="58" t="n">
        <f aca="false">Fixed_Assets!U33*Assumptions!$C$24*Assumptions!$C$27</f>
        <v>285.66</v>
      </c>
      <c r="V22" s="58" t="n">
        <f aca="false">Fixed_Assets!V33*Assumptions!$C$24*Assumptions!$C$27</f>
        <v>285.66</v>
      </c>
      <c r="W22" s="58" t="n">
        <f aca="false">Fixed_Assets!W33*Assumptions!$C$24*Assumptions!$C$27</f>
        <v>285.66</v>
      </c>
      <c r="X22" s="58" t="n">
        <f aca="false">Fixed_Assets!X33*Assumptions!$C$24*Assumptions!$C$27</f>
        <v>285.66</v>
      </c>
      <c r="Y22" s="58" t="n">
        <f aca="false">Fixed_Assets!Y33*Assumptions!$C$24*Assumptions!$C$27</f>
        <v>285.66</v>
      </c>
      <c r="Z22" s="58" t="n">
        <f aca="false">Fixed_Assets!Z33*Assumptions!$C$24*Assumptions!$C$27</f>
        <v>285.66</v>
      </c>
      <c r="AA22" s="58" t="n">
        <f aca="false">Fixed_Assets!AA33*Assumptions!$C$24*Assumptions!$C$27</f>
        <v>285.66</v>
      </c>
      <c r="AB22" s="58" t="n">
        <f aca="false">Fixed_Assets!AB33*Assumptions!$C$24*Assumptions!$C$27</f>
        <v>285.66</v>
      </c>
    </row>
    <row r="23" customFormat="false" ht="15" hidden="false" customHeight="false" outlineLevel="0" collapsed="false">
      <c r="A23" s="67" t="s">
        <v>1203</v>
      </c>
      <c r="B23" s="68"/>
      <c r="C23" s="69" t="n">
        <f aca="false">SUM(E23:P23)</f>
        <v>1182411.36968413</v>
      </c>
      <c r="D23" s="69" t="n">
        <f aca="false">SUM(Q23:AB23)</f>
        <v>1217624.32798147</v>
      </c>
      <c r="E23" s="69" t="n">
        <f aca="false">E17+E18+E19+E20+E21+E22</f>
        <v>83170.47525</v>
      </c>
      <c r="F23" s="69" t="n">
        <f aca="false">F17+F18+F19+F20+F21+F22</f>
        <v>68313.419</v>
      </c>
      <c r="G23" s="69" t="n">
        <f aca="false">G17+G18+G19+G20+G21+G22</f>
        <v>61869.3049</v>
      </c>
      <c r="H23" s="69" t="n">
        <f aca="false">H17+H18+H19+H20+H21+H22</f>
        <v>64821.25475</v>
      </c>
      <c r="I23" s="69" t="n">
        <f aca="false">I17+I18+I19+I20+I21+I22</f>
        <v>64782.528</v>
      </c>
      <c r="J23" s="69" t="n">
        <f aca="false">J17+J18+J19+J20+J21+J22</f>
        <v>87554.57195</v>
      </c>
      <c r="K23" s="69" t="n">
        <f aca="false">K17+K18+K19+K20+K21+K22</f>
        <v>112255.32855</v>
      </c>
      <c r="L23" s="69" t="n">
        <f aca="false">L17+L18+L19+L20+L21+L22</f>
        <v>119239.99875</v>
      </c>
      <c r="M23" s="69" t="n">
        <f aca="false">M17+M18+M19+M20+M21+M22</f>
        <v>142467.96039712</v>
      </c>
      <c r="N23" s="69" t="n">
        <f aca="false">N17+N18+N19+N20+N21+N22</f>
        <v>140110.731627895</v>
      </c>
      <c r="O23" s="69" t="n">
        <f aca="false">O17+O18+O19+O20+O21+O22</f>
        <v>125663.128510726</v>
      </c>
      <c r="P23" s="69" t="n">
        <f aca="false">P17+P18+P19+P20+P21+P22</f>
        <v>112162.667998393</v>
      </c>
      <c r="Q23" s="69" t="n">
        <f aca="false">Q17+Q18+Q19+Q20+Q21+Q22</f>
        <v>105495.687415562</v>
      </c>
      <c r="R23" s="69" t="n">
        <f aca="false">R17+R18+R19+R20+R21+R22</f>
        <v>84650.6718145055</v>
      </c>
      <c r="S23" s="69" t="n">
        <f aca="false">S17+S18+S19+S20+S21+S22</f>
        <v>90852.3837969004</v>
      </c>
      <c r="T23" s="69" t="n">
        <f aca="false">T17+T18+T19+T20+T21+T22</f>
        <v>84096.3630045173</v>
      </c>
      <c r="U23" s="69" t="n">
        <f aca="false">U17+U18+U19+U20+U21+U22</f>
        <v>105247.562832761</v>
      </c>
      <c r="V23" s="69" t="n">
        <f aca="false">V17+V18+V19+V20+V21+V22</f>
        <v>119442.023288567</v>
      </c>
      <c r="W23" s="69" t="n">
        <f aca="false">W17+W18+W19+W20+W21+W22</f>
        <v>124244.923440872</v>
      </c>
      <c r="X23" s="69" t="n">
        <f aca="false">X17+X18+X19+X20+X21+X22</f>
        <v>119501.457394649</v>
      </c>
      <c r="Y23" s="69" t="n">
        <f aca="false">Y17+Y18+Y19+Y20+Y21+Y22</f>
        <v>107485.178461607</v>
      </c>
      <c r="Z23" s="69" t="n">
        <f aca="false">Z17+Z18+Z19+Z20+Z21+Z22</f>
        <v>97961.2040971914</v>
      </c>
      <c r="AA23" s="69" t="n">
        <f aca="false">AA17+AA18+AA19+AA20+AA21+AA22</f>
        <v>92068.5783123085</v>
      </c>
      <c r="AB23" s="69" t="n">
        <f aca="false">AB17+AB18+AB19+AB20+AB21+AB22</f>
        <v>86578.2941220308</v>
      </c>
    </row>
    <row r="24" customFormat="false" ht="15" hidden="false" customHeight="false" outlineLevel="0" collapsed="false">
      <c r="A24" s="21" t="s">
        <v>1204</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row>
    <row r="25" customFormat="false" ht="15" hidden="false" customHeight="false" outlineLevel="0" collapsed="false">
      <c r="A25" s="27" t="s">
        <v>1205</v>
      </c>
      <c r="B25" s="56"/>
      <c r="C25" s="57" t="n">
        <f aca="false">SUM(E25:P25)</f>
        <v>222200.20639949</v>
      </c>
      <c r="D25" s="57" t="n">
        <f aca="false">SUM(Q25:AB25)</f>
        <v>281662.221949435</v>
      </c>
      <c r="E25" s="70" t="n">
        <f aca="false">E15-E23</f>
        <v>11889.9569539097</v>
      </c>
      <c r="F25" s="70" t="n">
        <f aca="false">F15-F23</f>
        <v>11242.0120304626</v>
      </c>
      <c r="G25" s="70" t="n">
        <f aca="false">G15-G23</f>
        <v>16575.7428130947</v>
      </c>
      <c r="H25" s="70" t="n">
        <f aca="false">H15-H23</f>
        <v>7967.35762214759</v>
      </c>
      <c r="I25" s="70" t="n">
        <f aca="false">I15-I23</f>
        <v>15908.2321221145</v>
      </c>
      <c r="J25" s="70" t="n">
        <f aca="false">J15-J23</f>
        <v>6112.35526185024</v>
      </c>
      <c r="K25" s="70" t="n">
        <f aca="false">K15-K23</f>
        <v>7038.79137736785</v>
      </c>
      <c r="L25" s="70" t="n">
        <f aca="false">L15-L23</f>
        <v>17912.30395387</v>
      </c>
      <c r="M25" s="70" t="n">
        <f aca="false">M15-M23</f>
        <v>8809.28448335364</v>
      </c>
      <c r="N25" s="70" t="n">
        <f aca="false">N15-N23</f>
        <v>27823.5056697554</v>
      </c>
      <c r="O25" s="70" t="n">
        <f aca="false">O15-O23</f>
        <v>44187.2662098124</v>
      </c>
      <c r="P25" s="70" t="n">
        <f aca="false">P15-P23</f>
        <v>46733.3979017512</v>
      </c>
      <c r="Q25" s="70" t="n">
        <f aca="false">Q15-Q23</f>
        <v>33609.4330488886</v>
      </c>
      <c r="R25" s="70" t="n">
        <f aca="false">R15-R23</f>
        <v>39694.5264246763</v>
      </c>
      <c r="S25" s="70" t="n">
        <f aca="false">S15-S23</f>
        <v>22495.3412525763</v>
      </c>
      <c r="T25" s="70" t="n">
        <f aca="false">T15-T23</f>
        <v>25890.5672835161</v>
      </c>
      <c r="U25" s="70" t="n">
        <f aca="false">U15-U23</f>
        <v>7371.85520663789</v>
      </c>
      <c r="V25" s="70" t="n">
        <f aca="false">V15-V23</f>
        <v>12359.8109822262</v>
      </c>
      <c r="W25" s="70" t="n">
        <f aca="false">W15-W23</f>
        <v>17637.2674498884</v>
      </c>
      <c r="X25" s="70" t="n">
        <f aca="false">X15-X23</f>
        <v>22276.6738242203</v>
      </c>
      <c r="Y25" s="70" t="n">
        <f aca="false">Y15-Y23</f>
        <v>25843.6541181644</v>
      </c>
      <c r="Z25" s="70" t="n">
        <f aca="false">Z15-Z23</f>
        <v>26991.1456311302</v>
      </c>
      <c r="AA25" s="70" t="n">
        <f aca="false">AA15-AA23</f>
        <v>21226.8889550031</v>
      </c>
      <c r="AB25" s="70" t="n">
        <f aca="false">AB15-AB23</f>
        <v>26265.0577725071</v>
      </c>
    </row>
    <row r="26" customFormat="false" ht="15" hidden="false" customHeight="false" outlineLevel="0" collapsed="false">
      <c r="A26" s="27" t="s">
        <v>1206</v>
      </c>
      <c r="B26" s="56"/>
      <c r="E26" s="58" t="n">
        <f aca="false">Inputs_Actuals!$C$141</f>
        <v>46300</v>
      </c>
      <c r="F26" s="70" t="n">
        <f aca="false">E28</f>
        <v>11889.9569539097</v>
      </c>
      <c r="G26" s="70" t="n">
        <f aca="false">F28</f>
        <v>23131.9689843723</v>
      </c>
      <c r="H26" s="70" t="n">
        <f aca="false">G28</f>
        <v>16575.7428130947</v>
      </c>
      <c r="I26" s="70" t="n">
        <f aca="false">H28</f>
        <v>24543.1004352423</v>
      </c>
      <c r="J26" s="70" t="n">
        <f aca="false">I28</f>
        <v>15908.2321221145</v>
      </c>
      <c r="K26" s="70" t="n">
        <f aca="false">J28</f>
        <v>22020.5873839648</v>
      </c>
      <c r="L26" s="70" t="n">
        <f aca="false">K28</f>
        <v>7038.79137736785</v>
      </c>
      <c r="M26" s="70" t="n">
        <f aca="false">L28</f>
        <v>24951.0953312379</v>
      </c>
      <c r="N26" s="70" t="n">
        <f aca="false">M28</f>
        <v>8809.28448335364</v>
      </c>
      <c r="O26" s="70" t="n">
        <f aca="false">N28</f>
        <v>36632.790153109</v>
      </c>
      <c r="P26" s="70" t="n">
        <f aca="false">O28</f>
        <v>44187.2662098124</v>
      </c>
      <c r="Q26" s="70" t="n">
        <f aca="false">P28</f>
        <v>90920.6641115637</v>
      </c>
      <c r="R26" s="70" t="n">
        <f aca="false">Q28</f>
        <v>33609.4330488886</v>
      </c>
      <c r="S26" s="70" t="n">
        <f aca="false">R28</f>
        <v>73303.9594735649</v>
      </c>
      <c r="T26" s="70" t="n">
        <f aca="false">S28</f>
        <v>22495.3412525763</v>
      </c>
      <c r="U26" s="70" t="n">
        <f aca="false">T28</f>
        <v>48385.9085360924</v>
      </c>
      <c r="V26" s="70" t="n">
        <f aca="false">U28</f>
        <v>7371.85520663789</v>
      </c>
      <c r="W26" s="70" t="n">
        <f aca="false">V28</f>
        <v>19731.6661888641</v>
      </c>
      <c r="X26" s="70" t="n">
        <f aca="false">W28</f>
        <v>17637.2674498884</v>
      </c>
      <c r="Y26" s="70" t="n">
        <f aca="false">X28</f>
        <v>39913.9412741087</v>
      </c>
      <c r="Z26" s="70" t="n">
        <f aca="false">Y28</f>
        <v>25843.6541181644</v>
      </c>
      <c r="AA26" s="70" t="n">
        <f aca="false">Z28</f>
        <v>52834.7997492946</v>
      </c>
      <c r="AB26" s="70" t="n">
        <f aca="false">AA28</f>
        <v>21226.8889550031</v>
      </c>
    </row>
    <row r="27" customFormat="false" ht="15" hidden="false" customHeight="false" outlineLevel="0" collapsed="false">
      <c r="A27" s="27" t="s">
        <v>1207</v>
      </c>
      <c r="B27" s="56" t="s">
        <v>1208</v>
      </c>
      <c r="C27" s="57" t="n">
        <f aca="false">SUM(E27:P27)</f>
        <v>-177579.542287926</v>
      </c>
      <c r="D27" s="57" t="n">
        <f aca="false">SUM(Q27:AB27)</f>
        <v>-325090.939333488</v>
      </c>
      <c r="E27" s="58" t="n">
        <f aca="false">IF(Assumptions!E$105=1,-Inputs_Actuals!$C$141,0)</f>
        <v>-46300</v>
      </c>
      <c r="F27" s="58" t="n">
        <f aca="false">IF(Assumptions!F$105=1,-E28,0)</f>
        <v>0</v>
      </c>
      <c r="G27" s="58" t="n">
        <f aca="false">IF(Assumptions!G$105=1,-F28,0)</f>
        <v>-23131.9689843723</v>
      </c>
      <c r="H27" s="58" t="n">
        <f aca="false">IF(Assumptions!H$105=1,-G28,0)</f>
        <v>0</v>
      </c>
      <c r="I27" s="58" t="n">
        <f aca="false">IF(Assumptions!I$105=1,-H28,0)</f>
        <v>-24543.1004352423</v>
      </c>
      <c r="J27" s="58" t="n">
        <f aca="false">IF(Assumptions!J$105=1,-I28,0)</f>
        <v>0</v>
      </c>
      <c r="K27" s="58" t="n">
        <f aca="false">IF(Assumptions!K$105=1,-J28,0)</f>
        <v>-22020.5873839648</v>
      </c>
      <c r="L27" s="58" t="n">
        <f aca="false">IF(Assumptions!L$105=1,-K28,0)</f>
        <v>0</v>
      </c>
      <c r="M27" s="58" t="n">
        <f aca="false">IF(Assumptions!M$105=1,-L28,0)</f>
        <v>-24951.0953312379</v>
      </c>
      <c r="N27" s="58" t="n">
        <f aca="false">IF(Assumptions!N$105=1,-M28,0)</f>
        <v>0</v>
      </c>
      <c r="O27" s="58" t="n">
        <f aca="false">IF(Assumptions!O$105=1,-N28,0)</f>
        <v>-36632.790153109</v>
      </c>
      <c r="P27" s="58" t="n">
        <f aca="false">IF(Assumptions!P$105=1,-O28,0)</f>
        <v>0</v>
      </c>
      <c r="Q27" s="58" t="n">
        <f aca="false">IF(Assumptions!Q$105=1,-P28,0)</f>
        <v>-90920.6641115637</v>
      </c>
      <c r="R27" s="58" t="n">
        <f aca="false">IF(Assumptions!R$105=1,-Q28,0)</f>
        <v>0</v>
      </c>
      <c r="S27" s="58" t="n">
        <f aca="false">IF(Assumptions!S$105=1,-R28,0)</f>
        <v>-73303.9594735649</v>
      </c>
      <c r="T27" s="58" t="n">
        <f aca="false">IF(Assumptions!T$105=1,-S28,0)</f>
        <v>0</v>
      </c>
      <c r="U27" s="58" t="n">
        <f aca="false">IF(Assumptions!U$105=1,-T28,0)</f>
        <v>-48385.9085360924</v>
      </c>
      <c r="V27" s="58" t="n">
        <f aca="false">IF(Assumptions!V$105=1,-U28,0)</f>
        <v>0</v>
      </c>
      <c r="W27" s="58" t="n">
        <f aca="false">IF(Assumptions!W$105=1,-V28,0)</f>
        <v>-19731.6661888641</v>
      </c>
      <c r="X27" s="58" t="n">
        <f aca="false">IF(Assumptions!X$105=1,-W28,0)</f>
        <v>0</v>
      </c>
      <c r="Y27" s="58" t="n">
        <f aca="false">IF(Assumptions!Y$105=1,-X28,0)</f>
        <v>-39913.9412741087</v>
      </c>
      <c r="Z27" s="58" t="n">
        <f aca="false">IF(Assumptions!Z$105=1,-Y28,0)</f>
        <v>0</v>
      </c>
      <c r="AA27" s="58" t="n">
        <f aca="false">IF(Assumptions!AA$105=1,-Z28,0)</f>
        <v>-52834.7997492946</v>
      </c>
      <c r="AB27" s="58" t="n">
        <f aca="false">IF(Assumptions!AB$105=1,-AA28,0)</f>
        <v>0</v>
      </c>
    </row>
    <row r="28" customFormat="false" ht="15" hidden="false" customHeight="false" outlineLevel="0" collapsed="false">
      <c r="A28" s="67" t="s">
        <v>1209</v>
      </c>
      <c r="B28" s="68"/>
      <c r="C28" s="69" t="n">
        <f aca="false">P28</f>
        <v>90920.6641115637</v>
      </c>
      <c r="D28" s="69" t="n">
        <f aca="false">AB28</f>
        <v>47491.9467275102</v>
      </c>
      <c r="E28" s="69" t="n">
        <f aca="false">E26+E25+E27</f>
        <v>11889.9569539097</v>
      </c>
      <c r="F28" s="69" t="n">
        <f aca="false">F26+F25+F27</f>
        <v>23131.9689843723</v>
      </c>
      <c r="G28" s="69" t="n">
        <f aca="false">G26+G25+G27</f>
        <v>16575.7428130947</v>
      </c>
      <c r="H28" s="69" t="n">
        <f aca="false">H26+H25+H27</f>
        <v>24543.1004352423</v>
      </c>
      <c r="I28" s="69" t="n">
        <f aca="false">I26+I25+I27</f>
        <v>15908.2321221145</v>
      </c>
      <c r="J28" s="69" t="n">
        <f aca="false">J26+J25+J27</f>
        <v>22020.5873839648</v>
      </c>
      <c r="K28" s="69" t="n">
        <f aca="false">K26+K25+K27</f>
        <v>7038.79137736785</v>
      </c>
      <c r="L28" s="69" t="n">
        <f aca="false">L26+L25+L27</f>
        <v>24951.0953312379</v>
      </c>
      <c r="M28" s="69" t="n">
        <f aca="false">M26+M25+M27</f>
        <v>8809.28448335364</v>
      </c>
      <c r="N28" s="69" t="n">
        <f aca="false">N26+N25+N27</f>
        <v>36632.790153109</v>
      </c>
      <c r="O28" s="69" t="n">
        <f aca="false">O26+O25+O27</f>
        <v>44187.2662098124</v>
      </c>
      <c r="P28" s="69" t="n">
        <f aca="false">P26+P25+P27</f>
        <v>90920.6641115637</v>
      </c>
      <c r="Q28" s="69" t="n">
        <f aca="false">Q26+Q25+Q27</f>
        <v>33609.4330488886</v>
      </c>
      <c r="R28" s="69" t="n">
        <f aca="false">R26+R25+R27</f>
        <v>73303.9594735649</v>
      </c>
      <c r="S28" s="69" t="n">
        <f aca="false">S26+S25+S27</f>
        <v>22495.3412525763</v>
      </c>
      <c r="T28" s="69" t="n">
        <f aca="false">T26+T25+T27</f>
        <v>48385.9085360924</v>
      </c>
      <c r="U28" s="69" t="n">
        <f aca="false">U26+U25+U27</f>
        <v>7371.85520663789</v>
      </c>
      <c r="V28" s="69" t="n">
        <f aca="false">V26+V25+V27</f>
        <v>19731.6661888641</v>
      </c>
      <c r="W28" s="69" t="n">
        <f aca="false">W26+W25+W27</f>
        <v>17637.2674498884</v>
      </c>
      <c r="X28" s="69" t="n">
        <f aca="false">X26+X25+X27</f>
        <v>39913.9412741087</v>
      </c>
      <c r="Y28" s="69" t="n">
        <f aca="false">Y26+Y25+Y27</f>
        <v>25843.6541181644</v>
      </c>
      <c r="Z28" s="69" t="n">
        <f aca="false">Z26+Z25+Z27</f>
        <v>52834.7997492946</v>
      </c>
      <c r="AA28" s="69" t="n">
        <f aca="false">AA26+AA25+AA27</f>
        <v>21226.8889550031</v>
      </c>
      <c r="AB28" s="69" t="n">
        <f aca="false">AB26+AB25+AB27</f>
        <v>47491.9467275102</v>
      </c>
    </row>
    <row r="29" customFormat="false" ht="15" hidden="false" customHeight="false" outlineLevel="0" collapsed="false">
      <c r="A29" s="21" t="s">
        <v>1210</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customFormat="false" ht="15" hidden="false" customHeight="false" outlineLevel="0" collapsed="false">
      <c r="A30" s="27" t="s">
        <v>1174</v>
      </c>
      <c r="B30" s="56"/>
      <c r="E30" s="58" t="n">
        <f aca="false">Inputs_Actuals!$C$139</f>
        <v>5200</v>
      </c>
      <c r="F30" s="70" t="n">
        <f aca="false">E33</f>
        <v>6029.18552</v>
      </c>
      <c r="G30" s="70" t="n">
        <f aca="false">F33</f>
        <v>8282.06557</v>
      </c>
      <c r="H30" s="70" t="n">
        <f aca="false">G33</f>
        <v>7034.10478</v>
      </c>
      <c r="I30" s="70" t="n">
        <f aca="false">H33</f>
        <v>6026.11045</v>
      </c>
      <c r="J30" s="70" t="n">
        <f aca="false">I33</f>
        <v>5720.14265</v>
      </c>
      <c r="K30" s="70" t="n">
        <f aca="false">J33</f>
        <v>6221.81048</v>
      </c>
      <c r="L30" s="70" t="n">
        <f aca="false">K33</f>
        <v>7168.54909</v>
      </c>
      <c r="M30" s="70" t="n">
        <f aca="false">L33</f>
        <v>9652.50228</v>
      </c>
      <c r="N30" s="70" t="n">
        <f aca="false">M33</f>
        <v>13379.9469350333</v>
      </c>
      <c r="O30" s="70" t="n">
        <f aca="false">N33</f>
        <v>13819.4609718623</v>
      </c>
      <c r="P30" s="70" t="n">
        <f aca="false">O33</f>
        <v>14015.2438718505</v>
      </c>
      <c r="Q30" s="70" t="n">
        <f aca="false">P33</f>
        <v>13118.4399298022</v>
      </c>
      <c r="R30" s="70" t="n">
        <f aca="false">Q33</f>
        <v>12290.9893293153</v>
      </c>
      <c r="S30" s="70" t="n">
        <f aca="false">R33</f>
        <v>10829.4763382125</v>
      </c>
      <c r="T30" s="70" t="n">
        <f aca="false">S33</f>
        <v>8550.80213950438</v>
      </c>
      <c r="U30" s="70" t="n">
        <f aca="false">T33</f>
        <v>7833.46426069023</v>
      </c>
      <c r="V30" s="70" t="n">
        <f aca="false">U33</f>
        <v>8811.57496233464</v>
      </c>
      <c r="W30" s="70" t="n">
        <f aca="false">V33</f>
        <v>10898.4015687707</v>
      </c>
      <c r="X30" s="70" t="n">
        <f aca="false">W33</f>
        <v>12225.6445469403</v>
      </c>
      <c r="Y30" s="70" t="n">
        <f aca="false">X33</f>
        <v>12864.3401494497</v>
      </c>
      <c r="Z30" s="70" t="n">
        <f aca="false">Y33</f>
        <v>12423.9490210285</v>
      </c>
      <c r="AA30" s="70" t="n">
        <f aca="false">Z33</f>
        <v>11026.5120596776</v>
      </c>
      <c r="AB30" s="70" t="n">
        <f aca="false">AA33</f>
        <v>10130.6904155489</v>
      </c>
    </row>
    <row r="31" customFormat="false" ht="15" hidden="false" customHeight="false" outlineLevel="0" collapsed="false">
      <c r="A31" s="27" t="s">
        <v>1211</v>
      </c>
      <c r="B31" s="56" t="s">
        <v>65</v>
      </c>
      <c r="C31" s="57" t="n">
        <f aca="false">SUM(E31:P31)</f>
        <v>110467.562528548</v>
      </c>
      <c r="D31" s="57" t="n">
        <f aca="false">SUM(Q31:AB31)</f>
        <v>126961.423860959</v>
      </c>
      <c r="E31" s="58" t="n">
        <f aca="false">Payables!E15</f>
        <v>6029.18552</v>
      </c>
      <c r="F31" s="58" t="n">
        <f aca="false">Payables!F15</f>
        <v>8282.06557</v>
      </c>
      <c r="G31" s="58" t="n">
        <f aca="false">Payables!G15</f>
        <v>7034.10478</v>
      </c>
      <c r="H31" s="58" t="n">
        <f aca="false">Payables!H15</f>
        <v>6026.11045</v>
      </c>
      <c r="I31" s="58" t="n">
        <f aca="false">Payables!I15</f>
        <v>5720.14265</v>
      </c>
      <c r="J31" s="58" t="n">
        <f aca="false">Payables!J15</f>
        <v>6221.81048</v>
      </c>
      <c r="K31" s="58" t="n">
        <f aca="false">Payables!K15</f>
        <v>7168.54909</v>
      </c>
      <c r="L31" s="58" t="n">
        <f aca="false">Payables!L15</f>
        <v>9652.50228</v>
      </c>
      <c r="M31" s="58" t="n">
        <f aca="false">Payables!M15</f>
        <v>13379.9469350333</v>
      </c>
      <c r="N31" s="58" t="n">
        <f aca="false">Payables!N15</f>
        <v>13819.4609718623</v>
      </c>
      <c r="O31" s="58" t="n">
        <f aca="false">Payables!O15</f>
        <v>14015.2438718505</v>
      </c>
      <c r="P31" s="58" t="n">
        <f aca="false">Payables!P15</f>
        <v>13118.4399298022</v>
      </c>
      <c r="Q31" s="58" t="n">
        <f aca="false">Payables!Q15</f>
        <v>12290.9893293153</v>
      </c>
      <c r="R31" s="58" t="n">
        <f aca="false">Payables!R15</f>
        <v>10829.4763382125</v>
      </c>
      <c r="S31" s="58" t="n">
        <f aca="false">Payables!S15</f>
        <v>8550.80213950438</v>
      </c>
      <c r="T31" s="58" t="n">
        <f aca="false">Payables!T15</f>
        <v>7833.46426069024</v>
      </c>
      <c r="U31" s="58" t="n">
        <f aca="false">Payables!U15</f>
        <v>8811.57496233464</v>
      </c>
      <c r="V31" s="58" t="n">
        <f aca="false">Payables!V15</f>
        <v>10898.4015687707</v>
      </c>
      <c r="W31" s="58" t="n">
        <f aca="false">Payables!W15</f>
        <v>12225.6445469403</v>
      </c>
      <c r="X31" s="58" t="n">
        <f aca="false">Payables!X15</f>
        <v>12864.3401494497</v>
      </c>
      <c r="Y31" s="58" t="n">
        <f aca="false">Payables!Y15</f>
        <v>12423.9490210285</v>
      </c>
      <c r="Z31" s="58" t="n">
        <f aca="false">Payables!Z15</f>
        <v>11026.5120596776</v>
      </c>
      <c r="AA31" s="58" t="n">
        <f aca="false">Payables!AA15</f>
        <v>10130.6904155489</v>
      </c>
      <c r="AB31" s="58" t="n">
        <f aca="false">Payables!AB15</f>
        <v>9075.5790694864</v>
      </c>
    </row>
    <row r="32" customFormat="false" ht="15" hidden="false" customHeight="false" outlineLevel="0" collapsed="false">
      <c r="A32" s="27" t="s">
        <v>1212</v>
      </c>
      <c r="B32" s="56"/>
      <c r="C32" s="57" t="n">
        <f aca="false">SUM(E32:P32)</f>
        <v>-102549.122598746</v>
      </c>
      <c r="D32" s="57" t="n">
        <f aca="false">SUM(Q32:AB32)</f>
        <v>-131004.284721275</v>
      </c>
      <c r="E32" s="70" t="n">
        <f aca="false">-E30</f>
        <v>-5200</v>
      </c>
      <c r="F32" s="70" t="n">
        <f aca="false">-F30</f>
        <v>-6029.18552</v>
      </c>
      <c r="G32" s="70" t="n">
        <f aca="false">-G30</f>
        <v>-8282.06557</v>
      </c>
      <c r="H32" s="70" t="n">
        <f aca="false">-H30</f>
        <v>-7034.10478</v>
      </c>
      <c r="I32" s="70" t="n">
        <f aca="false">-I30</f>
        <v>-6026.11045</v>
      </c>
      <c r="J32" s="70" t="n">
        <f aca="false">-J30</f>
        <v>-5720.14265</v>
      </c>
      <c r="K32" s="70" t="n">
        <f aca="false">-K30</f>
        <v>-6221.81048</v>
      </c>
      <c r="L32" s="70" t="n">
        <f aca="false">-L30</f>
        <v>-7168.54909</v>
      </c>
      <c r="M32" s="70" t="n">
        <f aca="false">-M30</f>
        <v>-9652.50228</v>
      </c>
      <c r="N32" s="70" t="n">
        <f aca="false">-N30</f>
        <v>-13379.9469350333</v>
      </c>
      <c r="O32" s="70" t="n">
        <f aca="false">-O30</f>
        <v>-13819.4609718623</v>
      </c>
      <c r="P32" s="70" t="n">
        <f aca="false">-P30</f>
        <v>-14015.2438718505</v>
      </c>
      <c r="Q32" s="70" t="n">
        <f aca="false">-Q30</f>
        <v>-13118.4399298022</v>
      </c>
      <c r="R32" s="70" t="n">
        <f aca="false">-R30</f>
        <v>-12290.9893293153</v>
      </c>
      <c r="S32" s="70" t="n">
        <f aca="false">-S30</f>
        <v>-10829.4763382125</v>
      </c>
      <c r="T32" s="70" t="n">
        <f aca="false">-T30</f>
        <v>-8550.80213950438</v>
      </c>
      <c r="U32" s="70" t="n">
        <f aca="false">-U30</f>
        <v>-7833.46426069023</v>
      </c>
      <c r="V32" s="70" t="n">
        <f aca="false">-V30</f>
        <v>-8811.57496233464</v>
      </c>
      <c r="W32" s="70" t="n">
        <f aca="false">-W30</f>
        <v>-10898.4015687707</v>
      </c>
      <c r="X32" s="70" t="n">
        <f aca="false">-X30</f>
        <v>-12225.6445469403</v>
      </c>
      <c r="Y32" s="70" t="n">
        <f aca="false">-Y30</f>
        <v>-12864.3401494497</v>
      </c>
      <c r="Z32" s="70" t="n">
        <f aca="false">-Z30</f>
        <v>-12423.9490210285</v>
      </c>
      <c r="AA32" s="70" t="n">
        <f aca="false">-AA30</f>
        <v>-11026.5120596776</v>
      </c>
      <c r="AB32" s="70" t="n">
        <f aca="false">-AB30</f>
        <v>-10130.6904155489</v>
      </c>
    </row>
    <row r="33" customFormat="false" ht="15" hidden="false" customHeight="false" outlineLevel="0" collapsed="false">
      <c r="A33" s="67" t="s">
        <v>1213</v>
      </c>
      <c r="B33" s="68"/>
      <c r="C33" s="69" t="n">
        <f aca="false">P33</f>
        <v>13118.4399298022</v>
      </c>
      <c r="D33" s="69" t="n">
        <f aca="false">AB33</f>
        <v>9075.5790694864</v>
      </c>
      <c r="E33" s="69" t="n">
        <f aca="false">E30+E31+E32</f>
        <v>6029.18552</v>
      </c>
      <c r="F33" s="69" t="n">
        <f aca="false">F30+F31+F32</f>
        <v>8282.06557</v>
      </c>
      <c r="G33" s="69" t="n">
        <f aca="false">G30+G31+G32</f>
        <v>7034.10478</v>
      </c>
      <c r="H33" s="69" t="n">
        <f aca="false">H30+H31+H32</f>
        <v>6026.11045</v>
      </c>
      <c r="I33" s="69" t="n">
        <f aca="false">I30+I31+I32</f>
        <v>5720.14265</v>
      </c>
      <c r="J33" s="69" t="n">
        <f aca="false">J30+J31+J32</f>
        <v>6221.81048</v>
      </c>
      <c r="K33" s="69" t="n">
        <f aca="false">K30+K31+K32</f>
        <v>7168.54909</v>
      </c>
      <c r="L33" s="69" t="n">
        <f aca="false">L30+L31+L32</f>
        <v>9652.50228</v>
      </c>
      <c r="M33" s="69" t="n">
        <f aca="false">M30+M31+M32</f>
        <v>13379.9469350333</v>
      </c>
      <c r="N33" s="69" t="n">
        <f aca="false">N30+N31+N32</f>
        <v>13819.4609718623</v>
      </c>
      <c r="O33" s="69" t="n">
        <f aca="false">O30+O31+O32</f>
        <v>14015.2438718505</v>
      </c>
      <c r="P33" s="69" t="n">
        <f aca="false">P30+P31+P32</f>
        <v>13118.4399298022</v>
      </c>
      <c r="Q33" s="69" t="n">
        <f aca="false">Q30+Q31+Q32</f>
        <v>12290.9893293153</v>
      </c>
      <c r="R33" s="69" t="n">
        <f aca="false">R30+R31+R32</f>
        <v>10829.4763382125</v>
      </c>
      <c r="S33" s="69" t="n">
        <f aca="false">S30+S31+S32</f>
        <v>8550.80213950438</v>
      </c>
      <c r="T33" s="69" t="n">
        <f aca="false">T30+T31+T32</f>
        <v>7833.46426069023</v>
      </c>
      <c r="U33" s="69" t="n">
        <f aca="false">U30+U31+U32</f>
        <v>8811.57496233464</v>
      </c>
      <c r="V33" s="69" t="n">
        <f aca="false">V30+V31+V32</f>
        <v>10898.4015687707</v>
      </c>
      <c r="W33" s="69" t="n">
        <f aca="false">W30+W31+W32</f>
        <v>12225.6445469403</v>
      </c>
      <c r="X33" s="69" t="n">
        <f aca="false">X30+X31+X32</f>
        <v>12864.3401494497</v>
      </c>
      <c r="Y33" s="69" t="n">
        <f aca="false">Y30+Y31+Y32</f>
        <v>12423.9490210285</v>
      </c>
      <c r="Z33" s="69" t="n">
        <f aca="false">Z30+Z31+Z32</f>
        <v>11026.5120596776</v>
      </c>
      <c r="AA33" s="69" t="n">
        <f aca="false">AA30+AA31+AA32</f>
        <v>10130.6904155489</v>
      </c>
      <c r="AB33" s="69" t="n">
        <f aca="false">AB30+AB31+AB32</f>
        <v>9075.5790694864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4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1214</v>
      </c>
    </row>
    <row r="3" customFormat="false" ht="15" hidden="false" customHeight="false" outlineLevel="0" collapsed="false">
      <c r="A3" s="47" t="s">
        <v>1215</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1216</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1217</v>
      </c>
      <c r="B9" s="56" t="s">
        <v>1218</v>
      </c>
      <c r="C9" s="71" t="n">
        <v>5300</v>
      </c>
    </row>
    <row r="10" customFormat="false" ht="15" hidden="false" customHeight="false" outlineLevel="0" collapsed="false">
      <c r="A10" s="27" t="s">
        <v>1219</v>
      </c>
      <c r="B10" s="56" t="s">
        <v>1218</v>
      </c>
      <c r="C10" s="71" t="n">
        <v>4050</v>
      </c>
    </row>
    <row r="11" customFormat="false" ht="15" hidden="false" customHeight="false" outlineLevel="0" collapsed="false">
      <c r="A11" s="27" t="s">
        <v>1220</v>
      </c>
      <c r="B11" s="56" t="s">
        <v>1218</v>
      </c>
      <c r="C11" s="71" t="n">
        <v>3700</v>
      </c>
    </row>
    <row r="12" customFormat="false" ht="15" hidden="false" customHeight="false" outlineLevel="0" collapsed="false">
      <c r="A12" s="27" t="s">
        <v>1221</v>
      </c>
      <c r="B12" s="56" t="s">
        <v>1218</v>
      </c>
      <c r="C12" s="71" t="n">
        <v>3250</v>
      </c>
    </row>
    <row r="13" customFormat="false" ht="15" hidden="false" customHeight="false" outlineLevel="0" collapsed="false">
      <c r="A13" s="27" t="s">
        <v>1222</v>
      </c>
      <c r="B13" s="56" t="s">
        <v>1223</v>
      </c>
      <c r="C13" s="65" t="n">
        <f aca="false">SUM(E13:P13)</f>
        <v>0</v>
      </c>
      <c r="D13" s="65" t="n">
        <f aca="false">SUM(Q13:AB13)</f>
        <v>1</v>
      </c>
      <c r="M13" s="119" t="n">
        <v>0</v>
      </c>
      <c r="N13" s="119" t="n">
        <v>0</v>
      </c>
      <c r="O13" s="119" t="n">
        <v>0</v>
      </c>
      <c r="P13" s="119" t="n">
        <v>0</v>
      </c>
      <c r="Q13" s="119" t="n">
        <v>0</v>
      </c>
      <c r="R13" s="119" t="n">
        <v>0</v>
      </c>
      <c r="S13" s="119" t="n">
        <v>0</v>
      </c>
      <c r="T13" s="119" t="n">
        <v>1</v>
      </c>
      <c r="U13" s="119" t="n">
        <v>0</v>
      </c>
      <c r="V13" s="119" t="n">
        <v>0</v>
      </c>
      <c r="W13" s="119" t="n">
        <v>0</v>
      </c>
      <c r="X13" s="119" t="n">
        <v>0</v>
      </c>
      <c r="Y13" s="119" t="n">
        <v>0</v>
      </c>
      <c r="Z13" s="119" t="n">
        <v>0</v>
      </c>
      <c r="AA13" s="119" t="n">
        <v>0</v>
      </c>
      <c r="AB13" s="119" t="n">
        <v>0</v>
      </c>
    </row>
    <row r="14" customFormat="false" ht="15" hidden="false" customHeight="false" outlineLevel="0" collapsed="false">
      <c r="A14" s="27" t="s">
        <v>1224</v>
      </c>
      <c r="B14" s="56" t="s">
        <v>1223</v>
      </c>
      <c r="C14" s="65" t="n">
        <f aca="false">SUM(E14:P14)</f>
        <v>0</v>
      </c>
      <c r="D14" s="65" t="n">
        <f aca="false">SUM(Q14:AB14)</f>
        <v>1</v>
      </c>
      <c r="M14" s="119" t="n">
        <v>0</v>
      </c>
      <c r="N14" s="119" t="n">
        <v>0</v>
      </c>
      <c r="O14" s="119" t="n">
        <v>0</v>
      </c>
      <c r="P14" s="119" t="n">
        <v>0</v>
      </c>
      <c r="Q14" s="119" t="n">
        <v>0</v>
      </c>
      <c r="R14" s="119" t="n">
        <v>1</v>
      </c>
      <c r="S14" s="119" t="n">
        <v>0</v>
      </c>
      <c r="T14" s="119" t="n">
        <v>0</v>
      </c>
      <c r="U14" s="119" t="n">
        <v>0</v>
      </c>
      <c r="V14" s="119" t="n">
        <v>0</v>
      </c>
      <c r="W14" s="119" t="n">
        <v>0</v>
      </c>
      <c r="X14" s="119" t="n">
        <v>0</v>
      </c>
      <c r="Y14" s="119" t="n">
        <v>0</v>
      </c>
      <c r="Z14" s="119" t="n">
        <v>0</v>
      </c>
      <c r="AA14" s="119" t="n">
        <v>0</v>
      </c>
      <c r="AB14" s="119" t="n">
        <v>0</v>
      </c>
    </row>
    <row r="15" customFormat="false" ht="15" hidden="false" customHeight="false" outlineLevel="0" collapsed="false">
      <c r="A15" s="27" t="s">
        <v>1225</v>
      </c>
      <c r="B15" s="56" t="s">
        <v>1223</v>
      </c>
      <c r="C15" s="65" t="n">
        <f aca="false">SUM(E15:P15)</f>
        <v>2</v>
      </c>
      <c r="D15" s="65" t="n">
        <f aca="false">SUM(Q15:AB15)</f>
        <v>0</v>
      </c>
      <c r="M15" s="119" t="n">
        <v>0</v>
      </c>
      <c r="N15" s="119" t="n">
        <v>0</v>
      </c>
      <c r="O15" s="119" t="n">
        <v>2</v>
      </c>
      <c r="P15" s="119" t="n">
        <v>0</v>
      </c>
      <c r="Q15" s="119" t="n">
        <v>0</v>
      </c>
      <c r="R15" s="119" t="n">
        <v>0</v>
      </c>
      <c r="S15" s="119" t="n">
        <v>0</v>
      </c>
      <c r="T15" s="119" t="n">
        <v>0</v>
      </c>
      <c r="U15" s="119" t="n">
        <v>0</v>
      </c>
      <c r="V15" s="119" t="n">
        <v>0</v>
      </c>
      <c r="W15" s="119" t="n">
        <v>0</v>
      </c>
      <c r="X15" s="119" t="n">
        <v>0</v>
      </c>
      <c r="Y15" s="119" t="n">
        <v>0</v>
      </c>
      <c r="Z15" s="119" t="n">
        <v>0</v>
      </c>
      <c r="AA15" s="119" t="n">
        <v>0</v>
      </c>
      <c r="AB15" s="119" t="n">
        <v>0</v>
      </c>
    </row>
    <row r="16" customFormat="false" ht="15" hidden="false" customHeight="false" outlineLevel="0" collapsed="false">
      <c r="A16" s="27" t="s">
        <v>1226</v>
      </c>
      <c r="B16" s="56" t="s">
        <v>1223</v>
      </c>
      <c r="C16" s="65" t="n">
        <f aca="false">SUM(E16:P16)</f>
        <v>0</v>
      </c>
      <c r="D16" s="65" t="n">
        <f aca="false">SUM(Q16:AB16)</f>
        <v>1</v>
      </c>
      <c r="M16" s="119" t="n">
        <v>0</v>
      </c>
      <c r="N16" s="119" t="n">
        <v>0</v>
      </c>
      <c r="O16" s="119" t="n">
        <v>0</v>
      </c>
      <c r="P16" s="119" t="n">
        <v>0</v>
      </c>
      <c r="Q16" s="119" t="n">
        <v>0</v>
      </c>
      <c r="R16" s="119" t="n">
        <v>0</v>
      </c>
      <c r="S16" s="119" t="n">
        <v>1</v>
      </c>
      <c r="T16" s="119" t="n">
        <v>0</v>
      </c>
      <c r="U16" s="119" t="n">
        <v>0</v>
      </c>
      <c r="V16" s="119" t="n">
        <v>0</v>
      </c>
      <c r="W16" s="119" t="n">
        <v>0</v>
      </c>
      <c r="X16" s="119" t="n">
        <v>0</v>
      </c>
      <c r="Y16" s="119" t="n">
        <v>0</v>
      </c>
      <c r="Z16" s="119" t="n">
        <v>0</v>
      </c>
      <c r="AA16" s="119" t="n">
        <v>0</v>
      </c>
      <c r="AB16" s="119" t="n">
        <v>0</v>
      </c>
    </row>
    <row r="17" customFormat="false" ht="15" hidden="false" customHeight="false" outlineLevel="0" collapsed="false">
      <c r="A17" s="27" t="s">
        <v>1227</v>
      </c>
      <c r="B17" s="56" t="s">
        <v>1228</v>
      </c>
      <c r="C17" s="65" t="n">
        <f aca="false">P17</f>
        <v>4</v>
      </c>
      <c r="D17" s="65" t="n">
        <f aca="false">AB17</f>
        <v>5</v>
      </c>
      <c r="E17" s="66" t="n">
        <f aca="false">IF(E$5="A",Inputs_Actuals!E89,Inputs_Actuals!E89+E13*Assumptions!$F$125)</f>
        <v>4</v>
      </c>
      <c r="F17" s="66" t="n">
        <f aca="false">IF(F$5="A",Inputs_Actuals!F89,E17+F13*Assumptions!$F$125)</f>
        <v>4</v>
      </c>
      <c r="G17" s="66" t="n">
        <f aca="false">IF(G$5="A",Inputs_Actuals!G89,F17+G13*Assumptions!$F$125)</f>
        <v>4</v>
      </c>
      <c r="H17" s="66" t="n">
        <f aca="false">IF(H$5="A",Inputs_Actuals!H89,G17+H13*Assumptions!$F$125)</f>
        <v>4</v>
      </c>
      <c r="I17" s="66" t="n">
        <f aca="false">IF(I$5="A",Inputs_Actuals!I89,H17+I13*Assumptions!$F$125)</f>
        <v>4</v>
      </c>
      <c r="J17" s="66" t="n">
        <f aca="false">IF(J$5="A",Inputs_Actuals!J89,I17+J13*Assumptions!$F$125)</f>
        <v>4</v>
      </c>
      <c r="K17" s="66" t="n">
        <f aca="false">IF(K$5="A",Inputs_Actuals!K89,J17+K13*Assumptions!$F$125)</f>
        <v>4</v>
      </c>
      <c r="L17" s="66" t="n">
        <f aca="false">IF(L$5="A",Inputs_Actuals!L89,K17+L13*Assumptions!$F$125)</f>
        <v>4</v>
      </c>
      <c r="M17" s="66" t="n">
        <f aca="false">IF(M$5="A",Inputs_Actuals!M89,L17+M13*Assumptions!$F$125)</f>
        <v>4</v>
      </c>
      <c r="N17" s="66" t="n">
        <f aca="false">IF(N$5="A",Inputs_Actuals!N89,M17+N13*Assumptions!$F$125)</f>
        <v>4</v>
      </c>
      <c r="O17" s="66" t="n">
        <f aca="false">IF(O$5="A",Inputs_Actuals!O89,N17+O13*Assumptions!$F$125)</f>
        <v>4</v>
      </c>
      <c r="P17" s="66" t="n">
        <f aca="false">IF(P$5="A",Inputs_Actuals!P89,O17+P13*Assumptions!$F$125)</f>
        <v>4</v>
      </c>
      <c r="Q17" s="66" t="n">
        <f aca="false">IF(Q$5="A",Inputs_Actuals!Q89,P17+Q13*Assumptions!$F$125)</f>
        <v>4</v>
      </c>
      <c r="R17" s="66" t="n">
        <f aca="false">IF(R$5="A",Inputs_Actuals!R89,Q17+R13*Assumptions!$F$125)</f>
        <v>4</v>
      </c>
      <c r="S17" s="66" t="n">
        <f aca="false">IF(S$5="A",Inputs_Actuals!S89,R17+S13*Assumptions!$F$125)</f>
        <v>4</v>
      </c>
      <c r="T17" s="66" t="n">
        <f aca="false">IF(T$5="A",Inputs_Actuals!T89,S17+T13*Assumptions!$F$125)</f>
        <v>5</v>
      </c>
      <c r="U17" s="66" t="n">
        <f aca="false">IF(U$5="A",Inputs_Actuals!U89,T17+U13*Assumptions!$F$125)</f>
        <v>5</v>
      </c>
      <c r="V17" s="66" t="n">
        <f aca="false">IF(V$5="A",Inputs_Actuals!V89,U17+V13*Assumptions!$F$125)</f>
        <v>5</v>
      </c>
      <c r="W17" s="66" t="n">
        <f aca="false">IF(W$5="A",Inputs_Actuals!W89,V17+W13*Assumptions!$F$125)</f>
        <v>5</v>
      </c>
      <c r="X17" s="66" t="n">
        <f aca="false">IF(X$5="A",Inputs_Actuals!X89,W17+X13*Assumptions!$F$125)</f>
        <v>5</v>
      </c>
      <c r="Y17" s="66" t="n">
        <f aca="false">IF(Y$5="A",Inputs_Actuals!Y89,X17+Y13*Assumptions!$F$125)</f>
        <v>5</v>
      </c>
      <c r="Z17" s="66" t="n">
        <f aca="false">IF(Z$5="A",Inputs_Actuals!Z89,Y17+Z13*Assumptions!$F$125)</f>
        <v>5</v>
      </c>
      <c r="AA17" s="66" t="n">
        <f aca="false">IF(AA$5="A",Inputs_Actuals!AA89,Z17+AA13*Assumptions!$F$125)</f>
        <v>5</v>
      </c>
      <c r="AB17" s="66" t="n">
        <f aca="false">IF(AB$5="A",Inputs_Actuals!AB89,AA17+AB13*Assumptions!$F$125)</f>
        <v>5</v>
      </c>
    </row>
    <row r="18" customFormat="false" ht="15" hidden="false" customHeight="false" outlineLevel="0" collapsed="false">
      <c r="A18" s="27" t="s">
        <v>1229</v>
      </c>
      <c r="B18" s="56" t="s">
        <v>1228</v>
      </c>
      <c r="C18" s="65" t="n">
        <f aca="false">P18</f>
        <v>11</v>
      </c>
      <c r="D18" s="65" t="n">
        <f aca="false">AB18</f>
        <v>12</v>
      </c>
      <c r="E18" s="66" t="n">
        <f aca="false">IF(E$5="A",Inputs_Actuals!E90,Inputs_Actuals!E90+E14*Assumptions!$F$125)</f>
        <v>10</v>
      </c>
      <c r="F18" s="66" t="n">
        <f aca="false">IF(F$5="A",Inputs_Actuals!F90,E18+F14*Assumptions!$F$125)</f>
        <v>10</v>
      </c>
      <c r="G18" s="66" t="n">
        <f aca="false">IF(G$5="A",Inputs_Actuals!G90,F18+G14*Assumptions!$F$125)</f>
        <v>10</v>
      </c>
      <c r="H18" s="66" t="n">
        <f aca="false">IF(H$5="A",Inputs_Actuals!H90,G18+H14*Assumptions!$F$125)</f>
        <v>10</v>
      </c>
      <c r="I18" s="66" t="n">
        <f aca="false">IF(I$5="A",Inputs_Actuals!I90,H18+I14*Assumptions!$F$125)</f>
        <v>10</v>
      </c>
      <c r="J18" s="66" t="n">
        <f aca="false">IF(J$5="A",Inputs_Actuals!J90,I18+J14*Assumptions!$F$125)</f>
        <v>11</v>
      </c>
      <c r="K18" s="66" t="n">
        <f aca="false">IF(K$5="A",Inputs_Actuals!K90,J18+K14*Assumptions!$F$125)</f>
        <v>11</v>
      </c>
      <c r="L18" s="66" t="n">
        <f aca="false">IF(L$5="A",Inputs_Actuals!L90,K18+L14*Assumptions!$F$125)</f>
        <v>11</v>
      </c>
      <c r="M18" s="66" t="n">
        <f aca="false">IF(M$5="A",Inputs_Actuals!M90,L18+M14*Assumptions!$F$125)</f>
        <v>11</v>
      </c>
      <c r="N18" s="66" t="n">
        <f aca="false">IF(N$5="A",Inputs_Actuals!N90,M18+N14*Assumptions!$F$125)</f>
        <v>11</v>
      </c>
      <c r="O18" s="66" t="n">
        <f aca="false">IF(O$5="A",Inputs_Actuals!O90,N18+O14*Assumptions!$F$125)</f>
        <v>11</v>
      </c>
      <c r="P18" s="66" t="n">
        <f aca="false">IF(P$5="A",Inputs_Actuals!P90,O18+P14*Assumptions!$F$125)</f>
        <v>11</v>
      </c>
      <c r="Q18" s="66" t="n">
        <f aca="false">IF(Q$5="A",Inputs_Actuals!Q90,P18+Q14*Assumptions!$F$125)</f>
        <v>11</v>
      </c>
      <c r="R18" s="66" t="n">
        <f aca="false">IF(R$5="A",Inputs_Actuals!R90,Q18+R14*Assumptions!$F$125)</f>
        <v>12</v>
      </c>
      <c r="S18" s="66" t="n">
        <f aca="false">IF(S$5="A",Inputs_Actuals!S90,R18+S14*Assumptions!$F$125)</f>
        <v>12</v>
      </c>
      <c r="T18" s="66" t="n">
        <f aca="false">IF(T$5="A",Inputs_Actuals!T90,S18+T14*Assumptions!$F$125)</f>
        <v>12</v>
      </c>
      <c r="U18" s="66" t="n">
        <f aca="false">IF(U$5="A",Inputs_Actuals!U90,T18+U14*Assumptions!$F$125)</f>
        <v>12</v>
      </c>
      <c r="V18" s="66" t="n">
        <f aca="false">IF(V$5="A",Inputs_Actuals!V90,U18+V14*Assumptions!$F$125)</f>
        <v>12</v>
      </c>
      <c r="W18" s="66" t="n">
        <f aca="false">IF(W$5="A",Inputs_Actuals!W90,V18+W14*Assumptions!$F$125)</f>
        <v>12</v>
      </c>
      <c r="X18" s="66" t="n">
        <f aca="false">IF(X$5="A",Inputs_Actuals!X90,W18+X14*Assumptions!$F$125)</f>
        <v>12</v>
      </c>
      <c r="Y18" s="66" t="n">
        <f aca="false">IF(Y$5="A",Inputs_Actuals!Y90,X18+Y14*Assumptions!$F$125)</f>
        <v>12</v>
      </c>
      <c r="Z18" s="66" t="n">
        <f aca="false">IF(Z$5="A",Inputs_Actuals!Z90,Y18+Z14*Assumptions!$F$125)</f>
        <v>12</v>
      </c>
      <c r="AA18" s="66" t="n">
        <f aca="false">IF(AA$5="A",Inputs_Actuals!AA90,Z18+AA14*Assumptions!$F$125)</f>
        <v>12</v>
      </c>
      <c r="AB18" s="66" t="n">
        <f aca="false">IF(AB$5="A",Inputs_Actuals!AB90,AA18+AB14*Assumptions!$F$125)</f>
        <v>12</v>
      </c>
    </row>
    <row r="19" customFormat="false" ht="15" hidden="false" customHeight="false" outlineLevel="0" collapsed="false">
      <c r="A19" s="27" t="s">
        <v>1230</v>
      </c>
      <c r="B19" s="56" t="s">
        <v>1228</v>
      </c>
      <c r="C19" s="65" t="n">
        <f aca="false">P19</f>
        <v>10</v>
      </c>
      <c r="D19" s="65" t="n">
        <f aca="false">AB19</f>
        <v>10</v>
      </c>
      <c r="E19" s="66" t="n">
        <f aca="false">IF(E$5="A",Inputs_Actuals!E91,Inputs_Actuals!E91+E15*Assumptions!$F$125)</f>
        <v>8</v>
      </c>
      <c r="F19" s="66" t="n">
        <f aca="false">IF(F$5="A",Inputs_Actuals!F91,E19+F15*Assumptions!$F$125)</f>
        <v>8</v>
      </c>
      <c r="G19" s="66" t="n">
        <f aca="false">IF(G$5="A",Inputs_Actuals!G91,F19+G15*Assumptions!$F$125)</f>
        <v>8</v>
      </c>
      <c r="H19" s="66" t="n">
        <f aca="false">IF(H$5="A",Inputs_Actuals!H91,G19+H15*Assumptions!$F$125)</f>
        <v>7</v>
      </c>
      <c r="I19" s="66" t="n">
        <f aca="false">IF(I$5="A",Inputs_Actuals!I91,H19+I15*Assumptions!$F$125)</f>
        <v>7</v>
      </c>
      <c r="J19" s="66" t="n">
        <f aca="false">IF(J$5="A",Inputs_Actuals!J91,I19+J15*Assumptions!$F$125)</f>
        <v>8</v>
      </c>
      <c r="K19" s="66" t="n">
        <f aca="false">IF(K$5="A",Inputs_Actuals!K91,J19+K15*Assumptions!$F$125)</f>
        <v>8</v>
      </c>
      <c r="L19" s="66" t="n">
        <f aca="false">IF(L$5="A",Inputs_Actuals!L91,K19+L15*Assumptions!$F$125)</f>
        <v>8</v>
      </c>
      <c r="M19" s="66" t="n">
        <f aca="false">IF(M$5="A",Inputs_Actuals!M91,L19+M15*Assumptions!$F$125)</f>
        <v>8</v>
      </c>
      <c r="N19" s="66" t="n">
        <f aca="false">IF(N$5="A",Inputs_Actuals!N91,M19+N15*Assumptions!$F$125)</f>
        <v>8</v>
      </c>
      <c r="O19" s="66" t="n">
        <f aca="false">IF(O$5="A",Inputs_Actuals!O91,N19+O15*Assumptions!$F$125)</f>
        <v>10</v>
      </c>
      <c r="P19" s="66" t="n">
        <f aca="false">IF(P$5="A",Inputs_Actuals!P91,O19+P15*Assumptions!$F$125)</f>
        <v>10</v>
      </c>
      <c r="Q19" s="66" t="n">
        <f aca="false">IF(Q$5="A",Inputs_Actuals!Q91,P19+Q15*Assumptions!$F$125)</f>
        <v>10</v>
      </c>
      <c r="R19" s="66" t="n">
        <f aca="false">IF(R$5="A",Inputs_Actuals!R91,Q19+R15*Assumptions!$F$125)</f>
        <v>10</v>
      </c>
      <c r="S19" s="66" t="n">
        <f aca="false">IF(S$5="A",Inputs_Actuals!S91,R19+S15*Assumptions!$F$125)</f>
        <v>10</v>
      </c>
      <c r="T19" s="66" t="n">
        <f aca="false">IF(T$5="A",Inputs_Actuals!T91,S19+T15*Assumptions!$F$125)</f>
        <v>10</v>
      </c>
      <c r="U19" s="66" t="n">
        <f aca="false">IF(U$5="A",Inputs_Actuals!U91,T19+U15*Assumptions!$F$125)</f>
        <v>10</v>
      </c>
      <c r="V19" s="66" t="n">
        <f aca="false">IF(V$5="A",Inputs_Actuals!V91,U19+V15*Assumptions!$F$125)</f>
        <v>10</v>
      </c>
      <c r="W19" s="66" t="n">
        <f aca="false">IF(W$5="A",Inputs_Actuals!W91,V19+W15*Assumptions!$F$125)</f>
        <v>10</v>
      </c>
      <c r="X19" s="66" t="n">
        <f aca="false">IF(X$5="A",Inputs_Actuals!X91,W19+X15*Assumptions!$F$125)</f>
        <v>10</v>
      </c>
      <c r="Y19" s="66" t="n">
        <f aca="false">IF(Y$5="A",Inputs_Actuals!Y91,X19+Y15*Assumptions!$F$125)</f>
        <v>10</v>
      </c>
      <c r="Z19" s="66" t="n">
        <f aca="false">IF(Z$5="A",Inputs_Actuals!Z91,Y19+Z15*Assumptions!$F$125)</f>
        <v>10</v>
      </c>
      <c r="AA19" s="66" t="n">
        <f aca="false">IF(AA$5="A",Inputs_Actuals!AA91,Z19+AA15*Assumptions!$F$125)</f>
        <v>10</v>
      </c>
      <c r="AB19" s="66" t="n">
        <f aca="false">IF(AB$5="A",Inputs_Actuals!AB91,AA19+AB15*Assumptions!$F$125)</f>
        <v>10</v>
      </c>
    </row>
    <row r="20" customFormat="false" ht="15" hidden="false" customHeight="false" outlineLevel="0" collapsed="false">
      <c r="A20" s="27" t="s">
        <v>1231</v>
      </c>
      <c r="B20" s="56" t="s">
        <v>1228</v>
      </c>
      <c r="C20" s="65" t="n">
        <f aca="false">P20</f>
        <v>4</v>
      </c>
      <c r="D20" s="65" t="n">
        <f aca="false">AB20</f>
        <v>5</v>
      </c>
      <c r="E20" s="66" t="n">
        <f aca="false">IF(E$5="A",Inputs_Actuals!E92,Inputs_Actuals!E92+E16*Assumptions!$F$125)</f>
        <v>3</v>
      </c>
      <c r="F20" s="66" t="n">
        <f aca="false">IF(F$5="A",Inputs_Actuals!F92,E20+F16*Assumptions!$F$125)</f>
        <v>3</v>
      </c>
      <c r="G20" s="66" t="n">
        <f aca="false">IF(G$5="A",Inputs_Actuals!G92,F20+G16*Assumptions!$F$125)</f>
        <v>3</v>
      </c>
      <c r="H20" s="66" t="n">
        <f aca="false">IF(H$5="A",Inputs_Actuals!H92,G20+H16*Assumptions!$F$125)</f>
        <v>3</v>
      </c>
      <c r="I20" s="66" t="n">
        <f aca="false">IF(I$5="A",Inputs_Actuals!I92,H20+I16*Assumptions!$F$125)</f>
        <v>3</v>
      </c>
      <c r="J20" s="66" t="n">
        <f aca="false">IF(J$5="A",Inputs_Actuals!J92,I20+J16*Assumptions!$F$125)</f>
        <v>3</v>
      </c>
      <c r="K20" s="66" t="n">
        <f aca="false">IF(K$5="A",Inputs_Actuals!K92,J20+K16*Assumptions!$F$125)</f>
        <v>4</v>
      </c>
      <c r="L20" s="66" t="n">
        <f aca="false">IF(L$5="A",Inputs_Actuals!L92,K20+L16*Assumptions!$F$125)</f>
        <v>4</v>
      </c>
      <c r="M20" s="66" t="n">
        <f aca="false">IF(M$5="A",Inputs_Actuals!M92,L20+M16*Assumptions!$F$125)</f>
        <v>4</v>
      </c>
      <c r="N20" s="66" t="n">
        <f aca="false">IF(N$5="A",Inputs_Actuals!N92,M20+N16*Assumptions!$F$125)</f>
        <v>4</v>
      </c>
      <c r="O20" s="66" t="n">
        <f aca="false">IF(O$5="A",Inputs_Actuals!O92,N20+O16*Assumptions!$F$125)</f>
        <v>4</v>
      </c>
      <c r="P20" s="66" t="n">
        <f aca="false">IF(P$5="A",Inputs_Actuals!P92,O20+P16*Assumptions!$F$125)</f>
        <v>4</v>
      </c>
      <c r="Q20" s="66" t="n">
        <f aca="false">IF(Q$5="A",Inputs_Actuals!Q92,P20+Q16*Assumptions!$F$125)</f>
        <v>4</v>
      </c>
      <c r="R20" s="66" t="n">
        <f aca="false">IF(R$5="A",Inputs_Actuals!R92,Q20+R16*Assumptions!$F$125)</f>
        <v>4</v>
      </c>
      <c r="S20" s="66" t="n">
        <f aca="false">IF(S$5="A",Inputs_Actuals!S92,R20+S16*Assumptions!$F$125)</f>
        <v>5</v>
      </c>
      <c r="T20" s="66" t="n">
        <f aca="false">IF(T$5="A",Inputs_Actuals!T92,S20+T16*Assumptions!$F$125)</f>
        <v>5</v>
      </c>
      <c r="U20" s="66" t="n">
        <f aca="false">IF(U$5="A",Inputs_Actuals!U92,T20+U16*Assumptions!$F$125)</f>
        <v>5</v>
      </c>
      <c r="V20" s="66" t="n">
        <f aca="false">IF(V$5="A",Inputs_Actuals!V92,U20+V16*Assumptions!$F$125)</f>
        <v>5</v>
      </c>
      <c r="W20" s="66" t="n">
        <f aca="false">IF(W$5="A",Inputs_Actuals!W92,V20+W16*Assumptions!$F$125)</f>
        <v>5</v>
      </c>
      <c r="X20" s="66" t="n">
        <f aca="false">IF(X$5="A",Inputs_Actuals!X92,W20+X16*Assumptions!$F$125)</f>
        <v>5</v>
      </c>
      <c r="Y20" s="66" t="n">
        <f aca="false">IF(Y$5="A",Inputs_Actuals!Y92,X20+Y16*Assumptions!$F$125)</f>
        <v>5</v>
      </c>
      <c r="Z20" s="66" t="n">
        <f aca="false">IF(Z$5="A",Inputs_Actuals!Z92,Y20+Z16*Assumptions!$F$125)</f>
        <v>5</v>
      </c>
      <c r="AA20" s="66" t="n">
        <f aca="false">IF(AA$5="A",Inputs_Actuals!AA92,Z20+AA16*Assumptions!$F$125)</f>
        <v>5</v>
      </c>
      <c r="AB20" s="66" t="n">
        <f aca="false">IF(AB$5="A",Inputs_Actuals!AB92,AA20+AB16*Assumptions!$F$125)</f>
        <v>5</v>
      </c>
    </row>
    <row r="21" customFormat="false" ht="15" hidden="false" customHeight="false" outlineLevel="0" collapsed="false">
      <c r="A21" s="67" t="s">
        <v>1232</v>
      </c>
      <c r="B21" s="68"/>
      <c r="C21" s="120" t="n">
        <f aca="false">P21</f>
        <v>29</v>
      </c>
      <c r="D21" s="120" t="n">
        <f aca="false">AB21</f>
        <v>32</v>
      </c>
      <c r="E21" s="120" t="n">
        <f aca="false">E17+E18+E19+E20</f>
        <v>25</v>
      </c>
      <c r="F21" s="120" t="n">
        <f aca="false">F17+F18+F19+F20</f>
        <v>25</v>
      </c>
      <c r="G21" s="120" t="n">
        <f aca="false">G17+G18+G19+G20</f>
        <v>25</v>
      </c>
      <c r="H21" s="120" t="n">
        <f aca="false">H17+H18+H19+H20</f>
        <v>24</v>
      </c>
      <c r="I21" s="120" t="n">
        <f aca="false">I17+I18+I19+I20</f>
        <v>24</v>
      </c>
      <c r="J21" s="120" t="n">
        <f aca="false">J17+J18+J19+J20</f>
        <v>26</v>
      </c>
      <c r="K21" s="120" t="n">
        <f aca="false">K17+K18+K19+K20</f>
        <v>27</v>
      </c>
      <c r="L21" s="120" t="n">
        <f aca="false">L17+L18+L19+L20</f>
        <v>27</v>
      </c>
      <c r="M21" s="120" t="n">
        <f aca="false">M17+M18+M19+M20</f>
        <v>27</v>
      </c>
      <c r="N21" s="120" t="n">
        <f aca="false">N17+N18+N19+N20</f>
        <v>27</v>
      </c>
      <c r="O21" s="120" t="n">
        <f aca="false">O17+O18+O19+O20</f>
        <v>29</v>
      </c>
      <c r="P21" s="120" t="n">
        <f aca="false">P17+P18+P19+P20</f>
        <v>29</v>
      </c>
      <c r="Q21" s="120" t="n">
        <f aca="false">Q17+Q18+Q19+Q20</f>
        <v>29</v>
      </c>
      <c r="R21" s="120" t="n">
        <f aca="false">R17+R18+R19+R20</f>
        <v>30</v>
      </c>
      <c r="S21" s="120" t="n">
        <f aca="false">S17+S18+S19+S20</f>
        <v>31</v>
      </c>
      <c r="T21" s="120" t="n">
        <f aca="false">T17+T18+T19+T20</f>
        <v>32</v>
      </c>
      <c r="U21" s="120" t="n">
        <f aca="false">U17+U18+U19+U20</f>
        <v>32</v>
      </c>
      <c r="V21" s="120" t="n">
        <f aca="false">V17+V18+V19+V20</f>
        <v>32</v>
      </c>
      <c r="W21" s="120" t="n">
        <f aca="false">W17+W18+W19+W20</f>
        <v>32</v>
      </c>
      <c r="X21" s="120" t="n">
        <f aca="false">X17+X18+X19+X20</f>
        <v>32</v>
      </c>
      <c r="Y21" s="120" t="n">
        <f aca="false">Y17+Y18+Y19+Y20</f>
        <v>32</v>
      </c>
      <c r="Z21" s="120" t="n">
        <f aca="false">Z17+Z18+Z19+Z20</f>
        <v>32</v>
      </c>
      <c r="AA21" s="120" t="n">
        <f aca="false">AA17+AA18+AA19+AA20</f>
        <v>32</v>
      </c>
      <c r="AB21" s="120" t="n">
        <f aca="false">AB17+AB18+AB19+AB20</f>
        <v>32</v>
      </c>
    </row>
    <row r="22" customFormat="false" ht="15" hidden="false" customHeight="false" outlineLevel="0" collapsed="false">
      <c r="A22" s="21" t="s">
        <v>1233</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row>
    <row r="23" customFormat="false" ht="15" hidden="false" customHeight="false" outlineLevel="0" collapsed="false">
      <c r="A23" s="27" t="s">
        <v>1234</v>
      </c>
      <c r="B23" s="56" t="s">
        <v>1235</v>
      </c>
      <c r="C23" s="57" t="n">
        <f aca="false">SUM(E23:P23)</f>
        <v>1273971</v>
      </c>
      <c r="D23" s="57" t="n">
        <f aca="false">SUM(Q23:AB23)</f>
        <v>1566731.25</v>
      </c>
      <c r="E23" s="58" t="n">
        <f aca="false">IF(E$5="A",Inputs_Actuals!E93,(E17*Resources!$C$9+E18*Resources!$C$10+E19*Resources!$C$11+E20*Resources!$C$12)*Assumptions!E$104)</f>
        <v>100577</v>
      </c>
      <c r="F23" s="58" t="n">
        <f aca="false">IF(F$5="A",Inputs_Actuals!F93,(F17*Resources!$C$9+F18*Resources!$C$10+F19*Resources!$C$11+F20*Resources!$C$12)*Assumptions!F$104)</f>
        <v>100073</v>
      </c>
      <c r="G23" s="58" t="n">
        <f aca="false">IF(G$5="A",Inputs_Actuals!G93,(G17*Resources!$C$9+G18*Resources!$C$10+G19*Resources!$C$11+G20*Resources!$C$12)*Assumptions!G$104)</f>
        <v>103197</v>
      </c>
      <c r="H23" s="58" t="n">
        <f aca="false">IF(H$5="A",Inputs_Actuals!H93,(H17*Resources!$C$9+H18*Resources!$C$10+H19*Resources!$C$11+H20*Resources!$C$12)*Assumptions!H$104)</f>
        <v>98593</v>
      </c>
      <c r="I23" s="58" t="n">
        <f aca="false">IF(I$5="A",Inputs_Actuals!I93,(I17*Resources!$C$9+I18*Resources!$C$10+I19*Resources!$C$11+I20*Resources!$C$12)*Assumptions!I$104)</f>
        <v>98614</v>
      </c>
      <c r="J23" s="58" t="n">
        <f aca="false">IF(J$5="A",Inputs_Actuals!J93,(J17*Resources!$C$9+J18*Resources!$C$10+J19*Resources!$C$11+J20*Resources!$C$12)*Assumptions!J$104)</f>
        <v>103650</v>
      </c>
      <c r="K23" s="58" t="n">
        <f aca="false">IF(K$5="A",Inputs_Actuals!K93,(K17*Resources!$C$9+K18*Resources!$C$10+K19*Resources!$C$11+K20*Resources!$C$12)*Assumptions!K$104)</f>
        <v>112754</v>
      </c>
      <c r="L23" s="58" t="n">
        <f aca="false">IF(L$5="A",Inputs_Actuals!L93,(L17*Resources!$C$9+L18*Resources!$C$10+L19*Resources!$C$11+L20*Resources!$C$12)*Assumptions!L$104)</f>
        <v>108313</v>
      </c>
      <c r="M23" s="58" t="n">
        <f aca="false">IF(M$5="A",Inputs_Actuals!M93,(M17*Resources!$C$9+M18*Resources!$C$10+M19*Resources!$C$11+M20*Resources!$C$12)*Assumptions!M$104)</f>
        <v>108350</v>
      </c>
      <c r="N23" s="58" t="n">
        <f aca="false">IF(N$5="A",Inputs_Actuals!N93,(N17*Resources!$C$9+N18*Resources!$C$10+N19*Resources!$C$11+N20*Resources!$C$12)*Assumptions!N$104)</f>
        <v>108350</v>
      </c>
      <c r="O23" s="58" t="n">
        <f aca="false">IF(O$5="A",Inputs_Actuals!O93,(O17*Resources!$C$9+O18*Resources!$C$10+O19*Resources!$C$11+O20*Resources!$C$12)*Assumptions!O$104)</f>
        <v>115750</v>
      </c>
      <c r="P23" s="58" t="n">
        <f aca="false">IF(P$5="A",Inputs_Actuals!P93,(P17*Resources!$C$9+P18*Resources!$C$10+P19*Resources!$C$11+P20*Resources!$C$12)*Assumptions!P$104)</f>
        <v>115750</v>
      </c>
      <c r="Q23" s="58" t="n">
        <f aca="false">IF(Q$5="A",Inputs_Actuals!Q93,(Q17*Resources!$C$9+Q18*Resources!$C$10+Q19*Resources!$C$11+Q20*Resources!$C$12)*Assumptions!Q$104)</f>
        <v>119801.25</v>
      </c>
      <c r="R23" s="58" t="n">
        <f aca="false">IF(R$5="A",Inputs_Actuals!R93,(R17*Resources!$C$9+R18*Resources!$C$10+R19*Resources!$C$11+R20*Resources!$C$12)*Assumptions!R$104)</f>
        <v>123993</v>
      </c>
      <c r="S23" s="58" t="n">
        <f aca="false">IF(S$5="A",Inputs_Actuals!S93,(S17*Resources!$C$9+S18*Resources!$C$10+S19*Resources!$C$11+S20*Resources!$C$12)*Assumptions!S$104)</f>
        <v>127356.75</v>
      </c>
      <c r="T23" s="58" t="n">
        <f aca="false">IF(T$5="A",Inputs_Actuals!T93,(T17*Resources!$C$9+T18*Resources!$C$10+T19*Resources!$C$11+T20*Resources!$C$12)*Assumptions!T$104)</f>
        <v>132842.25</v>
      </c>
      <c r="U23" s="58" t="n">
        <f aca="false">IF(U$5="A",Inputs_Actuals!U93,(U17*Resources!$C$9+U18*Resources!$C$10+U19*Resources!$C$11+U20*Resources!$C$12)*Assumptions!U$104)</f>
        <v>132842.25</v>
      </c>
      <c r="V23" s="58" t="n">
        <f aca="false">IF(V$5="A",Inputs_Actuals!V93,(V17*Resources!$C$9+V18*Resources!$C$10+V19*Resources!$C$11+V20*Resources!$C$12)*Assumptions!V$104)</f>
        <v>132842.25</v>
      </c>
      <c r="W23" s="58" t="n">
        <f aca="false">IF(W$5="A",Inputs_Actuals!W93,(W17*Resources!$C$9+W18*Resources!$C$10+W19*Resources!$C$11+W20*Resources!$C$12)*Assumptions!W$104)</f>
        <v>132842.25</v>
      </c>
      <c r="X23" s="58" t="n">
        <f aca="false">IF(X$5="A",Inputs_Actuals!X93,(X17*Resources!$C$9+X18*Resources!$C$10+X19*Resources!$C$11+X20*Resources!$C$12)*Assumptions!X$104)</f>
        <v>132842.25</v>
      </c>
      <c r="Y23" s="58" t="n">
        <f aca="false">IF(Y$5="A",Inputs_Actuals!Y93,(Y17*Resources!$C$9+Y18*Resources!$C$10+Y19*Resources!$C$11+Y20*Resources!$C$12)*Assumptions!Y$104)</f>
        <v>132842.25</v>
      </c>
      <c r="Z23" s="58" t="n">
        <f aca="false">IF(Z$5="A",Inputs_Actuals!Z93,(Z17*Resources!$C$9+Z18*Resources!$C$10+Z19*Resources!$C$11+Z20*Resources!$C$12)*Assumptions!Z$104)</f>
        <v>132842.25</v>
      </c>
      <c r="AA23" s="58" t="n">
        <f aca="false">IF(AA$5="A",Inputs_Actuals!AA93,(AA17*Resources!$C$9+AA18*Resources!$C$10+AA19*Resources!$C$11+AA20*Resources!$C$12)*Assumptions!AA$104)</f>
        <v>132842.25</v>
      </c>
      <c r="AB23" s="58" t="n">
        <f aca="false">IF(AB$5="A",Inputs_Actuals!AB93,(AB17*Resources!$C$9+AB18*Resources!$C$10+AB19*Resources!$C$11+AB20*Resources!$C$12)*Assumptions!AB$104)</f>
        <v>132842.25</v>
      </c>
    </row>
    <row r="24" customFormat="false" ht="15" hidden="false" customHeight="false" outlineLevel="0" collapsed="false">
      <c r="A24" s="27" t="s">
        <v>1236</v>
      </c>
      <c r="B24" s="56" t="s">
        <v>1237</v>
      </c>
      <c r="C24" s="57" t="n">
        <f aca="false">SUM(E24:P24)</f>
        <v>143831.5125</v>
      </c>
      <c r="D24" s="57" t="n">
        <f aca="false">SUM(Q24:AB24)</f>
        <v>178607.3625</v>
      </c>
      <c r="E24" s="58" t="n">
        <f aca="false">E23*Assumptions!E$103</f>
        <v>11314.9125</v>
      </c>
      <c r="F24" s="58" t="n">
        <f aca="false">F23*Assumptions!F$103</f>
        <v>11258.2125</v>
      </c>
      <c r="G24" s="58" t="n">
        <f aca="false">G23*Assumptions!G$103</f>
        <v>11609.6625</v>
      </c>
      <c r="H24" s="58" t="n">
        <f aca="false">H23*Assumptions!H$103</f>
        <v>11091.7125</v>
      </c>
      <c r="I24" s="58" t="n">
        <f aca="false">I23*Assumptions!I$103</f>
        <v>11094.075</v>
      </c>
      <c r="J24" s="58" t="n">
        <f aca="false">J23*Assumptions!J$103</f>
        <v>11660.625</v>
      </c>
      <c r="K24" s="58" t="n">
        <f aca="false">K23*Assumptions!K$103</f>
        <v>12684.825</v>
      </c>
      <c r="L24" s="58" t="n">
        <f aca="false">L23*Assumptions!L$103</f>
        <v>12185.2125</v>
      </c>
      <c r="M24" s="58" t="n">
        <f aca="false">M23*Assumptions!M$103</f>
        <v>12189.375</v>
      </c>
      <c r="N24" s="58" t="n">
        <f aca="false">N23*Assumptions!N$103</f>
        <v>12351.9</v>
      </c>
      <c r="O24" s="58" t="n">
        <f aca="false">O23*Assumptions!O$103</f>
        <v>13195.5</v>
      </c>
      <c r="P24" s="58" t="n">
        <f aca="false">P23*Assumptions!P$103</f>
        <v>13195.5</v>
      </c>
      <c r="Q24" s="58" t="n">
        <f aca="false">Q23*Assumptions!Q$103</f>
        <v>13657.3425</v>
      </c>
      <c r="R24" s="58" t="n">
        <f aca="false">R23*Assumptions!R$103</f>
        <v>14135.202</v>
      </c>
      <c r="S24" s="58" t="n">
        <f aca="false">S23*Assumptions!S$103</f>
        <v>14518.6695</v>
      </c>
      <c r="T24" s="58" t="n">
        <f aca="false">T23*Assumptions!T$103</f>
        <v>15144.0165</v>
      </c>
      <c r="U24" s="58" t="n">
        <f aca="false">U23*Assumptions!U$103</f>
        <v>15144.0165</v>
      </c>
      <c r="V24" s="58" t="n">
        <f aca="false">V23*Assumptions!V$103</f>
        <v>15144.0165</v>
      </c>
      <c r="W24" s="58" t="n">
        <f aca="false">W23*Assumptions!W$103</f>
        <v>15144.0165</v>
      </c>
      <c r="X24" s="58" t="n">
        <f aca="false">X23*Assumptions!X$103</f>
        <v>15144.0165</v>
      </c>
      <c r="Y24" s="58" t="n">
        <f aca="false">Y23*Assumptions!Y$103</f>
        <v>15144.0165</v>
      </c>
      <c r="Z24" s="58" t="n">
        <f aca="false">Z23*Assumptions!Z$103</f>
        <v>15144.0165</v>
      </c>
      <c r="AA24" s="58" t="n">
        <f aca="false">AA23*Assumptions!AA$103</f>
        <v>15144.0165</v>
      </c>
      <c r="AB24" s="58" t="n">
        <f aca="false">AB23*Assumptions!AB$103</f>
        <v>15144.0165</v>
      </c>
    </row>
    <row r="25" customFormat="false" ht="15" hidden="false" customHeight="false" outlineLevel="0" collapsed="false">
      <c r="A25" s="27" t="s">
        <v>1238</v>
      </c>
      <c r="B25" s="56"/>
      <c r="C25" s="57" t="n">
        <f aca="false">SUM(E25:P25)</f>
        <v>63698.55</v>
      </c>
      <c r="D25" s="57" t="n">
        <f aca="false">SUM(Q25:AB25)</f>
        <v>78336.5625</v>
      </c>
      <c r="E25" s="58" t="n">
        <f aca="false">E23*Assumptions!$C$31</f>
        <v>5028.85</v>
      </c>
      <c r="F25" s="58" t="n">
        <f aca="false">F23*Assumptions!$C$31</f>
        <v>5003.65</v>
      </c>
      <c r="G25" s="58" t="n">
        <f aca="false">G23*Assumptions!$C$31</f>
        <v>5159.85</v>
      </c>
      <c r="H25" s="58" t="n">
        <f aca="false">H23*Assumptions!$C$31</f>
        <v>4929.65</v>
      </c>
      <c r="I25" s="58" t="n">
        <f aca="false">I23*Assumptions!$C$31</f>
        <v>4930.7</v>
      </c>
      <c r="J25" s="58" t="n">
        <f aca="false">J23*Assumptions!$C$31</f>
        <v>5182.5</v>
      </c>
      <c r="K25" s="58" t="n">
        <f aca="false">K23*Assumptions!$C$31</f>
        <v>5637.7</v>
      </c>
      <c r="L25" s="58" t="n">
        <f aca="false">L23*Assumptions!$C$31</f>
        <v>5415.65</v>
      </c>
      <c r="M25" s="58" t="n">
        <f aca="false">M23*Assumptions!$C$31</f>
        <v>5417.5</v>
      </c>
      <c r="N25" s="58" t="n">
        <f aca="false">N23*Assumptions!$C$31</f>
        <v>5417.5</v>
      </c>
      <c r="O25" s="58" t="n">
        <f aca="false">O23*Assumptions!$C$31</f>
        <v>5787.5</v>
      </c>
      <c r="P25" s="58" t="n">
        <f aca="false">P23*Assumptions!$C$31</f>
        <v>5787.5</v>
      </c>
      <c r="Q25" s="58" t="n">
        <f aca="false">Q23*Assumptions!$C$31</f>
        <v>5990.0625</v>
      </c>
      <c r="R25" s="58" t="n">
        <f aca="false">R23*Assumptions!$C$31</f>
        <v>6199.65</v>
      </c>
      <c r="S25" s="58" t="n">
        <f aca="false">S23*Assumptions!$C$31</f>
        <v>6367.8375</v>
      </c>
      <c r="T25" s="58" t="n">
        <f aca="false">T23*Assumptions!$C$31</f>
        <v>6642.1125</v>
      </c>
      <c r="U25" s="58" t="n">
        <f aca="false">U23*Assumptions!$C$31</f>
        <v>6642.1125</v>
      </c>
      <c r="V25" s="58" t="n">
        <f aca="false">V23*Assumptions!$C$31</f>
        <v>6642.1125</v>
      </c>
      <c r="W25" s="58" t="n">
        <f aca="false">W23*Assumptions!$C$31</f>
        <v>6642.1125</v>
      </c>
      <c r="X25" s="58" t="n">
        <f aca="false">X23*Assumptions!$C$31</f>
        <v>6642.1125</v>
      </c>
      <c r="Y25" s="58" t="n">
        <f aca="false">Y23*Assumptions!$C$31</f>
        <v>6642.1125</v>
      </c>
      <c r="Z25" s="58" t="n">
        <f aca="false">Z23*Assumptions!$C$31</f>
        <v>6642.1125</v>
      </c>
      <c r="AA25" s="58" t="n">
        <f aca="false">AA23*Assumptions!$C$31</f>
        <v>6642.1125</v>
      </c>
      <c r="AB25" s="58" t="n">
        <f aca="false">AB23*Assumptions!$C$31</f>
        <v>6642.1125</v>
      </c>
    </row>
    <row r="26" customFormat="false" ht="15" hidden="false" customHeight="false" outlineLevel="0" collapsed="false">
      <c r="A26" s="67" t="s">
        <v>1233</v>
      </c>
      <c r="B26" s="68"/>
      <c r="C26" s="69" t="n">
        <f aca="false">SUM(E26:P26)</f>
        <v>1481501.0625</v>
      </c>
      <c r="D26" s="69" t="n">
        <f aca="false">SUM(Q26:AB26)</f>
        <v>1823675.175</v>
      </c>
      <c r="E26" s="69" t="n">
        <f aca="false">E23+E24+E25</f>
        <v>116920.7625</v>
      </c>
      <c r="F26" s="69" t="n">
        <f aca="false">F23+F24+F25</f>
        <v>116334.8625</v>
      </c>
      <c r="G26" s="69" t="n">
        <f aca="false">G23+G24+G25</f>
        <v>119966.5125</v>
      </c>
      <c r="H26" s="69" t="n">
        <f aca="false">H23+H24+H25</f>
        <v>114614.3625</v>
      </c>
      <c r="I26" s="69" t="n">
        <f aca="false">I23+I24+I25</f>
        <v>114638.775</v>
      </c>
      <c r="J26" s="69" t="n">
        <f aca="false">J23+J24+J25</f>
        <v>120493.125</v>
      </c>
      <c r="K26" s="69" t="n">
        <f aca="false">K23+K24+K25</f>
        <v>131076.525</v>
      </c>
      <c r="L26" s="69" t="n">
        <f aca="false">L23+L24+L25</f>
        <v>125913.8625</v>
      </c>
      <c r="M26" s="69" t="n">
        <f aca="false">M23+M24+M25</f>
        <v>125956.875</v>
      </c>
      <c r="N26" s="69" t="n">
        <f aca="false">N23+N24+N25</f>
        <v>126119.4</v>
      </c>
      <c r="O26" s="69" t="n">
        <f aca="false">O23+O24+O25</f>
        <v>134733</v>
      </c>
      <c r="P26" s="69" t="n">
        <f aca="false">P23+P24+P25</f>
        <v>134733</v>
      </c>
      <c r="Q26" s="69" t="n">
        <f aca="false">Q23+Q24+Q25</f>
        <v>139448.655</v>
      </c>
      <c r="R26" s="69" t="n">
        <f aca="false">R23+R24+R25</f>
        <v>144327.852</v>
      </c>
      <c r="S26" s="69" t="n">
        <f aca="false">S23+S24+S25</f>
        <v>148243.257</v>
      </c>
      <c r="T26" s="69" t="n">
        <f aca="false">T23+T24+T25</f>
        <v>154628.379</v>
      </c>
      <c r="U26" s="69" t="n">
        <f aca="false">U23+U24+U25</f>
        <v>154628.379</v>
      </c>
      <c r="V26" s="69" t="n">
        <f aca="false">V23+V24+V25</f>
        <v>154628.379</v>
      </c>
      <c r="W26" s="69" t="n">
        <f aca="false">W23+W24+W25</f>
        <v>154628.379</v>
      </c>
      <c r="X26" s="69" t="n">
        <f aca="false">X23+X24+X25</f>
        <v>154628.379</v>
      </c>
      <c r="Y26" s="69" t="n">
        <f aca="false">Y23+Y24+Y25</f>
        <v>154628.379</v>
      </c>
      <c r="Z26" s="69" t="n">
        <f aca="false">Z23+Z24+Z25</f>
        <v>154628.379</v>
      </c>
      <c r="AA26" s="69" t="n">
        <f aca="false">AA23+AA24+AA25</f>
        <v>154628.379</v>
      </c>
      <c r="AB26" s="69" t="n">
        <f aca="false">AB23+AB24+AB25</f>
        <v>154628.379</v>
      </c>
    </row>
    <row r="27" customFormat="false" ht="15" hidden="false" customHeight="false" outlineLevel="0" collapsed="false">
      <c r="A27" s="21" t="s">
        <v>1239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row>
    <row r="28" customFormat="false" ht="15" hidden="false" customHeight="false" outlineLevel="0" collapsed="false">
      <c r="A28" s="27" t="s">
        <v>1240</v>
      </c>
      <c r="B28" s="56" t="s">
        <v>1241</v>
      </c>
      <c r="C28" s="57" t="n">
        <f aca="false">SUM(E28:P28)</f>
        <v>44100</v>
      </c>
      <c r="D28" s="57" t="n">
        <f aca="false">SUM(Q28:AB28)</f>
        <v>52920</v>
      </c>
      <c r="E28" s="58" t="n">
        <f aca="false">E21*Assumptions!$C$35</f>
        <v>3500</v>
      </c>
      <c r="F28" s="58" t="n">
        <f aca="false">F21*Assumptions!$C$35</f>
        <v>3500</v>
      </c>
      <c r="G28" s="58" t="n">
        <f aca="false">G21*Assumptions!$C$35</f>
        <v>3500</v>
      </c>
      <c r="H28" s="58" t="n">
        <f aca="false">H21*Assumptions!$C$35</f>
        <v>3360</v>
      </c>
      <c r="I28" s="58" t="n">
        <f aca="false">I21*Assumptions!$C$35</f>
        <v>3360</v>
      </c>
      <c r="J28" s="58" t="n">
        <f aca="false">J21*Assumptions!$C$35</f>
        <v>3640</v>
      </c>
      <c r="K28" s="58" t="n">
        <f aca="false">K21*Assumptions!$C$35</f>
        <v>3780</v>
      </c>
      <c r="L28" s="58" t="n">
        <f aca="false">L21*Assumptions!$C$35</f>
        <v>3780</v>
      </c>
      <c r="M28" s="58" t="n">
        <f aca="false">M21*Assumptions!$C$35</f>
        <v>3780</v>
      </c>
      <c r="N28" s="58" t="n">
        <f aca="false">N21*Assumptions!$C$35</f>
        <v>3780</v>
      </c>
      <c r="O28" s="58" t="n">
        <f aca="false">O21*Assumptions!$C$35</f>
        <v>4060</v>
      </c>
      <c r="P28" s="58" t="n">
        <f aca="false">P21*Assumptions!$C$35</f>
        <v>4060</v>
      </c>
      <c r="Q28" s="58" t="n">
        <f aca="false">Q21*Assumptions!$C$35</f>
        <v>4060</v>
      </c>
      <c r="R28" s="58" t="n">
        <f aca="false">R21*Assumptions!$C$35</f>
        <v>4200</v>
      </c>
      <c r="S28" s="58" t="n">
        <f aca="false">S21*Assumptions!$C$35</f>
        <v>4340</v>
      </c>
      <c r="T28" s="58" t="n">
        <f aca="false">T21*Assumptions!$C$35</f>
        <v>4480</v>
      </c>
      <c r="U28" s="58" t="n">
        <f aca="false">U21*Assumptions!$C$35</f>
        <v>4480</v>
      </c>
      <c r="V28" s="58" t="n">
        <f aca="false">V21*Assumptions!$C$35</f>
        <v>4480</v>
      </c>
      <c r="W28" s="58" t="n">
        <f aca="false">W21*Assumptions!$C$35</f>
        <v>4480</v>
      </c>
      <c r="X28" s="58" t="n">
        <f aca="false">X21*Assumptions!$C$35</f>
        <v>4480</v>
      </c>
      <c r="Y28" s="58" t="n">
        <f aca="false">Y21*Assumptions!$C$35</f>
        <v>4480</v>
      </c>
      <c r="Z28" s="58" t="n">
        <f aca="false">Z21*Assumptions!$C$35</f>
        <v>4480</v>
      </c>
      <c r="AA28" s="58" t="n">
        <f aca="false">AA21*Assumptions!$C$35</f>
        <v>4480</v>
      </c>
      <c r="AB28" s="58" t="n">
        <f aca="false">AB21*Assumptions!$C$35</f>
        <v>4480</v>
      </c>
    </row>
    <row r="29" customFormat="false" ht="15" hidden="false" customHeight="false" outlineLevel="0" collapsed="false">
      <c r="A29" s="27" t="s">
        <v>1242</v>
      </c>
      <c r="B29" s="56" t="s">
        <v>1243</v>
      </c>
      <c r="C29" s="57" t="n">
        <f aca="false">SUM(E29:P29)</f>
        <v>1579361.41081115</v>
      </c>
      <c r="D29" s="57" t="n">
        <f aca="false">SUM(Q29:AB29)</f>
        <v>1742797.41902181</v>
      </c>
      <c r="E29" s="58" t="n">
        <f aca="false">WIP!E697+Residential!E17+Residential!E49</f>
        <v>107708.23</v>
      </c>
      <c r="F29" s="58" t="n">
        <f aca="false">WIP!F697+Residential!F17+Residential!F49</f>
        <v>89643.43</v>
      </c>
      <c r="G29" s="58" t="n">
        <f aca="false">WIP!G697+Residential!G17+Residential!G49</f>
        <v>84766.52</v>
      </c>
      <c r="H29" s="58" t="n">
        <f aca="false">WIP!H697+Residential!H17+Residential!H49</f>
        <v>82567.4</v>
      </c>
      <c r="I29" s="58" t="n">
        <f aca="false">WIP!I697+Residential!I17+Residential!I49</f>
        <v>98827.85</v>
      </c>
      <c r="J29" s="58" t="n">
        <f aca="false">WIP!J697+Residential!J17+Residential!J49</f>
        <v>117650.17</v>
      </c>
      <c r="K29" s="58" t="n">
        <f aca="false">WIP!K697+Residential!K17+Residential!K49</f>
        <v>151488.72</v>
      </c>
      <c r="L29" s="58" t="n">
        <f aca="false">WIP!L697+Residential!L17+Residential!L49</f>
        <v>165295.61</v>
      </c>
      <c r="M29" s="58" t="n">
        <f aca="false">WIP!M697+Residential!M17+Residential!M49</f>
        <v>182463.049975699</v>
      </c>
      <c r="N29" s="58" t="n">
        <f aca="false">WIP!N697+Residential!N17+Residential!N49</f>
        <v>178321.672540217</v>
      </c>
      <c r="O29" s="58" t="n">
        <f aca="false">WIP!O697+Residential!O17+Residential!O49</f>
        <v>167853.557270571</v>
      </c>
      <c r="P29" s="58" t="n">
        <f aca="false">WIP!P697+Residential!P17+Residential!P49</f>
        <v>152775.201024661</v>
      </c>
      <c r="Q29" s="58" t="n">
        <f aca="false">WIP!Q697+Residential!Q17+Residential!Q49</f>
        <v>140021.084379505</v>
      </c>
      <c r="R29" s="58" t="n">
        <f aca="false">WIP!R697+Residential!R17+Residential!R49</f>
        <v>120081.237724638</v>
      </c>
      <c r="S29" s="58" t="n">
        <f aca="false">WIP!S697+Residential!S17+Residential!S49</f>
        <v>109325.982006385</v>
      </c>
      <c r="T29" s="58" t="n">
        <f aca="false">WIP!T697+Residential!T17+Residential!T49</f>
        <v>124258.490445314</v>
      </c>
      <c r="U29" s="58" t="n">
        <f aca="false">WIP!U697+Residential!U17+Residential!U49</f>
        <v>150757.499017997</v>
      </c>
      <c r="V29" s="58" t="n">
        <f aca="false">WIP!V697+Residential!V17+Residential!V49</f>
        <v>169030.72270033</v>
      </c>
      <c r="W29" s="58" t="n">
        <f aca="false">WIP!W697+Residential!W17+Residential!W49</f>
        <v>175507.025104543</v>
      </c>
      <c r="X29" s="58" t="n">
        <f aca="false">WIP!X697+Residential!X17+Residential!X49</f>
        <v>170394.318705215</v>
      </c>
      <c r="Y29" s="58" t="n">
        <f aca="false">WIP!Y697+Residential!Y17+Residential!Y49</f>
        <v>158296.738335321</v>
      </c>
      <c r="Z29" s="58" t="n">
        <f aca="false">WIP!Z697+Residential!Z17+Residential!Z49</f>
        <v>149087.536583719</v>
      </c>
      <c r="AA29" s="58" t="n">
        <f aca="false">WIP!AA697+Residential!AA17+Residential!AA49</f>
        <v>142634.999745504</v>
      </c>
      <c r="AB29" s="58" t="n">
        <f aca="false">WIP!AB697+Residential!AB17+Residential!AB49</f>
        <v>133401.784273337</v>
      </c>
    </row>
    <row r="30" customFormat="false" ht="15" hidden="false" customHeight="false" outlineLevel="0" collapsed="false">
      <c r="A30" s="27" t="s">
        <v>1244</v>
      </c>
      <c r="B30" s="56" t="s">
        <v>1245</v>
      </c>
      <c r="C30" s="121" t="n">
        <f aca="false">AVERAGE(E30:P30)</f>
        <v>39.5</v>
      </c>
      <c r="D30" s="121" t="n">
        <f aca="false">AVERAGE(Q30:AB30)</f>
        <v>40.8825</v>
      </c>
      <c r="E30" s="122" t="n">
        <f aca="false">Assumptions!$C$36*Assumptions!E$104</f>
        <v>39.5</v>
      </c>
      <c r="F30" s="122" t="n">
        <f aca="false">Assumptions!$C$36*Assumptions!F$104</f>
        <v>39.5</v>
      </c>
      <c r="G30" s="122" t="n">
        <f aca="false">Assumptions!$C$36*Assumptions!G$104</f>
        <v>39.5</v>
      </c>
      <c r="H30" s="122" t="n">
        <f aca="false">Assumptions!$C$36*Assumptions!H$104</f>
        <v>39.5</v>
      </c>
      <c r="I30" s="122" t="n">
        <f aca="false">Assumptions!$C$36*Assumptions!I$104</f>
        <v>39.5</v>
      </c>
      <c r="J30" s="122" t="n">
        <f aca="false">Assumptions!$C$36*Assumptions!J$104</f>
        <v>39.5</v>
      </c>
      <c r="K30" s="122" t="n">
        <f aca="false">Assumptions!$C$36*Assumptions!K$104</f>
        <v>39.5</v>
      </c>
      <c r="L30" s="122" t="n">
        <f aca="false">Assumptions!$C$36*Assumptions!L$104</f>
        <v>39.5</v>
      </c>
      <c r="M30" s="122" t="n">
        <f aca="false">Assumptions!$C$36*Assumptions!M$104</f>
        <v>39.5</v>
      </c>
      <c r="N30" s="122" t="n">
        <f aca="false">Assumptions!$C$36*Assumptions!N$104</f>
        <v>39.5</v>
      </c>
      <c r="O30" s="122" t="n">
        <f aca="false">Assumptions!$C$36*Assumptions!O$104</f>
        <v>39.5</v>
      </c>
      <c r="P30" s="122" t="n">
        <f aca="false">Assumptions!$C$36*Assumptions!P$104</f>
        <v>39.5</v>
      </c>
      <c r="Q30" s="122" t="n">
        <f aca="false">Assumptions!$C$36*Assumptions!Q$104</f>
        <v>40.8825</v>
      </c>
      <c r="R30" s="122" t="n">
        <f aca="false">Assumptions!$C$36*Assumptions!R$104</f>
        <v>40.8825</v>
      </c>
      <c r="S30" s="122" t="n">
        <f aca="false">Assumptions!$C$36*Assumptions!S$104</f>
        <v>40.8825</v>
      </c>
      <c r="T30" s="122" t="n">
        <f aca="false">Assumptions!$C$36*Assumptions!T$104</f>
        <v>40.8825</v>
      </c>
      <c r="U30" s="122" t="n">
        <f aca="false">Assumptions!$C$36*Assumptions!U$104</f>
        <v>40.8825</v>
      </c>
      <c r="V30" s="122" t="n">
        <f aca="false">Assumptions!$C$36*Assumptions!V$104</f>
        <v>40.8825</v>
      </c>
      <c r="W30" s="122" t="n">
        <f aca="false">Assumptions!$C$36*Assumptions!W$104</f>
        <v>40.8825</v>
      </c>
      <c r="X30" s="122" t="n">
        <f aca="false">Assumptions!$C$36*Assumptions!X$104</f>
        <v>40.8825</v>
      </c>
      <c r="Y30" s="122" t="n">
        <f aca="false">Assumptions!$C$36*Assumptions!Y$104</f>
        <v>40.8825</v>
      </c>
      <c r="Z30" s="122" t="n">
        <f aca="false">Assumptions!$C$36*Assumptions!Z$104</f>
        <v>40.8825</v>
      </c>
      <c r="AA30" s="122" t="n">
        <f aca="false">Assumptions!$C$36*Assumptions!AA$104</f>
        <v>40.8825</v>
      </c>
      <c r="AB30" s="122" t="n">
        <f aca="false">Assumptions!$C$36*Assumptions!AB$104</f>
        <v>40.8825</v>
      </c>
    </row>
    <row r="31" customFormat="false" ht="15" hidden="false" customHeight="false" outlineLevel="0" collapsed="false">
      <c r="A31" s="27" t="s">
        <v>1246</v>
      </c>
      <c r="B31" s="56" t="s">
        <v>1247</v>
      </c>
      <c r="C31" s="57" t="n">
        <f aca="false">SUM(E31:P31)</f>
        <v>39983.8331850924</v>
      </c>
      <c r="D31" s="57" t="n">
        <f aca="false">SUM(Q31:AB31)</f>
        <v>42629.423812678</v>
      </c>
      <c r="E31" s="70" t="n">
        <f aca="false">E29/E30</f>
        <v>2726.79063291139</v>
      </c>
      <c r="F31" s="70" t="n">
        <f aca="false">F29/F30</f>
        <v>2269.45392405063</v>
      </c>
      <c r="G31" s="70" t="n">
        <f aca="false">G29/G30</f>
        <v>2145.98784810127</v>
      </c>
      <c r="H31" s="70" t="n">
        <f aca="false">H29/H30</f>
        <v>2090.31392405063</v>
      </c>
      <c r="I31" s="70" t="n">
        <f aca="false">I29/I30</f>
        <v>2501.97088607595</v>
      </c>
      <c r="J31" s="70" t="n">
        <f aca="false">J29/J30</f>
        <v>2978.4853164557</v>
      </c>
      <c r="K31" s="70" t="n">
        <f aca="false">K29/K30</f>
        <v>3835.15746835443</v>
      </c>
      <c r="L31" s="70" t="n">
        <f aca="false">L29/L30</f>
        <v>4184.69898734177</v>
      </c>
      <c r="M31" s="70" t="n">
        <f aca="false">M29/M30</f>
        <v>4619.31772090377</v>
      </c>
      <c r="N31" s="70" t="n">
        <f aca="false">N29/N30</f>
        <v>4514.47272253713</v>
      </c>
      <c r="O31" s="70" t="n">
        <f aca="false">O29/O30</f>
        <v>4249.45714609042</v>
      </c>
      <c r="P31" s="70" t="n">
        <f aca="false">P29/P30</f>
        <v>3867.72660821926</v>
      </c>
      <c r="Q31" s="70" t="n">
        <f aca="false">Q29/Q30</f>
        <v>3424.96384466472</v>
      </c>
      <c r="R31" s="70" t="n">
        <f aca="false">R29/R30</f>
        <v>2937.22834280286</v>
      </c>
      <c r="S31" s="70" t="n">
        <f aca="false">S29/S30</f>
        <v>2674.15109169901</v>
      </c>
      <c r="T31" s="70" t="n">
        <f aca="false">T29/T30</f>
        <v>3039.40537993796</v>
      </c>
      <c r="U31" s="70" t="n">
        <f aca="false">U29/U30</f>
        <v>3687.58023648254</v>
      </c>
      <c r="V31" s="70" t="n">
        <f aca="false">V29/V30</f>
        <v>4134.54956767149</v>
      </c>
      <c r="W31" s="70" t="n">
        <f aca="false">W29/W30</f>
        <v>4292.96215017534</v>
      </c>
      <c r="X31" s="70" t="n">
        <f aca="false">X29/X30</f>
        <v>4167.90359457506</v>
      </c>
      <c r="Y31" s="70" t="n">
        <f aca="false">Y29/Y30</f>
        <v>3871.99262117829</v>
      </c>
      <c r="Z31" s="70" t="n">
        <f aca="false">Z29/Z30</f>
        <v>3646.73238142772</v>
      </c>
      <c r="AA31" s="70" t="n">
        <f aca="false">AA29/AA30</f>
        <v>3488.90111283566</v>
      </c>
      <c r="AB31" s="70" t="n">
        <f aca="false">AB29/AB30</f>
        <v>3263.05348922734</v>
      </c>
    </row>
    <row r="32" customFormat="false" ht="15" hidden="false" customHeight="false" outlineLevel="0" collapsed="false">
      <c r="A32" s="27" t="s">
        <v>1248</v>
      </c>
      <c r="B32" s="56" t="s">
        <v>1249</v>
      </c>
      <c r="C32" s="57" t="n">
        <f aca="false">SUM(E32:P32)</f>
        <v>37760.7291398648</v>
      </c>
      <c r="D32" s="57" t="n">
        <f aca="false">SUM(Q32:AB32)</f>
        <v>42629.423812678</v>
      </c>
      <c r="E32" s="70" t="n">
        <f aca="false">MIN(E31,E28)</f>
        <v>2726.79063291139</v>
      </c>
      <c r="F32" s="70" t="n">
        <f aca="false">MIN(F31,F28)</f>
        <v>2269.45392405063</v>
      </c>
      <c r="G32" s="70" t="n">
        <f aca="false">MIN(G31,G28)</f>
        <v>2145.98784810127</v>
      </c>
      <c r="H32" s="70" t="n">
        <f aca="false">MIN(H31,H28)</f>
        <v>2090.31392405063</v>
      </c>
      <c r="I32" s="70" t="n">
        <f aca="false">MIN(I31,I28)</f>
        <v>2501.97088607595</v>
      </c>
      <c r="J32" s="70" t="n">
        <f aca="false">MIN(J31,J28)</f>
        <v>2978.4853164557</v>
      </c>
      <c r="K32" s="70" t="n">
        <f aca="false">MIN(K31,K28)</f>
        <v>3780</v>
      </c>
      <c r="L32" s="70" t="n">
        <f aca="false">MIN(L31,L28)</f>
        <v>3780</v>
      </c>
      <c r="M32" s="70" t="n">
        <f aca="false">MIN(M31,M28)</f>
        <v>3780</v>
      </c>
      <c r="N32" s="70" t="n">
        <f aca="false">MIN(N31,N28)</f>
        <v>3780</v>
      </c>
      <c r="O32" s="70" t="n">
        <f aca="false">MIN(O31,O28)</f>
        <v>4060</v>
      </c>
      <c r="P32" s="70" t="n">
        <f aca="false">MIN(P31,P28)</f>
        <v>3867.72660821926</v>
      </c>
      <c r="Q32" s="70" t="n">
        <f aca="false">MIN(Q31,Q28)</f>
        <v>3424.96384466472</v>
      </c>
      <c r="R32" s="70" t="n">
        <f aca="false">MIN(R31,R28)</f>
        <v>2937.22834280286</v>
      </c>
      <c r="S32" s="70" t="n">
        <f aca="false">MIN(S31,S28)</f>
        <v>2674.15109169901</v>
      </c>
      <c r="T32" s="70" t="n">
        <f aca="false">MIN(T31,T28)</f>
        <v>3039.40537993796</v>
      </c>
      <c r="U32" s="70" t="n">
        <f aca="false">MIN(U31,U28)</f>
        <v>3687.58023648254</v>
      </c>
      <c r="V32" s="70" t="n">
        <f aca="false">MIN(V31,V28)</f>
        <v>4134.54956767149</v>
      </c>
      <c r="W32" s="70" t="n">
        <f aca="false">MIN(W31,W28)</f>
        <v>4292.96215017534</v>
      </c>
      <c r="X32" s="70" t="n">
        <f aca="false">MIN(X31,X28)</f>
        <v>4167.90359457506</v>
      </c>
      <c r="Y32" s="70" t="n">
        <f aca="false">MIN(Y31,Y28)</f>
        <v>3871.99262117829</v>
      </c>
      <c r="Z32" s="70" t="n">
        <f aca="false">MIN(Z31,Z28)</f>
        <v>3646.73238142772</v>
      </c>
      <c r="AA32" s="70" t="n">
        <f aca="false">MIN(AA31,AA28)</f>
        <v>3488.90111283566</v>
      </c>
      <c r="AB32" s="70" t="n">
        <f aca="false">MIN(AB31,AB28)</f>
        <v>3263.05348922734</v>
      </c>
    </row>
    <row r="33" customFormat="false" ht="15" hidden="false" customHeight="false" outlineLevel="0" collapsed="false">
      <c r="A33" s="27" t="s">
        <v>315</v>
      </c>
      <c r="B33" s="56"/>
      <c r="C33" s="59" t="n">
        <f aca="false">IF(C28=0,0,C32/C28)</f>
        <v>0.856252361448182</v>
      </c>
      <c r="D33" s="59" t="n">
        <f aca="false">IF(D28=0,0,D32/D28)</f>
        <v>0.805544667662094</v>
      </c>
      <c r="E33" s="60" t="n">
        <f aca="false">IF(E28=0,0,E32/E28)</f>
        <v>0.779083037974684</v>
      </c>
      <c r="F33" s="60" t="n">
        <f aca="false">IF(F28=0,0,F32/F28)</f>
        <v>0.64841540687161</v>
      </c>
      <c r="G33" s="60" t="n">
        <f aca="false">IF(G28=0,0,G32/G28)</f>
        <v>0.61313938517179</v>
      </c>
      <c r="H33" s="60" t="n">
        <f aca="false">IF(H28=0,0,H32/H28)</f>
        <v>0.622117239300784</v>
      </c>
      <c r="I33" s="60" t="n">
        <f aca="false">IF(I28=0,0,I32/I28)</f>
        <v>0.744634192284509</v>
      </c>
      <c r="J33" s="60" t="n">
        <f aca="false">IF(J28=0,0,J32/J28)</f>
        <v>0.818265196828488</v>
      </c>
      <c r="K33" s="60" t="n">
        <f aca="false">IF(K28=0,0,K32/K28)</f>
        <v>1</v>
      </c>
      <c r="L33" s="60" t="n">
        <f aca="false">IF(L28=0,0,L32/L28)</f>
        <v>1</v>
      </c>
      <c r="M33" s="60" t="n">
        <f aca="false">IF(M28=0,0,M32/M28)</f>
        <v>1</v>
      </c>
      <c r="N33" s="60" t="n">
        <f aca="false">IF(N28=0,0,N32/N28)</f>
        <v>1</v>
      </c>
      <c r="O33" s="60" t="n">
        <f aca="false">IF(O28=0,0,O32/O28)</f>
        <v>1</v>
      </c>
      <c r="P33" s="60" t="n">
        <f aca="false">IF(P28=0,0,P32/P28)</f>
        <v>0.952642021728882</v>
      </c>
      <c r="Q33" s="60" t="n">
        <f aca="false">IF(Q28=0,0,Q32/Q28)</f>
        <v>0.843587153858304</v>
      </c>
      <c r="R33" s="60" t="n">
        <f aca="false">IF(R28=0,0,R32/R28)</f>
        <v>0.699340081619729</v>
      </c>
      <c r="S33" s="60" t="n">
        <f aca="false">IF(S28=0,0,S32/S28)</f>
        <v>0.616163846013596</v>
      </c>
      <c r="T33" s="60" t="n">
        <f aca="false">IF(T28=0,0,T32/T28)</f>
        <v>0.678438700879009</v>
      </c>
      <c r="U33" s="60" t="n">
        <f aca="false">IF(U28=0,0,U32/U28)</f>
        <v>0.823120588500567</v>
      </c>
      <c r="V33" s="60" t="n">
        <f aca="false">IF(V28=0,0,V32/V28)</f>
        <v>0.9228905284981</v>
      </c>
      <c r="W33" s="60" t="n">
        <f aca="false">IF(W28=0,0,W32/W28)</f>
        <v>0.958250479949853</v>
      </c>
      <c r="X33" s="60" t="n">
        <f aca="false">IF(X28=0,0,X32/X28)</f>
        <v>0.930335623789077</v>
      </c>
      <c r="Y33" s="60" t="n">
        <f aca="false">IF(Y28=0,0,Y32/Y28)</f>
        <v>0.864284067227297</v>
      </c>
      <c r="Z33" s="60" t="n">
        <f aca="false">IF(Z28=0,0,Z32/Z28)</f>
        <v>0.814002763711546</v>
      </c>
      <c r="AA33" s="60" t="n">
        <f aca="false">IF(AA28=0,0,AA32/AA28)</f>
        <v>0.77877256982939</v>
      </c>
      <c r="AB33" s="60" t="n">
        <f aca="false">IF(AB28=0,0,AB32/AB28)</f>
        <v>0.728360153845388</v>
      </c>
    </row>
    <row r="34" customFormat="false" ht="15" hidden="false" customHeight="false" outlineLevel="0" collapsed="false">
      <c r="A34" s="27" t="s">
        <v>1250</v>
      </c>
      <c r="B34" s="56"/>
      <c r="C34" s="57" t="n">
        <f aca="false">SUM(E34:P34)</f>
        <v>2223.10404522752</v>
      </c>
      <c r="D34" s="57" t="n">
        <f aca="false">SUM(Q34:AB34)</f>
        <v>0</v>
      </c>
      <c r="E34" s="70" t="n">
        <f aca="false">MAX(0,E31-E28)</f>
        <v>0</v>
      </c>
      <c r="F34" s="70" t="n">
        <f aca="false">MAX(0,F31-F28)</f>
        <v>0</v>
      </c>
      <c r="G34" s="70" t="n">
        <f aca="false">MAX(0,G31-G28)</f>
        <v>0</v>
      </c>
      <c r="H34" s="70" t="n">
        <f aca="false">MAX(0,H31-H28)</f>
        <v>0</v>
      </c>
      <c r="I34" s="70" t="n">
        <f aca="false">MAX(0,I31-I28)</f>
        <v>0</v>
      </c>
      <c r="J34" s="70" t="n">
        <f aca="false">MAX(0,J31-J28)</f>
        <v>0</v>
      </c>
      <c r="K34" s="70" t="n">
        <f aca="false">MAX(0,K31-K28)</f>
        <v>55.1574683544304</v>
      </c>
      <c r="L34" s="70" t="n">
        <f aca="false">MAX(0,L31-L28)</f>
        <v>404.698987341772</v>
      </c>
      <c r="M34" s="70" t="n">
        <f aca="false">MAX(0,M31-M28)</f>
        <v>839.31772090377</v>
      </c>
      <c r="N34" s="70" t="n">
        <f aca="false">MAX(0,N31-N28)</f>
        <v>734.472722537133</v>
      </c>
      <c r="O34" s="70" t="n">
        <f aca="false">MAX(0,O31-O28)</f>
        <v>189.457146090416</v>
      </c>
      <c r="P34" s="70" t="n">
        <f aca="false">MAX(0,P31-P28)</f>
        <v>0</v>
      </c>
      <c r="Q34" s="70" t="n">
        <f aca="false">MAX(0,Q31-Q28)</f>
        <v>0</v>
      </c>
      <c r="R34" s="70" t="n">
        <f aca="false">MAX(0,R31-R28)</f>
        <v>0</v>
      </c>
      <c r="S34" s="70" t="n">
        <f aca="false">MAX(0,S31-S28)</f>
        <v>0</v>
      </c>
      <c r="T34" s="70" t="n">
        <f aca="false">MAX(0,T31-T28)</f>
        <v>0</v>
      </c>
      <c r="U34" s="70" t="n">
        <f aca="false">MAX(0,U31-U28)</f>
        <v>0</v>
      </c>
      <c r="V34" s="70" t="n">
        <f aca="false">MAX(0,V31-V28)</f>
        <v>0</v>
      </c>
      <c r="W34" s="70" t="n">
        <f aca="false">MAX(0,W31-W28)</f>
        <v>0</v>
      </c>
      <c r="X34" s="70" t="n">
        <f aca="false">MAX(0,X31-X28)</f>
        <v>0</v>
      </c>
      <c r="Y34" s="70" t="n">
        <f aca="false">MAX(0,Y31-Y28)</f>
        <v>0</v>
      </c>
      <c r="Z34" s="70" t="n">
        <f aca="false">MAX(0,Z31-Z28)</f>
        <v>0</v>
      </c>
      <c r="AA34" s="70" t="n">
        <f aca="false">MAX(0,AA31-AA28)</f>
        <v>0</v>
      </c>
      <c r="AB34" s="70" t="n">
        <f aca="false">MAX(0,AB31-AB28)</f>
        <v>0</v>
      </c>
    </row>
    <row r="35" customFormat="false" ht="15" hidden="false" customHeight="false" outlineLevel="0" collapsed="false">
      <c r="A35" s="27" t="s">
        <v>1251</v>
      </c>
      <c r="B35" s="56" t="s">
        <v>1252</v>
      </c>
      <c r="C35" s="57" t="n">
        <f aca="false">SUM(E35:P35)</f>
        <v>97772.636707972</v>
      </c>
      <c r="D35" s="57" t="n">
        <f aca="false">SUM(Q35:AB35)</f>
        <v>0</v>
      </c>
      <c r="E35" s="58" t="n">
        <f aca="false">IF(E$5="A",Inputs_Actuals!E94,E34*Assumptions!$C$38*Assumptions!E$104)</f>
        <v>0</v>
      </c>
      <c r="F35" s="58" t="n">
        <f aca="false">IF(F$5="A",Inputs_Actuals!F94,F34*Assumptions!$C$38*Assumptions!F$104)</f>
        <v>0</v>
      </c>
      <c r="G35" s="58" t="n">
        <f aca="false">IF(G$5="A",Inputs_Actuals!G94,G34*Assumptions!$C$38*Assumptions!G$104)</f>
        <v>0</v>
      </c>
      <c r="H35" s="58" t="n">
        <f aca="false">IF(H$5="A",Inputs_Actuals!H94,H34*Assumptions!$C$38*Assumptions!H$104)</f>
        <v>0</v>
      </c>
      <c r="I35" s="58" t="n">
        <f aca="false">IF(I$5="A",Inputs_Actuals!I94,I34*Assumptions!$C$38*Assumptions!I$104)</f>
        <v>0</v>
      </c>
      <c r="J35" s="58" t="n">
        <f aca="false">IF(J$5="A",Inputs_Actuals!J94,J34*Assumptions!$C$38*Assumptions!J$104)</f>
        <v>2600</v>
      </c>
      <c r="K35" s="58" t="n">
        <f aca="false">IF(K$5="A",Inputs_Actuals!K94,K34*Assumptions!$C$38*Assumptions!K$104)</f>
        <v>5400</v>
      </c>
      <c r="L35" s="58" t="n">
        <f aca="false">IF(L$5="A",Inputs_Actuals!L94,L34*Assumptions!$C$38*Assumptions!L$104)</f>
        <v>6900</v>
      </c>
      <c r="M35" s="58" t="n">
        <f aca="false">IF(M$5="A",Inputs_Actuals!M94,M34*Assumptions!$C$38*Assumptions!M$104)</f>
        <v>39447.9328824772</v>
      </c>
      <c r="N35" s="58" t="n">
        <f aca="false">IF(N$5="A",Inputs_Actuals!N94,N34*Assumptions!$C$38*Assumptions!N$104)</f>
        <v>34520.2179592452</v>
      </c>
      <c r="O35" s="58" t="n">
        <f aca="false">IF(O$5="A",Inputs_Actuals!O94,O34*Assumptions!$C$38*Assumptions!O$104)</f>
        <v>8904.48586624956</v>
      </c>
      <c r="P35" s="58" t="n">
        <f aca="false">IF(P$5="A",Inputs_Actuals!P94,P34*Assumptions!$C$38*Assumptions!P$104)</f>
        <v>0</v>
      </c>
      <c r="Q35" s="58" t="n">
        <f aca="false">IF(Q$5="A",Inputs_Actuals!Q94,Q34*Assumptions!$C$38*Assumptions!Q$104)</f>
        <v>0</v>
      </c>
      <c r="R35" s="58" t="n">
        <f aca="false">IF(R$5="A",Inputs_Actuals!R94,R34*Assumptions!$C$38*Assumptions!R$104)</f>
        <v>0</v>
      </c>
      <c r="S35" s="58" t="n">
        <f aca="false">IF(S$5="A",Inputs_Actuals!S94,S34*Assumptions!$C$38*Assumptions!S$104)</f>
        <v>0</v>
      </c>
      <c r="T35" s="58" t="n">
        <f aca="false">IF(T$5="A",Inputs_Actuals!T94,T34*Assumptions!$C$38*Assumptions!T$104)</f>
        <v>0</v>
      </c>
      <c r="U35" s="58" t="n">
        <f aca="false">IF(U$5="A",Inputs_Actuals!U94,U34*Assumptions!$C$38*Assumptions!U$104)</f>
        <v>0</v>
      </c>
      <c r="V35" s="58" t="n">
        <f aca="false">IF(V$5="A",Inputs_Actuals!V94,V34*Assumptions!$C$38*Assumptions!V$104)</f>
        <v>0</v>
      </c>
      <c r="W35" s="58" t="n">
        <f aca="false">IF(W$5="A",Inputs_Actuals!W94,W34*Assumptions!$C$38*Assumptions!W$104)</f>
        <v>0</v>
      </c>
      <c r="X35" s="58" t="n">
        <f aca="false">IF(X$5="A",Inputs_Actuals!X94,X34*Assumptions!$C$38*Assumptions!X$104)</f>
        <v>0</v>
      </c>
      <c r="Y35" s="58" t="n">
        <f aca="false">IF(Y$5="A",Inputs_Actuals!Y94,Y34*Assumptions!$C$38*Assumptions!Y$104)</f>
        <v>0</v>
      </c>
      <c r="Z35" s="58" t="n">
        <f aca="false">IF(Z$5="A",Inputs_Actuals!Z94,Z34*Assumptions!$C$38*Assumptions!Z$104)</f>
        <v>0</v>
      </c>
      <c r="AA35" s="58" t="n">
        <f aca="false">IF(AA$5="A",Inputs_Actuals!AA94,AA34*Assumptions!$C$38*Assumptions!AA$104)</f>
        <v>0</v>
      </c>
      <c r="AB35" s="58" t="n">
        <f aca="false">IF(AB$5="A",Inputs_Actuals!AB94,AB34*Assumptions!$C$38*Assumptions!AB$104)</f>
        <v>0</v>
      </c>
    </row>
    <row r="36" customFormat="false" ht="15" hidden="false" customHeight="false" outlineLevel="0" collapsed="false">
      <c r="A36" s="67" t="s">
        <v>1253</v>
      </c>
      <c r="B36" s="68" t="s">
        <v>1254</v>
      </c>
      <c r="C36" s="69" t="n">
        <f aca="false">SUM(E36:P36)</f>
        <v>87.7116031759397</v>
      </c>
      <c r="D36" s="69" t="n">
        <f aca="false">SUM(Q36:AB36)</f>
        <v>-80877.7559781917</v>
      </c>
      <c r="E36" s="69" t="n">
        <f aca="false">E29-E26-E35</f>
        <v>-9212.53250000002</v>
      </c>
      <c r="F36" s="69" t="n">
        <f aca="false">F29-F26-F35</f>
        <v>-26691.4325</v>
      </c>
      <c r="G36" s="69" t="n">
        <f aca="false">G29-G26-G35</f>
        <v>-35199.9925</v>
      </c>
      <c r="H36" s="69" t="n">
        <f aca="false">H29-H26-H35</f>
        <v>-32046.9625</v>
      </c>
      <c r="I36" s="69" t="n">
        <f aca="false">I29-I26-I35</f>
        <v>-15810.925</v>
      </c>
      <c r="J36" s="69" t="n">
        <f aca="false">J29-J26-J35</f>
        <v>-5442.955</v>
      </c>
      <c r="K36" s="69" t="n">
        <f aca="false">K29-K26-K35</f>
        <v>15012.195</v>
      </c>
      <c r="L36" s="69" t="n">
        <f aca="false">L29-L26-L35</f>
        <v>32481.7475</v>
      </c>
      <c r="M36" s="69" t="n">
        <f aca="false">M29-M26-M35</f>
        <v>17058.2420932217</v>
      </c>
      <c r="N36" s="69" t="n">
        <f aca="false">N29-N26-N35</f>
        <v>17682.0545809715</v>
      </c>
      <c r="O36" s="69" t="n">
        <f aca="false">O29-O26-O35</f>
        <v>24216.0714043219</v>
      </c>
      <c r="P36" s="69" t="n">
        <f aca="false">P29-P26-P35</f>
        <v>18042.2010246608</v>
      </c>
      <c r="Q36" s="69" t="n">
        <f aca="false">Q29-Q26-Q35</f>
        <v>572.42937950528</v>
      </c>
      <c r="R36" s="69" t="n">
        <f aca="false">R29-R26-R35</f>
        <v>-24246.6142753619</v>
      </c>
      <c r="S36" s="69" t="n">
        <f aca="false">S29-S26-S35</f>
        <v>-38917.2749936153</v>
      </c>
      <c r="T36" s="69" t="n">
        <f aca="false">T29-T26-T35</f>
        <v>-30369.8885546862</v>
      </c>
      <c r="U36" s="69" t="n">
        <f aca="false">U29-U26-U35</f>
        <v>-3870.87998200263</v>
      </c>
      <c r="V36" s="69" t="n">
        <f aca="false">V29-V26-V35</f>
        <v>14402.3437003296</v>
      </c>
      <c r="W36" s="69" t="n">
        <f aca="false">W29-W26-W35</f>
        <v>20878.6461045433</v>
      </c>
      <c r="X36" s="69" t="n">
        <f aca="false">X29-X26-X35</f>
        <v>15765.9397052151</v>
      </c>
      <c r="Y36" s="69" t="n">
        <f aca="false">Y29-Y26-Y35</f>
        <v>3668.35933532141</v>
      </c>
      <c r="Z36" s="69" t="n">
        <f aca="false">Z29-Z26-Z35</f>
        <v>-5540.84241628103</v>
      </c>
      <c r="AA36" s="69" t="n">
        <f aca="false">AA29-AA26-AA35</f>
        <v>-11993.3792544959</v>
      </c>
      <c r="AB36" s="69" t="n">
        <f aca="false">AB29-AB26-AB35</f>
        <v>-21226.5947266633</v>
      </c>
    </row>
    <row r="37" customFormat="false" ht="15" hidden="false" customHeight="false" outlineLevel="0" collapsed="false">
      <c r="A37" s="27" t="s">
        <v>1255</v>
      </c>
      <c r="B37" s="56"/>
      <c r="C37" s="59" t="n">
        <f aca="false">IF(C26+C35=0,0,C29/(C26+C35))</f>
        <v>1.00005553920338</v>
      </c>
      <c r="D37" s="59" t="n">
        <f aca="false">IF(D26+D35=0,0,D29/(D26+D35))</f>
        <v>0.955651227210355</v>
      </c>
      <c r="E37" s="60" t="n">
        <f aca="false">IF(E26+E35=0,0,E29/(E26+E35))</f>
        <v>0.92120704395851</v>
      </c>
      <c r="F37" s="60" t="n">
        <f aca="false">IF(F26+F35=0,0,F29/(F26+F35))</f>
        <v>0.770563768019239</v>
      </c>
      <c r="G37" s="60" t="n">
        <f aca="false">IF(G26+G35=0,0,G29/(G26+G35))</f>
        <v>0.706584848000812</v>
      </c>
      <c r="H37" s="60" t="n">
        <f aca="false">IF(H26+H35=0,0,H29/(H26+H35))</f>
        <v>0.720393135720665</v>
      </c>
      <c r="I37" s="60" t="n">
        <f aca="false">IF(I26+I35=0,0,I29/(I26+I35))</f>
        <v>0.862080478441958</v>
      </c>
      <c r="J37" s="60" t="n">
        <f aca="false">IF(J26+J35=0,0,J29/(J26+J35))</f>
        <v>0.955781811534966</v>
      </c>
      <c r="K37" s="60" t="n">
        <f aca="false">IF(K26+K35=0,0,K29/(K26+K35))</f>
        <v>1.10999836785117</v>
      </c>
      <c r="L37" s="60" t="n">
        <f aca="false">IF(L26+L35=0,0,L29/(L26+L35))</f>
        <v>1.24456594280586</v>
      </c>
      <c r="M37" s="60" t="n">
        <f aca="false">IF(M26+M35=0,0,M29/(M26+M35))</f>
        <v>1.10313026756358</v>
      </c>
      <c r="N37" s="60" t="n">
        <f aca="false">IF(N26+N35=0,0,N29/(N26+N35))</f>
        <v>1.11007281270712</v>
      </c>
      <c r="O37" s="60" t="n">
        <f aca="false">IF(O26+O35=0,0,O29/(O26+O35))</f>
        <v>1.16859158497714</v>
      </c>
      <c r="P37" s="60" t="n">
        <f aca="false">IF(P26+P35=0,0,P29/(P26+P35))</f>
        <v>1.13391077927947</v>
      </c>
      <c r="Q37" s="60" t="n">
        <f aca="false">IF(Q26+Q35=0,0,Q29/(Q26+Q35))</f>
        <v>1.00410494729767</v>
      </c>
      <c r="R37" s="60" t="n">
        <f aca="false">IF(R26+R35=0,0,R29/(R26+R35))</f>
        <v>0.83200322086577</v>
      </c>
      <c r="S37" s="60" t="n">
        <f aca="false">IF(S26+S35=0,0,S29/(S26+S35))</f>
        <v>0.737476929600816</v>
      </c>
      <c r="T37" s="60" t="n">
        <f aca="false">IF(T26+T35=0,0,T29/(T26+T35))</f>
        <v>0.803594341794877</v>
      </c>
      <c r="U37" s="60" t="n">
        <f aca="false">IF(U26+U35=0,0,U29/(U26+U35))</f>
        <v>0.974966561720196</v>
      </c>
      <c r="V37" s="60" t="n">
        <f aca="false">IF(V26+V35=0,0,V29/(V26+V35))</f>
        <v>1.09314165868821</v>
      </c>
      <c r="W37" s="60" t="n">
        <f aca="false">IF(W26+W35=0,0,W29/(W26+W35))</f>
        <v>1.13502467166485</v>
      </c>
      <c r="X37" s="60" t="n">
        <f aca="false">IF(X26+X35=0,0,X29/(X26+X35))</f>
        <v>1.10196019519299</v>
      </c>
      <c r="Y37" s="60" t="n">
        <f aca="false">IF(Y26+Y35=0,0,Y29/(Y26+Y35))</f>
        <v>1.0237237133251</v>
      </c>
      <c r="Z37" s="60" t="n">
        <f aca="false">IF(Z26+Z35=0,0,Z29/(Z26+Z35))</f>
        <v>0.964166717312085</v>
      </c>
      <c r="AA37" s="60" t="n">
        <f aca="false">IF(AA26+AA35=0,0,AA29/(AA26+AA35))</f>
        <v>0.922437399059225</v>
      </c>
      <c r="AB37" s="60" t="n">
        <f aca="false">IF(AB26+AB35=0,0,AB29/(AB26+AB35))</f>
        <v>0.862725103477523</v>
      </c>
    </row>
    <row r="38" customFormat="false" ht="15" hidden="false" customHeight="false" outlineLevel="0" collapsed="false">
      <c r="A38" s="21" t="s">
        <v>1256</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row>
    <row r="39" customFormat="false" ht="15" hidden="false" customHeight="false" outlineLevel="0" collapsed="false">
      <c r="A39" s="27" t="s">
        <v>1257</v>
      </c>
      <c r="B39" s="56" t="s">
        <v>1258</v>
      </c>
      <c r="C39" s="65" t="n">
        <f aca="false">P39</f>
        <v>13</v>
      </c>
      <c r="D39" s="65" t="n">
        <f aca="false">AB39</f>
        <v>13</v>
      </c>
      <c r="E39" s="66" t="n">
        <f aca="false">IF(E$5="A",Inputs_Actuals!E95,INDEX(Inputs_Actuals!$E$95:$AB$95,Assumptions!$C$10))</f>
        <v>12</v>
      </c>
      <c r="F39" s="66" t="n">
        <f aca="false">IF(F$5="A",Inputs_Actuals!F95,INDEX(Inputs_Actuals!$E$95:$AB$95,Assumptions!$C$10))</f>
        <v>12</v>
      </c>
      <c r="G39" s="66" t="n">
        <f aca="false">IF(G$5="A",Inputs_Actuals!G95,INDEX(Inputs_Actuals!$E$95:$AB$95,Assumptions!$C$10))</f>
        <v>12</v>
      </c>
      <c r="H39" s="66" t="n">
        <f aca="false">IF(H$5="A",Inputs_Actuals!H95,INDEX(Inputs_Actuals!$E$95:$AB$95,Assumptions!$C$10))</f>
        <v>13</v>
      </c>
      <c r="I39" s="66" t="n">
        <f aca="false">IF(I$5="A",Inputs_Actuals!I95,INDEX(Inputs_Actuals!$E$95:$AB$95,Assumptions!$C$10))</f>
        <v>13</v>
      </c>
      <c r="J39" s="66" t="n">
        <f aca="false">IF(J$5="A",Inputs_Actuals!J95,INDEX(Inputs_Actuals!$E$95:$AB$95,Assumptions!$C$10))</f>
        <v>13</v>
      </c>
      <c r="K39" s="66" t="n">
        <f aca="false">IF(K$5="A",Inputs_Actuals!K95,INDEX(Inputs_Actuals!$E$95:$AB$95,Assumptions!$C$10))</f>
        <v>13</v>
      </c>
      <c r="L39" s="66" t="n">
        <f aca="false">IF(L$5="A",Inputs_Actuals!L95,INDEX(Inputs_Actuals!$E$95:$AB$95,Assumptions!$C$10))</f>
        <v>13</v>
      </c>
      <c r="M39" s="66" t="n">
        <f aca="false">IF(M$5="A",Inputs_Actuals!M95,INDEX(Inputs_Actuals!$E$95:$AB$95,Assumptions!$C$10))</f>
        <v>13</v>
      </c>
      <c r="N39" s="66" t="n">
        <f aca="false">IF(N$5="A",Inputs_Actuals!N95,INDEX(Inputs_Actuals!$E$95:$AB$95,Assumptions!$C$10))</f>
        <v>13</v>
      </c>
      <c r="O39" s="66" t="n">
        <f aca="false">IF(O$5="A",Inputs_Actuals!O95,INDEX(Inputs_Actuals!$E$95:$AB$95,Assumptions!$C$10))</f>
        <v>13</v>
      </c>
      <c r="P39" s="66" t="n">
        <f aca="false">IF(P$5="A",Inputs_Actuals!P95,INDEX(Inputs_Actuals!$E$95:$AB$95,Assumptions!$C$10))</f>
        <v>13</v>
      </c>
      <c r="Q39" s="66" t="n">
        <f aca="false">IF(Q$5="A",Inputs_Actuals!Q95,INDEX(Inputs_Actuals!$E$95:$AB$95,Assumptions!$C$10))</f>
        <v>13</v>
      </c>
      <c r="R39" s="66" t="n">
        <f aca="false">IF(R$5="A",Inputs_Actuals!R95,INDEX(Inputs_Actuals!$E$95:$AB$95,Assumptions!$C$10))</f>
        <v>13</v>
      </c>
      <c r="S39" s="66" t="n">
        <f aca="false">IF(S$5="A",Inputs_Actuals!S95,INDEX(Inputs_Actuals!$E$95:$AB$95,Assumptions!$C$10))</f>
        <v>13</v>
      </c>
      <c r="T39" s="66" t="n">
        <f aca="false">IF(T$5="A",Inputs_Actuals!T95,INDEX(Inputs_Actuals!$E$95:$AB$95,Assumptions!$C$10))</f>
        <v>13</v>
      </c>
      <c r="U39" s="66" t="n">
        <f aca="false">IF(U$5="A",Inputs_Actuals!U95,INDEX(Inputs_Actuals!$E$95:$AB$95,Assumptions!$C$10))</f>
        <v>13</v>
      </c>
      <c r="V39" s="66" t="n">
        <f aca="false">IF(V$5="A",Inputs_Actuals!V95,INDEX(Inputs_Actuals!$E$95:$AB$95,Assumptions!$C$10))</f>
        <v>13</v>
      </c>
      <c r="W39" s="66" t="n">
        <f aca="false">IF(W$5="A",Inputs_Actuals!W95,INDEX(Inputs_Actuals!$E$95:$AB$95,Assumptions!$C$10))</f>
        <v>13</v>
      </c>
      <c r="X39" s="66" t="n">
        <f aca="false">IF(X$5="A",Inputs_Actuals!X95,INDEX(Inputs_Actuals!$E$95:$AB$95,Assumptions!$C$10))</f>
        <v>13</v>
      </c>
      <c r="Y39" s="66" t="n">
        <f aca="false">IF(Y$5="A",Inputs_Actuals!Y95,INDEX(Inputs_Actuals!$E$95:$AB$95,Assumptions!$C$10))</f>
        <v>13</v>
      </c>
      <c r="Z39" s="66" t="n">
        <f aca="false">IF(Z$5="A",Inputs_Actuals!Z95,INDEX(Inputs_Actuals!$E$95:$AB$95,Assumptions!$C$10))</f>
        <v>13</v>
      </c>
      <c r="AA39" s="66" t="n">
        <f aca="false">IF(AA$5="A",Inputs_Actuals!AA95,INDEX(Inputs_Actuals!$E$95:$AB$95,Assumptions!$C$10))</f>
        <v>13</v>
      </c>
      <c r="AB39" s="66" t="n">
        <f aca="false">IF(AB$5="A",Inputs_Actuals!AB95,INDEX(Inputs_Actuals!$E$95:$AB$95,Assumptions!$C$10))</f>
        <v>13</v>
      </c>
    </row>
    <row r="40" customFormat="false" ht="15" hidden="false" customHeight="false" outlineLevel="0" collapsed="false">
      <c r="A40" s="67" t="s">
        <v>351</v>
      </c>
      <c r="B40" s="68" t="s">
        <v>1259</v>
      </c>
      <c r="C40" s="69" t="n">
        <f aca="false">SUM(E40:P40)</f>
        <v>170254</v>
      </c>
      <c r="D40" s="69" t="n">
        <f aca="false">SUM(Q40:AB40)</f>
        <v>181083.6</v>
      </c>
      <c r="E40" s="74" t="n">
        <f aca="false">IF(E$5="A",Inputs_Actuals!E96,(E39*Assumptions!$C$39+Assumptions!$C$40)*Assumptions!E$104)</f>
        <v>13626</v>
      </c>
      <c r="F40" s="74" t="n">
        <f aca="false">IF(F$5="A",Inputs_Actuals!F96,(F39*Assumptions!$C$39+Assumptions!$C$40)*Assumptions!F$104)</f>
        <v>13713</v>
      </c>
      <c r="G40" s="74" t="n">
        <f aca="false">IF(G$5="A",Inputs_Actuals!G96,(G39*Assumptions!$C$39+Assumptions!$C$40)*Assumptions!G$104)</f>
        <v>13725</v>
      </c>
      <c r="H40" s="74" t="n">
        <f aca="false">IF(H$5="A",Inputs_Actuals!H96,(H39*Assumptions!$C$39+Assumptions!$C$40)*Assumptions!H$104)</f>
        <v>14065</v>
      </c>
      <c r="I40" s="74" t="n">
        <f aca="false">IF(I$5="A",Inputs_Actuals!I96,(I39*Assumptions!$C$39+Assumptions!$C$40)*Assumptions!I$104)</f>
        <v>13284</v>
      </c>
      <c r="J40" s="74" t="n">
        <f aca="false">IF(J$5="A",Inputs_Actuals!J96,(J39*Assumptions!$C$39+Assumptions!$C$40)*Assumptions!J$104)</f>
        <v>14685</v>
      </c>
      <c r="K40" s="74" t="n">
        <f aca="false">IF(K$5="A",Inputs_Actuals!K96,(K39*Assumptions!$C$39+Assumptions!$C$40)*Assumptions!K$104)</f>
        <v>15315</v>
      </c>
      <c r="L40" s="74" t="n">
        <f aca="false">IF(L$5="A",Inputs_Actuals!L96,(L39*Assumptions!$C$39+Assumptions!$C$40)*Assumptions!L$104)</f>
        <v>13521</v>
      </c>
      <c r="M40" s="74" t="n">
        <f aca="false">IF(M$5="A",Inputs_Actuals!M96,(M39*Assumptions!$C$39+Assumptions!$C$40)*Assumptions!M$104)</f>
        <v>14580</v>
      </c>
      <c r="N40" s="74" t="n">
        <f aca="false">IF(N$5="A",Inputs_Actuals!N96,(N39*Assumptions!$C$39+Assumptions!$C$40)*Assumptions!N$104)</f>
        <v>14580</v>
      </c>
      <c r="O40" s="74" t="n">
        <f aca="false">IF(O$5="A",Inputs_Actuals!O96,(O39*Assumptions!$C$39+Assumptions!$C$40)*Assumptions!O$104)</f>
        <v>14580</v>
      </c>
      <c r="P40" s="74" t="n">
        <f aca="false">IF(P$5="A",Inputs_Actuals!P96,(P39*Assumptions!$C$39+Assumptions!$C$40)*Assumptions!P$104)</f>
        <v>14580</v>
      </c>
      <c r="Q40" s="74" t="n">
        <f aca="false">IF(Q$5="A",Inputs_Actuals!Q96,(Q39*Assumptions!$C$39+Assumptions!$C$40)*Assumptions!Q$104)</f>
        <v>15090.3</v>
      </c>
      <c r="R40" s="74" t="n">
        <f aca="false">IF(R$5="A",Inputs_Actuals!R96,(R39*Assumptions!$C$39+Assumptions!$C$40)*Assumptions!R$104)</f>
        <v>15090.3</v>
      </c>
      <c r="S40" s="74" t="n">
        <f aca="false">IF(S$5="A",Inputs_Actuals!S96,(S39*Assumptions!$C$39+Assumptions!$C$40)*Assumptions!S$104)</f>
        <v>15090.3</v>
      </c>
      <c r="T40" s="74" t="n">
        <f aca="false">IF(T$5="A",Inputs_Actuals!T96,(T39*Assumptions!$C$39+Assumptions!$C$40)*Assumptions!T$104)</f>
        <v>15090.3</v>
      </c>
      <c r="U40" s="74" t="n">
        <f aca="false">IF(U$5="A",Inputs_Actuals!U96,(U39*Assumptions!$C$39+Assumptions!$C$40)*Assumptions!U$104)</f>
        <v>15090.3</v>
      </c>
      <c r="V40" s="74" t="n">
        <f aca="false">IF(V$5="A",Inputs_Actuals!V96,(V39*Assumptions!$C$39+Assumptions!$C$40)*Assumptions!V$104)</f>
        <v>15090.3</v>
      </c>
      <c r="W40" s="74" t="n">
        <f aca="false">IF(W$5="A",Inputs_Actuals!W96,(W39*Assumptions!$C$39+Assumptions!$C$40)*Assumptions!W$104)</f>
        <v>15090.3</v>
      </c>
      <c r="X40" s="74" t="n">
        <f aca="false">IF(X$5="A",Inputs_Actuals!X96,(X39*Assumptions!$C$39+Assumptions!$C$40)*Assumptions!X$104)</f>
        <v>15090.3</v>
      </c>
      <c r="Y40" s="74" t="n">
        <f aca="false">IF(Y$5="A",Inputs_Actuals!Y96,(Y39*Assumptions!$C$39+Assumptions!$C$40)*Assumptions!Y$104)</f>
        <v>15090.3</v>
      </c>
      <c r="Z40" s="74" t="n">
        <f aca="false">IF(Z$5="A",Inputs_Actuals!Z96,(Z39*Assumptions!$C$39+Assumptions!$C$40)*Assumptions!Z$104)</f>
        <v>15090.3</v>
      </c>
      <c r="AA40" s="74" t="n">
        <f aca="false">IF(AA$5="A",Inputs_Actuals!AA96,(AA39*Assumptions!$C$39+Assumptions!$C$40)*Assumptions!AA$104)</f>
        <v>15090.3</v>
      </c>
      <c r="AB40" s="74" t="n">
        <f aca="false">IF(AB$5="A",Inputs_Actuals!AB96,(AB39*Assumptions!$C$39+Assumptions!$C$40)*Assumptions!AB$104)</f>
        <v>15090.3</v>
      </c>
    </row>
    <row r="41" customFormat="false" ht="15" hidden="false" customHeight="false" outlineLevel="0" collapsed="false">
      <c r="A41" s="27" t="s">
        <v>1260</v>
      </c>
      <c r="B41" s="56"/>
      <c r="E41" s="123" t="n">
        <f aca="false">IF(E32=0,0,E40/E32)</f>
        <v>4.99708332408768</v>
      </c>
      <c r="F41" s="123" t="n">
        <f aca="false">IF(F32=0,0,F40/F32)</f>
        <v>6.04242274085229</v>
      </c>
      <c r="G41" s="123" t="n">
        <f aca="false">IF(G32=0,0,G40/G32)</f>
        <v>6.39565597360845</v>
      </c>
      <c r="H41" s="123" t="n">
        <f aca="false">IF(H32=0,0,H40/H32)</f>
        <v>6.72865440839847</v>
      </c>
      <c r="I41" s="123" t="n">
        <f aca="false">IF(I32=0,0,I40/I32)</f>
        <v>5.3094142997141</v>
      </c>
      <c r="J41" s="123" t="n">
        <f aca="false">IF(J32=0,0,J40/J32)</f>
        <v>4.93035836667299</v>
      </c>
      <c r="K41" s="123" t="n">
        <f aca="false">IF(K32=0,0,K40/K32)</f>
        <v>4.0515873015873</v>
      </c>
      <c r="L41" s="123" t="n">
        <f aca="false">IF(L32=0,0,L40/L32)</f>
        <v>3.57698412698413</v>
      </c>
      <c r="M41" s="123" t="n">
        <f aca="false">IF(M32=0,0,M40/M32)</f>
        <v>3.85714285714286</v>
      </c>
      <c r="N41" s="123" t="n">
        <f aca="false">IF(N32=0,0,N40/N32)</f>
        <v>3.85714285714286</v>
      </c>
      <c r="O41" s="123" t="n">
        <f aca="false">IF(O32=0,0,O40/O32)</f>
        <v>3.59113300492611</v>
      </c>
      <c r="P41" s="123" t="n">
        <f aca="false">IF(P32=0,0,P40/P32)</f>
        <v>3.7696563063729</v>
      </c>
      <c r="Q41" s="123" t="n">
        <f aca="false">IF(Q32=0,0,Q40/Q32)</f>
        <v>4.40597351808753</v>
      </c>
      <c r="R41" s="123" t="n">
        <f aca="false">IF(R32=0,0,R40/R32)</f>
        <v>5.13759852446474</v>
      </c>
      <c r="S41" s="123" t="n">
        <f aca="false">IF(S32=0,0,S40/S32)</f>
        <v>5.64302445244874</v>
      </c>
      <c r="T41" s="123" t="n">
        <f aca="false">IF(T32=0,0,T40/T32)</f>
        <v>4.96488559887593</v>
      </c>
      <c r="U41" s="123" t="n">
        <f aca="false">IF(U32=0,0,U40/U32)</f>
        <v>4.0921957034877</v>
      </c>
      <c r="V41" s="123" t="n">
        <f aca="false">IF(V32=0,0,V40/V32)</f>
        <v>3.64980507622711</v>
      </c>
      <c r="W41" s="123" t="n">
        <f aca="false">IF(W32=0,0,W40/W32)</f>
        <v>3.51512533120835</v>
      </c>
      <c r="X41" s="123" t="n">
        <f aca="false">IF(X32=0,0,X40/X32)</f>
        <v>3.62059717975279</v>
      </c>
      <c r="Y41" s="123" t="n">
        <f aca="false">IF(Y32=0,0,Y40/Y32)</f>
        <v>3.89729565016781</v>
      </c>
      <c r="Z41" s="123" t="n">
        <f aca="false">IF(Z32=0,0,Z40/Z32)</f>
        <v>4.13803329162641</v>
      </c>
      <c r="AA41" s="123" t="n">
        <f aca="false">IF(AA32=0,0,AA40/AA32)</f>
        <v>4.32523006871212</v>
      </c>
      <c r="AB41" s="123" t="n">
        <f aca="false">IF(AB32=0,0,AB40/AB32)</f>
        <v>4.62459473919726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1261</v>
      </c>
    </row>
    <row r="3" customFormat="false" ht="15" hidden="false" customHeight="false" outlineLevel="0" collapsed="false">
      <c r="A3" s="47" t="s">
        <v>1262</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1263</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1264</v>
      </c>
      <c r="B9" s="56" t="s">
        <v>1265</v>
      </c>
      <c r="C9" s="71" t="n">
        <v>8500</v>
      </c>
      <c r="D9" s="124" t="n">
        <v>43555</v>
      </c>
      <c r="E9" s="58" t="n">
        <f aca="false">IF(Assumptions!E$95&gt;=$D$9,$C$9*Assumptions!E$104,0)</f>
        <v>8500</v>
      </c>
      <c r="F9" s="58" t="n">
        <f aca="false">IF(Assumptions!F$95&gt;=$D$9,$C$9*Assumptions!F$104,0)</f>
        <v>8500</v>
      </c>
      <c r="G9" s="58" t="n">
        <f aca="false">IF(Assumptions!G$95&gt;=$D$9,$C$9*Assumptions!G$104,0)</f>
        <v>8500</v>
      </c>
      <c r="H9" s="58" t="n">
        <f aca="false">IF(Assumptions!H$95&gt;=$D$9,$C$9*Assumptions!H$104,0)</f>
        <v>8500</v>
      </c>
      <c r="I9" s="58" t="n">
        <f aca="false">IF(Assumptions!I$95&gt;=$D$9,$C$9*Assumptions!I$104,0)</f>
        <v>8500</v>
      </c>
      <c r="J9" s="58" t="n">
        <f aca="false">IF(Assumptions!J$95&gt;=$D$9,$C$9*Assumptions!J$104,0)</f>
        <v>8500</v>
      </c>
      <c r="K9" s="58" t="n">
        <f aca="false">IF(Assumptions!K$95&gt;=$D$9,$C$9*Assumptions!K$104,0)</f>
        <v>8500</v>
      </c>
      <c r="L9" s="58" t="n">
        <f aca="false">IF(Assumptions!L$95&gt;=$D$9,$C$9*Assumptions!L$104,0)</f>
        <v>8500</v>
      </c>
      <c r="M9" s="58" t="n">
        <f aca="false">IF(Assumptions!M$95&gt;=$D$9,$C$9*Assumptions!M$104,0)</f>
        <v>8500</v>
      </c>
      <c r="N9" s="58" t="n">
        <f aca="false">IF(Assumptions!N$95&gt;=$D$9,$C$9*Assumptions!N$104,0)</f>
        <v>8500</v>
      </c>
      <c r="O9" s="58" t="n">
        <f aca="false">IF(Assumptions!O$95&gt;=$D$9,$C$9*Assumptions!O$104,0)</f>
        <v>8500</v>
      </c>
      <c r="P9" s="58" t="n">
        <f aca="false">IF(Assumptions!P$95&gt;=$D$9,$C$9*Assumptions!P$104,0)</f>
        <v>8500</v>
      </c>
      <c r="Q9" s="58" t="n">
        <f aca="false">IF(Assumptions!Q$95&gt;=$D$9,$C$9*Assumptions!Q$104,0)</f>
        <v>8797.5</v>
      </c>
      <c r="R9" s="58" t="n">
        <f aca="false">IF(Assumptions!R$95&gt;=$D$9,$C$9*Assumptions!R$104,0)</f>
        <v>8797.5</v>
      </c>
      <c r="S9" s="58" t="n">
        <f aca="false">IF(Assumptions!S$95&gt;=$D$9,$C$9*Assumptions!S$104,0)</f>
        <v>8797.5</v>
      </c>
      <c r="T9" s="58" t="n">
        <f aca="false">IF(Assumptions!T$95&gt;=$D$9,$C$9*Assumptions!T$104,0)</f>
        <v>8797.5</v>
      </c>
      <c r="U9" s="58" t="n">
        <f aca="false">IF(Assumptions!U$95&gt;=$D$9,$C$9*Assumptions!U$104,0)</f>
        <v>8797.5</v>
      </c>
      <c r="V9" s="58" t="n">
        <f aca="false">IF(Assumptions!V$95&gt;=$D$9,$C$9*Assumptions!V$104,0)</f>
        <v>8797.5</v>
      </c>
      <c r="W9" s="58" t="n">
        <f aca="false">IF(Assumptions!W$95&gt;=$D$9,$C$9*Assumptions!W$104,0)</f>
        <v>8797.5</v>
      </c>
      <c r="X9" s="58" t="n">
        <f aca="false">IF(Assumptions!X$95&gt;=$D$9,$C$9*Assumptions!X$104,0)</f>
        <v>8797.5</v>
      </c>
      <c r="Y9" s="58" t="n">
        <f aca="false">IF(Assumptions!Y$95&gt;=$D$9,$C$9*Assumptions!Y$104,0)</f>
        <v>8797.5</v>
      </c>
      <c r="Z9" s="58" t="n">
        <f aca="false">IF(Assumptions!Z$95&gt;=$D$9,$C$9*Assumptions!Z$104,0)</f>
        <v>8797.5</v>
      </c>
      <c r="AA9" s="58" t="n">
        <f aca="false">IF(Assumptions!AA$95&gt;=$D$9,$C$9*Assumptions!AA$104,0)</f>
        <v>8797.5</v>
      </c>
      <c r="AB9" s="58" t="n">
        <f aca="false">IF(Assumptions!AB$95&gt;=$D$9,$C$9*Assumptions!AB$104,0)</f>
        <v>8797.5</v>
      </c>
    </row>
    <row r="10" customFormat="false" ht="15" hidden="false" customHeight="false" outlineLevel="0" collapsed="false">
      <c r="A10" s="27" t="s">
        <v>263</v>
      </c>
      <c r="B10" s="56" t="s">
        <v>1265</v>
      </c>
      <c r="C10" s="71" t="n">
        <v>5800</v>
      </c>
      <c r="D10" s="124" t="n">
        <v>44469</v>
      </c>
      <c r="E10" s="58" t="n">
        <f aca="false">IF(Assumptions!E$95&gt;=$D$10,$C$10*Assumptions!E$104,0)</f>
        <v>5800</v>
      </c>
      <c r="F10" s="58" t="n">
        <f aca="false">IF(Assumptions!F$95&gt;=$D$10,$C$10*Assumptions!F$104,0)</f>
        <v>5800</v>
      </c>
      <c r="G10" s="58" t="n">
        <f aca="false">IF(Assumptions!G$95&gt;=$D$10,$C$10*Assumptions!G$104,0)</f>
        <v>5800</v>
      </c>
      <c r="H10" s="58" t="n">
        <f aca="false">IF(Assumptions!H$95&gt;=$D$10,$C$10*Assumptions!H$104,0)</f>
        <v>5800</v>
      </c>
      <c r="I10" s="58" t="n">
        <f aca="false">IF(Assumptions!I$95&gt;=$D$10,$C$10*Assumptions!I$104,0)</f>
        <v>5800</v>
      </c>
      <c r="J10" s="58" t="n">
        <f aca="false">IF(Assumptions!J$95&gt;=$D$10,$C$10*Assumptions!J$104,0)</f>
        <v>5800</v>
      </c>
      <c r="K10" s="58" t="n">
        <f aca="false">IF(Assumptions!K$95&gt;=$D$10,$C$10*Assumptions!K$104,0)</f>
        <v>5800</v>
      </c>
      <c r="L10" s="58" t="n">
        <f aca="false">IF(Assumptions!L$95&gt;=$D$10,$C$10*Assumptions!L$104,0)</f>
        <v>5800</v>
      </c>
      <c r="M10" s="58" t="n">
        <f aca="false">IF(Assumptions!M$95&gt;=$D$10,$C$10*Assumptions!M$104,0)</f>
        <v>5800</v>
      </c>
      <c r="N10" s="58" t="n">
        <f aca="false">IF(Assumptions!N$95&gt;=$D$10,$C$10*Assumptions!N$104,0)</f>
        <v>5800</v>
      </c>
      <c r="O10" s="58" t="n">
        <f aca="false">IF(Assumptions!O$95&gt;=$D$10,$C$10*Assumptions!O$104,0)</f>
        <v>5800</v>
      </c>
      <c r="P10" s="58" t="n">
        <f aca="false">IF(Assumptions!P$95&gt;=$D$10,$C$10*Assumptions!P$104,0)</f>
        <v>5800</v>
      </c>
      <c r="Q10" s="58" t="n">
        <f aca="false">IF(Assumptions!Q$95&gt;=$D$10,$C$10*Assumptions!Q$104,0)</f>
        <v>6003</v>
      </c>
      <c r="R10" s="58" t="n">
        <f aca="false">IF(Assumptions!R$95&gt;=$D$10,$C$10*Assumptions!R$104,0)</f>
        <v>6003</v>
      </c>
      <c r="S10" s="58" t="n">
        <f aca="false">IF(Assumptions!S$95&gt;=$D$10,$C$10*Assumptions!S$104,0)</f>
        <v>6003</v>
      </c>
      <c r="T10" s="58" t="n">
        <f aca="false">IF(Assumptions!T$95&gt;=$D$10,$C$10*Assumptions!T$104,0)</f>
        <v>6003</v>
      </c>
      <c r="U10" s="58" t="n">
        <f aca="false">IF(Assumptions!U$95&gt;=$D$10,$C$10*Assumptions!U$104,0)</f>
        <v>6003</v>
      </c>
      <c r="V10" s="58" t="n">
        <f aca="false">IF(Assumptions!V$95&gt;=$D$10,$C$10*Assumptions!V$104,0)</f>
        <v>6003</v>
      </c>
      <c r="W10" s="58" t="n">
        <f aca="false">IF(Assumptions!W$95&gt;=$D$10,$C$10*Assumptions!W$104,0)</f>
        <v>6003</v>
      </c>
      <c r="X10" s="58" t="n">
        <f aca="false">IF(Assumptions!X$95&gt;=$D$10,$C$10*Assumptions!X$104,0)</f>
        <v>6003</v>
      </c>
      <c r="Y10" s="58" t="n">
        <f aca="false">IF(Assumptions!Y$95&gt;=$D$10,$C$10*Assumptions!Y$104,0)</f>
        <v>6003</v>
      </c>
      <c r="Z10" s="58" t="n">
        <f aca="false">IF(Assumptions!Z$95&gt;=$D$10,$C$10*Assumptions!Z$104,0)</f>
        <v>6003</v>
      </c>
      <c r="AA10" s="58" t="n">
        <f aca="false">IF(Assumptions!AA$95&gt;=$D$10,$C$10*Assumptions!AA$104,0)</f>
        <v>6003</v>
      </c>
      <c r="AB10" s="58" t="n">
        <f aca="false">IF(Assumptions!AB$95&gt;=$D$10,$C$10*Assumptions!AB$104,0)</f>
        <v>6003</v>
      </c>
    </row>
    <row r="11" customFormat="false" ht="15" hidden="false" customHeight="false" outlineLevel="0" collapsed="false">
      <c r="A11" s="27" t="s">
        <v>1266</v>
      </c>
      <c r="B11" s="56" t="s">
        <v>1265</v>
      </c>
      <c r="C11" s="71" t="n">
        <v>6500</v>
      </c>
      <c r="D11" s="124" t="n">
        <v>43982</v>
      </c>
      <c r="E11" s="58" t="n">
        <f aca="false">IF(Assumptions!E$95&gt;=$D$11,$C$11*Assumptions!E$104,0)</f>
        <v>6500</v>
      </c>
      <c r="F11" s="58" t="n">
        <f aca="false">IF(Assumptions!F$95&gt;=$D$11,$C$11*Assumptions!F$104,0)</f>
        <v>6500</v>
      </c>
      <c r="G11" s="58" t="n">
        <f aca="false">IF(Assumptions!G$95&gt;=$D$11,$C$11*Assumptions!G$104,0)</f>
        <v>6500</v>
      </c>
      <c r="H11" s="58" t="n">
        <f aca="false">IF(Assumptions!H$95&gt;=$D$11,$C$11*Assumptions!H$104,0)</f>
        <v>6500</v>
      </c>
      <c r="I11" s="58" t="n">
        <f aca="false">IF(Assumptions!I$95&gt;=$D$11,$C$11*Assumptions!I$104,0)</f>
        <v>6500</v>
      </c>
      <c r="J11" s="58" t="n">
        <f aca="false">IF(Assumptions!J$95&gt;=$D$11,$C$11*Assumptions!J$104,0)</f>
        <v>6500</v>
      </c>
      <c r="K11" s="58" t="n">
        <f aca="false">IF(Assumptions!K$95&gt;=$D$11,$C$11*Assumptions!K$104,0)</f>
        <v>6500</v>
      </c>
      <c r="L11" s="58" t="n">
        <f aca="false">IF(Assumptions!L$95&gt;=$D$11,$C$11*Assumptions!L$104,0)</f>
        <v>6500</v>
      </c>
      <c r="M11" s="58" t="n">
        <f aca="false">IF(Assumptions!M$95&gt;=$D$11,$C$11*Assumptions!M$104,0)</f>
        <v>6500</v>
      </c>
      <c r="N11" s="58" t="n">
        <f aca="false">IF(Assumptions!N$95&gt;=$D$11,$C$11*Assumptions!N$104,0)</f>
        <v>6500</v>
      </c>
      <c r="O11" s="58" t="n">
        <f aca="false">IF(Assumptions!O$95&gt;=$D$11,$C$11*Assumptions!O$104,0)</f>
        <v>6500</v>
      </c>
      <c r="P11" s="58" t="n">
        <f aca="false">IF(Assumptions!P$95&gt;=$D$11,$C$11*Assumptions!P$104,0)</f>
        <v>6500</v>
      </c>
      <c r="Q11" s="58" t="n">
        <f aca="false">IF(Assumptions!Q$95&gt;=$D$11,$C$11*Assumptions!Q$104,0)</f>
        <v>6727.5</v>
      </c>
      <c r="R11" s="58" t="n">
        <f aca="false">IF(Assumptions!R$95&gt;=$D$11,$C$11*Assumptions!R$104,0)</f>
        <v>6727.5</v>
      </c>
      <c r="S11" s="58" t="n">
        <f aca="false">IF(Assumptions!S$95&gt;=$D$11,$C$11*Assumptions!S$104,0)</f>
        <v>6727.5</v>
      </c>
      <c r="T11" s="58" t="n">
        <f aca="false">IF(Assumptions!T$95&gt;=$D$11,$C$11*Assumptions!T$104,0)</f>
        <v>6727.5</v>
      </c>
      <c r="U11" s="58" t="n">
        <f aca="false">IF(Assumptions!U$95&gt;=$D$11,$C$11*Assumptions!U$104,0)</f>
        <v>6727.5</v>
      </c>
      <c r="V11" s="58" t="n">
        <f aca="false">IF(Assumptions!V$95&gt;=$D$11,$C$11*Assumptions!V$104,0)</f>
        <v>6727.5</v>
      </c>
      <c r="W11" s="58" t="n">
        <f aca="false">IF(Assumptions!W$95&gt;=$D$11,$C$11*Assumptions!W$104,0)</f>
        <v>6727.5</v>
      </c>
      <c r="X11" s="58" t="n">
        <f aca="false">IF(Assumptions!X$95&gt;=$D$11,$C$11*Assumptions!X$104,0)</f>
        <v>6727.5</v>
      </c>
      <c r="Y11" s="58" t="n">
        <f aca="false">IF(Assumptions!Y$95&gt;=$D$11,$C$11*Assumptions!Y$104,0)</f>
        <v>6727.5</v>
      </c>
      <c r="Z11" s="58" t="n">
        <f aca="false">IF(Assumptions!Z$95&gt;=$D$11,$C$11*Assumptions!Z$104,0)</f>
        <v>6727.5</v>
      </c>
      <c r="AA11" s="58" t="n">
        <f aca="false">IF(Assumptions!AA$95&gt;=$D$11,$C$11*Assumptions!AA$104,0)</f>
        <v>6727.5</v>
      </c>
      <c r="AB11" s="58" t="n">
        <f aca="false">IF(Assumptions!AB$95&gt;=$D$11,$C$11*Assumptions!AB$104,0)</f>
        <v>6727.5</v>
      </c>
    </row>
    <row r="12" customFormat="false" ht="15" hidden="false" customHeight="false" outlineLevel="0" collapsed="false">
      <c r="A12" s="27" t="s">
        <v>1267</v>
      </c>
      <c r="B12" s="56" t="s">
        <v>1265</v>
      </c>
      <c r="C12" s="71" t="n">
        <v>4600</v>
      </c>
      <c r="D12" s="124" t="n">
        <v>44985</v>
      </c>
      <c r="E12" s="58" t="n">
        <f aca="false">IF(Assumptions!E$95&gt;=$D$12,$C$12*Assumptions!E$104,0)</f>
        <v>4600</v>
      </c>
      <c r="F12" s="58" t="n">
        <f aca="false">IF(Assumptions!F$95&gt;=$D$12,$C$12*Assumptions!F$104,0)</f>
        <v>4600</v>
      </c>
      <c r="G12" s="58" t="n">
        <f aca="false">IF(Assumptions!G$95&gt;=$D$12,$C$12*Assumptions!G$104,0)</f>
        <v>4600</v>
      </c>
      <c r="H12" s="58" t="n">
        <f aca="false">IF(Assumptions!H$95&gt;=$D$12,$C$12*Assumptions!H$104,0)</f>
        <v>4600</v>
      </c>
      <c r="I12" s="58" t="n">
        <f aca="false">IF(Assumptions!I$95&gt;=$D$12,$C$12*Assumptions!I$104,0)</f>
        <v>4600</v>
      </c>
      <c r="J12" s="58" t="n">
        <f aca="false">IF(Assumptions!J$95&gt;=$D$12,$C$12*Assumptions!J$104,0)</f>
        <v>4600</v>
      </c>
      <c r="K12" s="58" t="n">
        <f aca="false">IF(Assumptions!K$95&gt;=$D$12,$C$12*Assumptions!K$104,0)</f>
        <v>4600</v>
      </c>
      <c r="L12" s="58" t="n">
        <f aca="false">IF(Assumptions!L$95&gt;=$D$12,$C$12*Assumptions!L$104,0)</f>
        <v>4600</v>
      </c>
      <c r="M12" s="58" t="n">
        <f aca="false">IF(Assumptions!M$95&gt;=$D$12,$C$12*Assumptions!M$104,0)</f>
        <v>4600</v>
      </c>
      <c r="N12" s="58" t="n">
        <f aca="false">IF(Assumptions!N$95&gt;=$D$12,$C$12*Assumptions!N$104,0)</f>
        <v>4600</v>
      </c>
      <c r="O12" s="58" t="n">
        <f aca="false">IF(Assumptions!O$95&gt;=$D$12,$C$12*Assumptions!O$104,0)</f>
        <v>4600</v>
      </c>
      <c r="P12" s="58" t="n">
        <f aca="false">IF(Assumptions!P$95&gt;=$D$12,$C$12*Assumptions!P$104,0)</f>
        <v>4600</v>
      </c>
      <c r="Q12" s="58" t="n">
        <f aca="false">IF(Assumptions!Q$95&gt;=$D$12,$C$12*Assumptions!Q$104,0)</f>
        <v>4761</v>
      </c>
      <c r="R12" s="58" t="n">
        <f aca="false">IF(Assumptions!R$95&gt;=$D$12,$C$12*Assumptions!R$104,0)</f>
        <v>4761</v>
      </c>
      <c r="S12" s="58" t="n">
        <f aca="false">IF(Assumptions!S$95&gt;=$D$12,$C$12*Assumptions!S$104,0)</f>
        <v>4761</v>
      </c>
      <c r="T12" s="58" t="n">
        <f aca="false">IF(Assumptions!T$95&gt;=$D$12,$C$12*Assumptions!T$104,0)</f>
        <v>4761</v>
      </c>
      <c r="U12" s="58" t="n">
        <f aca="false">IF(Assumptions!U$95&gt;=$D$12,$C$12*Assumptions!U$104,0)</f>
        <v>4761</v>
      </c>
      <c r="V12" s="58" t="n">
        <f aca="false">IF(Assumptions!V$95&gt;=$D$12,$C$12*Assumptions!V$104,0)</f>
        <v>4761</v>
      </c>
      <c r="W12" s="58" t="n">
        <f aca="false">IF(Assumptions!W$95&gt;=$D$12,$C$12*Assumptions!W$104,0)</f>
        <v>4761</v>
      </c>
      <c r="X12" s="58" t="n">
        <f aca="false">IF(Assumptions!X$95&gt;=$D$12,$C$12*Assumptions!X$104,0)</f>
        <v>4761</v>
      </c>
      <c r="Y12" s="58" t="n">
        <f aca="false">IF(Assumptions!Y$95&gt;=$D$12,$C$12*Assumptions!Y$104,0)</f>
        <v>4761</v>
      </c>
      <c r="Z12" s="58" t="n">
        <f aca="false">IF(Assumptions!Z$95&gt;=$D$12,$C$12*Assumptions!Z$104,0)</f>
        <v>4761</v>
      </c>
      <c r="AA12" s="58" t="n">
        <f aca="false">IF(Assumptions!AA$95&gt;=$D$12,$C$12*Assumptions!AA$104,0)</f>
        <v>4761</v>
      </c>
      <c r="AB12" s="58" t="n">
        <f aca="false">IF(Assumptions!AB$95&gt;=$D$12,$C$12*Assumptions!AB$104,0)</f>
        <v>4761</v>
      </c>
    </row>
    <row r="13" customFormat="false" ht="15" hidden="false" customHeight="false" outlineLevel="0" collapsed="false">
      <c r="A13" s="27" t="s">
        <v>1268</v>
      </c>
      <c r="B13" s="56" t="s">
        <v>1265</v>
      </c>
      <c r="C13" s="71" t="n">
        <v>4800</v>
      </c>
      <c r="D13" s="124" t="n">
        <v>44742</v>
      </c>
      <c r="E13" s="58" t="n">
        <f aca="false">IF(Assumptions!E$95&gt;=$D$13,$C$13*Assumptions!E$104,0)</f>
        <v>4800</v>
      </c>
      <c r="F13" s="58" t="n">
        <f aca="false">IF(Assumptions!F$95&gt;=$D$13,$C$13*Assumptions!F$104,0)</f>
        <v>4800</v>
      </c>
      <c r="G13" s="58" t="n">
        <f aca="false">IF(Assumptions!G$95&gt;=$D$13,$C$13*Assumptions!G$104,0)</f>
        <v>4800</v>
      </c>
      <c r="H13" s="58" t="n">
        <f aca="false">IF(Assumptions!H$95&gt;=$D$13,$C$13*Assumptions!H$104,0)</f>
        <v>4800</v>
      </c>
      <c r="I13" s="58" t="n">
        <f aca="false">IF(Assumptions!I$95&gt;=$D$13,$C$13*Assumptions!I$104,0)</f>
        <v>4800</v>
      </c>
      <c r="J13" s="58" t="n">
        <f aca="false">IF(Assumptions!J$95&gt;=$D$13,$C$13*Assumptions!J$104,0)</f>
        <v>4800</v>
      </c>
      <c r="K13" s="58" t="n">
        <f aca="false">IF(Assumptions!K$95&gt;=$D$13,$C$13*Assumptions!K$104,0)</f>
        <v>4800</v>
      </c>
      <c r="L13" s="58" t="n">
        <f aca="false">IF(Assumptions!L$95&gt;=$D$13,$C$13*Assumptions!L$104,0)</f>
        <v>4800</v>
      </c>
      <c r="M13" s="58" t="n">
        <f aca="false">IF(Assumptions!M$95&gt;=$D$13,$C$13*Assumptions!M$104,0)</f>
        <v>4800</v>
      </c>
      <c r="N13" s="58" t="n">
        <f aca="false">IF(Assumptions!N$95&gt;=$D$13,$C$13*Assumptions!N$104,0)</f>
        <v>4800</v>
      </c>
      <c r="O13" s="58" t="n">
        <f aca="false">IF(Assumptions!O$95&gt;=$D$13,$C$13*Assumptions!O$104,0)</f>
        <v>4800</v>
      </c>
      <c r="P13" s="58" t="n">
        <f aca="false">IF(Assumptions!P$95&gt;=$D$13,$C$13*Assumptions!P$104,0)</f>
        <v>4800</v>
      </c>
      <c r="Q13" s="58" t="n">
        <f aca="false">IF(Assumptions!Q$95&gt;=$D$13,$C$13*Assumptions!Q$104,0)</f>
        <v>4968</v>
      </c>
      <c r="R13" s="58" t="n">
        <f aca="false">IF(Assumptions!R$95&gt;=$D$13,$C$13*Assumptions!R$104,0)</f>
        <v>4968</v>
      </c>
      <c r="S13" s="58" t="n">
        <f aca="false">IF(Assumptions!S$95&gt;=$D$13,$C$13*Assumptions!S$104,0)</f>
        <v>4968</v>
      </c>
      <c r="T13" s="58" t="n">
        <f aca="false">IF(Assumptions!T$95&gt;=$D$13,$C$13*Assumptions!T$104,0)</f>
        <v>4968</v>
      </c>
      <c r="U13" s="58" t="n">
        <f aca="false">IF(Assumptions!U$95&gt;=$D$13,$C$13*Assumptions!U$104,0)</f>
        <v>4968</v>
      </c>
      <c r="V13" s="58" t="n">
        <f aca="false">IF(Assumptions!V$95&gt;=$D$13,$C$13*Assumptions!V$104,0)</f>
        <v>4968</v>
      </c>
      <c r="W13" s="58" t="n">
        <f aca="false">IF(Assumptions!W$95&gt;=$D$13,$C$13*Assumptions!W$104,0)</f>
        <v>4968</v>
      </c>
      <c r="X13" s="58" t="n">
        <f aca="false">IF(Assumptions!X$95&gt;=$D$13,$C$13*Assumptions!X$104,0)</f>
        <v>4968</v>
      </c>
      <c r="Y13" s="58" t="n">
        <f aca="false">IF(Assumptions!Y$95&gt;=$D$13,$C$13*Assumptions!Y$104,0)</f>
        <v>4968</v>
      </c>
      <c r="Z13" s="58" t="n">
        <f aca="false">IF(Assumptions!Z$95&gt;=$D$13,$C$13*Assumptions!Z$104,0)</f>
        <v>4968</v>
      </c>
      <c r="AA13" s="58" t="n">
        <f aca="false">IF(Assumptions!AA$95&gt;=$D$13,$C$13*Assumptions!AA$104,0)</f>
        <v>4968</v>
      </c>
      <c r="AB13" s="58" t="n">
        <f aca="false">IF(Assumptions!AB$95&gt;=$D$13,$C$13*Assumptions!AB$104,0)</f>
        <v>4968</v>
      </c>
    </row>
    <row r="14" customFormat="false" ht="15" hidden="false" customHeight="false" outlineLevel="0" collapsed="false">
      <c r="A14" s="27" t="s">
        <v>1269</v>
      </c>
      <c r="B14" s="56" t="s">
        <v>1265</v>
      </c>
      <c r="C14" s="71" t="n">
        <v>4100</v>
      </c>
      <c r="D14" s="124" t="n">
        <v>44592</v>
      </c>
      <c r="E14" s="58" t="n">
        <f aca="false">IF(Assumptions!E$95&gt;=$D$14,$C$14*Assumptions!E$104,0)</f>
        <v>4100</v>
      </c>
      <c r="F14" s="58" t="n">
        <f aca="false">IF(Assumptions!F$95&gt;=$D$14,$C$14*Assumptions!F$104,0)</f>
        <v>4100</v>
      </c>
      <c r="G14" s="58" t="n">
        <f aca="false">IF(Assumptions!G$95&gt;=$D$14,$C$14*Assumptions!G$104,0)</f>
        <v>4100</v>
      </c>
      <c r="H14" s="58" t="n">
        <f aca="false">IF(Assumptions!H$95&gt;=$D$14,$C$14*Assumptions!H$104,0)</f>
        <v>4100</v>
      </c>
      <c r="I14" s="58" t="n">
        <f aca="false">IF(Assumptions!I$95&gt;=$D$14,$C$14*Assumptions!I$104,0)</f>
        <v>4100</v>
      </c>
      <c r="J14" s="58" t="n">
        <f aca="false">IF(Assumptions!J$95&gt;=$D$14,$C$14*Assumptions!J$104,0)</f>
        <v>4100</v>
      </c>
      <c r="K14" s="58" t="n">
        <f aca="false">IF(Assumptions!K$95&gt;=$D$14,$C$14*Assumptions!K$104,0)</f>
        <v>4100</v>
      </c>
      <c r="L14" s="58" t="n">
        <f aca="false">IF(Assumptions!L$95&gt;=$D$14,$C$14*Assumptions!L$104,0)</f>
        <v>4100</v>
      </c>
      <c r="M14" s="58" t="n">
        <f aca="false">IF(Assumptions!M$95&gt;=$D$14,$C$14*Assumptions!M$104,0)</f>
        <v>4100</v>
      </c>
      <c r="N14" s="58" t="n">
        <f aca="false">IF(Assumptions!N$95&gt;=$D$14,$C$14*Assumptions!N$104,0)</f>
        <v>4100</v>
      </c>
      <c r="O14" s="58" t="n">
        <f aca="false">IF(Assumptions!O$95&gt;=$D$14,$C$14*Assumptions!O$104,0)</f>
        <v>4100</v>
      </c>
      <c r="P14" s="58" t="n">
        <f aca="false">IF(Assumptions!P$95&gt;=$D$14,$C$14*Assumptions!P$104,0)</f>
        <v>4100</v>
      </c>
      <c r="Q14" s="58" t="n">
        <f aca="false">IF(Assumptions!Q$95&gt;=$D$14,$C$14*Assumptions!Q$104,0)</f>
        <v>4243.5</v>
      </c>
      <c r="R14" s="58" t="n">
        <f aca="false">IF(Assumptions!R$95&gt;=$D$14,$C$14*Assumptions!R$104,0)</f>
        <v>4243.5</v>
      </c>
      <c r="S14" s="58" t="n">
        <f aca="false">IF(Assumptions!S$95&gt;=$D$14,$C$14*Assumptions!S$104,0)</f>
        <v>4243.5</v>
      </c>
      <c r="T14" s="58" t="n">
        <f aca="false">IF(Assumptions!T$95&gt;=$D$14,$C$14*Assumptions!T$104,0)</f>
        <v>4243.5</v>
      </c>
      <c r="U14" s="58" t="n">
        <f aca="false">IF(Assumptions!U$95&gt;=$D$14,$C$14*Assumptions!U$104,0)</f>
        <v>4243.5</v>
      </c>
      <c r="V14" s="58" t="n">
        <f aca="false">IF(Assumptions!V$95&gt;=$D$14,$C$14*Assumptions!V$104,0)</f>
        <v>4243.5</v>
      </c>
      <c r="W14" s="58" t="n">
        <f aca="false">IF(Assumptions!W$95&gt;=$D$14,$C$14*Assumptions!W$104,0)</f>
        <v>4243.5</v>
      </c>
      <c r="X14" s="58" t="n">
        <f aca="false">IF(Assumptions!X$95&gt;=$D$14,$C$14*Assumptions!X$104,0)</f>
        <v>4243.5</v>
      </c>
      <c r="Y14" s="58" t="n">
        <f aca="false">IF(Assumptions!Y$95&gt;=$D$14,$C$14*Assumptions!Y$104,0)</f>
        <v>4243.5</v>
      </c>
      <c r="Z14" s="58" t="n">
        <f aca="false">IF(Assumptions!Z$95&gt;=$D$14,$C$14*Assumptions!Z$104,0)</f>
        <v>4243.5</v>
      </c>
      <c r="AA14" s="58" t="n">
        <f aca="false">IF(Assumptions!AA$95&gt;=$D$14,$C$14*Assumptions!AA$104,0)</f>
        <v>4243.5</v>
      </c>
      <c r="AB14" s="58" t="n">
        <f aca="false">IF(Assumptions!AB$95&gt;=$D$14,$C$14*Assumptions!AB$104,0)</f>
        <v>4243.5</v>
      </c>
    </row>
    <row r="15" customFormat="false" ht="15" hidden="false" customHeight="false" outlineLevel="0" collapsed="false">
      <c r="A15" s="27" t="s">
        <v>1270</v>
      </c>
      <c r="B15" s="56" t="s">
        <v>1265</v>
      </c>
      <c r="C15" s="71" t="n">
        <v>3000</v>
      </c>
      <c r="D15" s="124" t="n">
        <v>45169</v>
      </c>
      <c r="E15" s="58" t="n">
        <f aca="false">IF(Assumptions!E$95&gt;=$D$15,$C$15*Assumptions!E$104,0)</f>
        <v>3000</v>
      </c>
      <c r="F15" s="58" t="n">
        <f aca="false">IF(Assumptions!F$95&gt;=$D$15,$C$15*Assumptions!F$104,0)</f>
        <v>3000</v>
      </c>
      <c r="G15" s="58" t="n">
        <f aca="false">IF(Assumptions!G$95&gt;=$D$15,$C$15*Assumptions!G$104,0)</f>
        <v>3000</v>
      </c>
      <c r="H15" s="58" t="n">
        <f aca="false">IF(Assumptions!H$95&gt;=$D$15,$C$15*Assumptions!H$104,0)</f>
        <v>3000</v>
      </c>
      <c r="I15" s="58" t="n">
        <f aca="false">IF(Assumptions!I$95&gt;=$D$15,$C$15*Assumptions!I$104,0)</f>
        <v>3000</v>
      </c>
      <c r="J15" s="58" t="n">
        <f aca="false">IF(Assumptions!J$95&gt;=$D$15,$C$15*Assumptions!J$104,0)</f>
        <v>3000</v>
      </c>
      <c r="K15" s="58" t="n">
        <f aca="false">IF(Assumptions!K$95&gt;=$D$15,$C$15*Assumptions!K$104,0)</f>
        <v>3000</v>
      </c>
      <c r="L15" s="58" t="n">
        <f aca="false">IF(Assumptions!L$95&gt;=$D$15,$C$15*Assumptions!L$104,0)</f>
        <v>3000</v>
      </c>
      <c r="M15" s="58" t="n">
        <f aca="false">IF(Assumptions!M$95&gt;=$D$15,$C$15*Assumptions!M$104,0)</f>
        <v>3000</v>
      </c>
      <c r="N15" s="58" t="n">
        <f aca="false">IF(Assumptions!N$95&gt;=$D$15,$C$15*Assumptions!N$104,0)</f>
        <v>3000</v>
      </c>
      <c r="O15" s="58" t="n">
        <f aca="false">IF(Assumptions!O$95&gt;=$D$15,$C$15*Assumptions!O$104,0)</f>
        <v>3000</v>
      </c>
      <c r="P15" s="58" t="n">
        <f aca="false">IF(Assumptions!P$95&gt;=$D$15,$C$15*Assumptions!P$104,0)</f>
        <v>3000</v>
      </c>
      <c r="Q15" s="58" t="n">
        <f aca="false">IF(Assumptions!Q$95&gt;=$D$15,$C$15*Assumptions!Q$104,0)</f>
        <v>3105</v>
      </c>
      <c r="R15" s="58" t="n">
        <f aca="false">IF(Assumptions!R$95&gt;=$D$15,$C$15*Assumptions!R$104,0)</f>
        <v>3105</v>
      </c>
      <c r="S15" s="58" t="n">
        <f aca="false">IF(Assumptions!S$95&gt;=$D$15,$C$15*Assumptions!S$104,0)</f>
        <v>3105</v>
      </c>
      <c r="T15" s="58" t="n">
        <f aca="false">IF(Assumptions!T$95&gt;=$D$15,$C$15*Assumptions!T$104,0)</f>
        <v>3105</v>
      </c>
      <c r="U15" s="58" t="n">
        <f aca="false">IF(Assumptions!U$95&gt;=$D$15,$C$15*Assumptions!U$104,0)</f>
        <v>3105</v>
      </c>
      <c r="V15" s="58" t="n">
        <f aca="false">IF(Assumptions!V$95&gt;=$D$15,$C$15*Assumptions!V$104,0)</f>
        <v>3105</v>
      </c>
      <c r="W15" s="58" t="n">
        <f aca="false">IF(Assumptions!W$95&gt;=$D$15,$C$15*Assumptions!W$104,0)</f>
        <v>3105</v>
      </c>
      <c r="X15" s="58" t="n">
        <f aca="false">IF(Assumptions!X$95&gt;=$D$15,$C$15*Assumptions!X$104,0)</f>
        <v>3105</v>
      </c>
      <c r="Y15" s="58" t="n">
        <f aca="false">IF(Assumptions!Y$95&gt;=$D$15,$C$15*Assumptions!Y$104,0)</f>
        <v>3105</v>
      </c>
      <c r="Z15" s="58" t="n">
        <f aca="false">IF(Assumptions!Z$95&gt;=$D$15,$C$15*Assumptions!Z$104,0)</f>
        <v>3105</v>
      </c>
      <c r="AA15" s="58" t="n">
        <f aca="false">IF(Assumptions!AA$95&gt;=$D$15,$C$15*Assumptions!AA$104,0)</f>
        <v>3105</v>
      </c>
      <c r="AB15" s="58" t="n">
        <f aca="false">IF(Assumptions!AB$95&gt;=$D$15,$C$15*Assumptions!AB$104,0)</f>
        <v>3105</v>
      </c>
    </row>
    <row r="16" customFormat="false" ht="15" hidden="false" customHeight="false" outlineLevel="0" collapsed="false">
      <c r="A16" s="27" t="s">
        <v>1271</v>
      </c>
      <c r="B16" s="56" t="s">
        <v>1265</v>
      </c>
      <c r="C16" s="71" t="n">
        <v>3000</v>
      </c>
      <c r="D16" s="124" t="n">
        <v>45412</v>
      </c>
      <c r="E16" s="58" t="n">
        <f aca="false">IF(Assumptions!E$95&gt;=$D$16,$C$16*Assumptions!E$104,0)</f>
        <v>3000</v>
      </c>
      <c r="F16" s="58" t="n">
        <f aca="false">IF(Assumptions!F$95&gt;=$D$16,$C$16*Assumptions!F$104,0)</f>
        <v>3000</v>
      </c>
      <c r="G16" s="58" t="n">
        <f aca="false">IF(Assumptions!G$95&gt;=$D$16,$C$16*Assumptions!G$104,0)</f>
        <v>3000</v>
      </c>
      <c r="H16" s="58" t="n">
        <f aca="false">IF(Assumptions!H$95&gt;=$D$16,$C$16*Assumptions!H$104,0)</f>
        <v>3000</v>
      </c>
      <c r="I16" s="58" t="n">
        <f aca="false">IF(Assumptions!I$95&gt;=$D$16,$C$16*Assumptions!I$104,0)</f>
        <v>3000</v>
      </c>
      <c r="J16" s="58" t="n">
        <f aca="false">IF(Assumptions!J$95&gt;=$D$16,$C$16*Assumptions!J$104,0)</f>
        <v>3000</v>
      </c>
      <c r="K16" s="58" t="n">
        <f aca="false">IF(Assumptions!K$95&gt;=$D$16,$C$16*Assumptions!K$104,0)</f>
        <v>3000</v>
      </c>
      <c r="L16" s="58" t="n">
        <f aca="false">IF(Assumptions!L$95&gt;=$D$16,$C$16*Assumptions!L$104,0)</f>
        <v>3000</v>
      </c>
      <c r="M16" s="58" t="n">
        <f aca="false">IF(Assumptions!M$95&gt;=$D$16,$C$16*Assumptions!M$104,0)</f>
        <v>3000</v>
      </c>
      <c r="N16" s="58" t="n">
        <f aca="false">IF(Assumptions!N$95&gt;=$D$16,$C$16*Assumptions!N$104,0)</f>
        <v>3000</v>
      </c>
      <c r="O16" s="58" t="n">
        <f aca="false">IF(Assumptions!O$95&gt;=$D$16,$C$16*Assumptions!O$104,0)</f>
        <v>3000</v>
      </c>
      <c r="P16" s="58" t="n">
        <f aca="false">IF(Assumptions!P$95&gt;=$D$16,$C$16*Assumptions!P$104,0)</f>
        <v>3000</v>
      </c>
      <c r="Q16" s="58" t="n">
        <f aca="false">IF(Assumptions!Q$95&gt;=$D$16,$C$16*Assumptions!Q$104,0)</f>
        <v>3105</v>
      </c>
      <c r="R16" s="58" t="n">
        <f aca="false">IF(Assumptions!R$95&gt;=$D$16,$C$16*Assumptions!R$104,0)</f>
        <v>3105</v>
      </c>
      <c r="S16" s="58" t="n">
        <f aca="false">IF(Assumptions!S$95&gt;=$D$16,$C$16*Assumptions!S$104,0)</f>
        <v>3105</v>
      </c>
      <c r="T16" s="58" t="n">
        <f aca="false">IF(Assumptions!T$95&gt;=$D$16,$C$16*Assumptions!T$104,0)</f>
        <v>3105</v>
      </c>
      <c r="U16" s="58" t="n">
        <f aca="false">IF(Assumptions!U$95&gt;=$D$16,$C$16*Assumptions!U$104,0)</f>
        <v>3105</v>
      </c>
      <c r="V16" s="58" t="n">
        <f aca="false">IF(Assumptions!V$95&gt;=$D$16,$C$16*Assumptions!V$104,0)</f>
        <v>3105</v>
      </c>
      <c r="W16" s="58" t="n">
        <f aca="false">IF(Assumptions!W$95&gt;=$D$16,$C$16*Assumptions!W$104,0)</f>
        <v>3105</v>
      </c>
      <c r="X16" s="58" t="n">
        <f aca="false">IF(Assumptions!X$95&gt;=$D$16,$C$16*Assumptions!X$104,0)</f>
        <v>3105</v>
      </c>
      <c r="Y16" s="58" t="n">
        <f aca="false">IF(Assumptions!Y$95&gt;=$D$16,$C$16*Assumptions!Y$104,0)</f>
        <v>3105</v>
      </c>
      <c r="Z16" s="58" t="n">
        <f aca="false">IF(Assumptions!Z$95&gt;=$D$16,$C$16*Assumptions!Z$104,0)</f>
        <v>3105</v>
      </c>
      <c r="AA16" s="58" t="n">
        <f aca="false">IF(Assumptions!AA$95&gt;=$D$16,$C$16*Assumptions!AA$104,0)</f>
        <v>3105</v>
      </c>
      <c r="AB16" s="58" t="n">
        <f aca="false">IF(Assumptions!AB$95&gt;=$D$16,$C$16*Assumptions!AB$104,0)</f>
        <v>3105</v>
      </c>
    </row>
    <row r="17" customFormat="false" ht="15" hidden="false" customHeight="false" outlineLevel="0" collapsed="false">
      <c r="A17" s="27" t="s">
        <v>1272</v>
      </c>
      <c r="B17" s="56" t="s">
        <v>1265</v>
      </c>
      <c r="C17" s="71" t="n">
        <v>3400</v>
      </c>
      <c r="D17" s="124" t="n">
        <v>44227</v>
      </c>
      <c r="E17" s="58" t="n">
        <f aca="false">IF(Assumptions!E$95&gt;=$D$17,$C$17*Assumptions!E$104,0)</f>
        <v>3400</v>
      </c>
      <c r="F17" s="58" t="n">
        <f aca="false">IF(Assumptions!F$95&gt;=$D$17,$C$17*Assumptions!F$104,0)</f>
        <v>3400</v>
      </c>
      <c r="G17" s="58" t="n">
        <f aca="false">IF(Assumptions!G$95&gt;=$D$17,$C$17*Assumptions!G$104,0)</f>
        <v>3400</v>
      </c>
      <c r="H17" s="58" t="n">
        <f aca="false">IF(Assumptions!H$95&gt;=$D$17,$C$17*Assumptions!H$104,0)</f>
        <v>3400</v>
      </c>
      <c r="I17" s="58" t="n">
        <f aca="false">IF(Assumptions!I$95&gt;=$D$17,$C$17*Assumptions!I$104,0)</f>
        <v>3400</v>
      </c>
      <c r="J17" s="58" t="n">
        <f aca="false">IF(Assumptions!J$95&gt;=$D$17,$C$17*Assumptions!J$104,0)</f>
        <v>3400</v>
      </c>
      <c r="K17" s="58" t="n">
        <f aca="false">IF(Assumptions!K$95&gt;=$D$17,$C$17*Assumptions!K$104,0)</f>
        <v>3400</v>
      </c>
      <c r="L17" s="58" t="n">
        <f aca="false">IF(Assumptions!L$95&gt;=$D$17,$C$17*Assumptions!L$104,0)</f>
        <v>3400</v>
      </c>
      <c r="M17" s="58" t="n">
        <f aca="false">IF(Assumptions!M$95&gt;=$D$17,$C$17*Assumptions!M$104,0)</f>
        <v>3400</v>
      </c>
      <c r="N17" s="58" t="n">
        <f aca="false">IF(Assumptions!N$95&gt;=$D$17,$C$17*Assumptions!N$104,0)</f>
        <v>3400</v>
      </c>
      <c r="O17" s="58" t="n">
        <f aca="false">IF(Assumptions!O$95&gt;=$D$17,$C$17*Assumptions!O$104,0)</f>
        <v>3400</v>
      </c>
      <c r="P17" s="58" t="n">
        <f aca="false">IF(Assumptions!P$95&gt;=$D$17,$C$17*Assumptions!P$104,0)</f>
        <v>3400</v>
      </c>
      <c r="Q17" s="58" t="n">
        <f aca="false">IF(Assumptions!Q$95&gt;=$D$17,$C$17*Assumptions!Q$104,0)</f>
        <v>3519</v>
      </c>
      <c r="R17" s="58" t="n">
        <f aca="false">IF(Assumptions!R$95&gt;=$D$17,$C$17*Assumptions!R$104,0)</f>
        <v>3519</v>
      </c>
      <c r="S17" s="58" t="n">
        <f aca="false">IF(Assumptions!S$95&gt;=$D$17,$C$17*Assumptions!S$104,0)</f>
        <v>3519</v>
      </c>
      <c r="T17" s="58" t="n">
        <f aca="false">IF(Assumptions!T$95&gt;=$D$17,$C$17*Assumptions!T$104,0)</f>
        <v>3519</v>
      </c>
      <c r="U17" s="58" t="n">
        <f aca="false">IF(Assumptions!U$95&gt;=$D$17,$C$17*Assumptions!U$104,0)</f>
        <v>3519</v>
      </c>
      <c r="V17" s="58" t="n">
        <f aca="false">IF(Assumptions!V$95&gt;=$D$17,$C$17*Assumptions!V$104,0)</f>
        <v>3519</v>
      </c>
      <c r="W17" s="58" t="n">
        <f aca="false">IF(Assumptions!W$95&gt;=$D$17,$C$17*Assumptions!W$104,0)</f>
        <v>3519</v>
      </c>
      <c r="X17" s="58" t="n">
        <f aca="false">IF(Assumptions!X$95&gt;=$D$17,$C$17*Assumptions!X$104,0)</f>
        <v>3519</v>
      </c>
      <c r="Y17" s="58" t="n">
        <f aca="false">IF(Assumptions!Y$95&gt;=$D$17,$C$17*Assumptions!Y$104,0)</f>
        <v>3519</v>
      </c>
      <c r="Z17" s="58" t="n">
        <f aca="false">IF(Assumptions!Z$95&gt;=$D$17,$C$17*Assumptions!Z$104,0)</f>
        <v>3519</v>
      </c>
      <c r="AA17" s="58" t="n">
        <f aca="false">IF(Assumptions!AA$95&gt;=$D$17,$C$17*Assumptions!AA$104,0)</f>
        <v>3519</v>
      </c>
      <c r="AB17" s="58" t="n">
        <f aca="false">IF(Assumptions!AB$95&gt;=$D$17,$C$17*Assumptions!AB$104,0)</f>
        <v>3519</v>
      </c>
    </row>
    <row r="18" customFormat="false" ht="15" hidden="false" customHeight="false" outlineLevel="0" collapsed="false">
      <c r="A18" s="27" t="s">
        <v>1273</v>
      </c>
      <c r="B18" s="56" t="s">
        <v>1265</v>
      </c>
      <c r="C18" s="71" t="n">
        <v>4200</v>
      </c>
      <c r="D18" s="124" t="n">
        <v>46356</v>
      </c>
      <c r="E18" s="58" t="n">
        <f aca="false">IF(Assumptions!E$95&gt;=$D$18,$C$18*Assumptions!E$104*Assumptions!$F$126,0)</f>
        <v>0</v>
      </c>
      <c r="F18" s="58" t="n">
        <f aca="false">IF(Assumptions!F$95&gt;=$D$18,$C$18*Assumptions!F$104*Assumptions!$F$126,0)</f>
        <v>0</v>
      </c>
      <c r="G18" s="58" t="n">
        <f aca="false">IF(Assumptions!G$95&gt;=$D$18,$C$18*Assumptions!G$104*Assumptions!$F$126,0)</f>
        <v>0</v>
      </c>
      <c r="H18" s="58" t="n">
        <f aca="false">IF(Assumptions!H$95&gt;=$D$18,$C$18*Assumptions!H$104*Assumptions!$F$126,0)</f>
        <v>0</v>
      </c>
      <c r="I18" s="58" t="n">
        <f aca="false">IF(Assumptions!I$95&gt;=$D$18,$C$18*Assumptions!I$104*Assumptions!$F$126,0)</f>
        <v>0</v>
      </c>
      <c r="J18" s="58" t="n">
        <f aca="false">IF(Assumptions!J$95&gt;=$D$18,$C$18*Assumptions!J$104*Assumptions!$F$126,0)</f>
        <v>0</v>
      </c>
      <c r="K18" s="58" t="n">
        <f aca="false">IF(Assumptions!K$95&gt;=$D$18,$C$18*Assumptions!K$104*Assumptions!$F$126,0)</f>
        <v>0</v>
      </c>
      <c r="L18" s="58" t="n">
        <f aca="false">IF(Assumptions!L$95&gt;=$D$18,$C$18*Assumptions!L$104*Assumptions!$F$126,0)</f>
        <v>0</v>
      </c>
      <c r="M18" s="58" t="n">
        <f aca="false">IF(Assumptions!M$95&gt;=$D$18,$C$18*Assumptions!M$104*Assumptions!$F$126,0)</f>
        <v>0</v>
      </c>
      <c r="N18" s="58" t="n">
        <f aca="false">IF(Assumptions!N$95&gt;=$D$18,$C$18*Assumptions!N$104*Assumptions!$F$126,0)</f>
        <v>0</v>
      </c>
      <c r="O18" s="58" t="n">
        <f aca="false">IF(Assumptions!O$95&gt;=$D$18,$C$18*Assumptions!O$104*Assumptions!$F$126,0)</f>
        <v>4200</v>
      </c>
      <c r="P18" s="58" t="n">
        <f aca="false">IF(Assumptions!P$95&gt;=$D$18,$C$18*Assumptions!P$104*Assumptions!$F$126,0)</f>
        <v>4200</v>
      </c>
      <c r="Q18" s="58" t="n">
        <f aca="false">IF(Assumptions!Q$95&gt;=$D$18,$C$18*Assumptions!Q$104*Assumptions!$F$126,0)</f>
        <v>4347</v>
      </c>
      <c r="R18" s="58" t="n">
        <f aca="false">IF(Assumptions!R$95&gt;=$D$18,$C$18*Assumptions!R$104*Assumptions!$F$126,0)</f>
        <v>4347</v>
      </c>
      <c r="S18" s="58" t="n">
        <f aca="false">IF(Assumptions!S$95&gt;=$D$18,$C$18*Assumptions!S$104*Assumptions!$F$126,0)</f>
        <v>4347</v>
      </c>
      <c r="T18" s="58" t="n">
        <f aca="false">IF(Assumptions!T$95&gt;=$D$18,$C$18*Assumptions!T$104*Assumptions!$F$126,0)</f>
        <v>4347</v>
      </c>
      <c r="U18" s="58" t="n">
        <f aca="false">IF(Assumptions!U$95&gt;=$D$18,$C$18*Assumptions!U$104*Assumptions!$F$126,0)</f>
        <v>4347</v>
      </c>
      <c r="V18" s="58" t="n">
        <f aca="false">IF(Assumptions!V$95&gt;=$D$18,$C$18*Assumptions!V$104*Assumptions!$F$126,0)</f>
        <v>4347</v>
      </c>
      <c r="W18" s="58" t="n">
        <f aca="false">IF(Assumptions!W$95&gt;=$D$18,$C$18*Assumptions!W$104*Assumptions!$F$126,0)</f>
        <v>4347</v>
      </c>
      <c r="X18" s="58" t="n">
        <f aca="false">IF(Assumptions!X$95&gt;=$D$18,$C$18*Assumptions!X$104*Assumptions!$F$126,0)</f>
        <v>4347</v>
      </c>
      <c r="Y18" s="58" t="n">
        <f aca="false">IF(Assumptions!Y$95&gt;=$D$18,$C$18*Assumptions!Y$104*Assumptions!$F$126,0)</f>
        <v>4347</v>
      </c>
      <c r="Z18" s="58" t="n">
        <f aca="false">IF(Assumptions!Z$95&gt;=$D$18,$C$18*Assumptions!Z$104*Assumptions!$F$126,0)</f>
        <v>4347</v>
      </c>
      <c r="AA18" s="58" t="n">
        <f aca="false">IF(Assumptions!AA$95&gt;=$D$18,$C$18*Assumptions!AA$104*Assumptions!$F$126,0)</f>
        <v>4347</v>
      </c>
      <c r="AB18" s="58" t="n">
        <f aca="false">IF(Assumptions!AB$95&gt;=$D$18,$C$18*Assumptions!AB$104*Assumptions!$F$126,0)</f>
        <v>4347</v>
      </c>
    </row>
    <row r="19" customFormat="false" ht="15" hidden="false" customHeight="false" outlineLevel="0" collapsed="false">
      <c r="A19" s="27" t="s">
        <v>1274</v>
      </c>
      <c r="B19" s="56" t="s">
        <v>1265</v>
      </c>
      <c r="C19" s="71" t="n">
        <v>6200</v>
      </c>
      <c r="D19" s="124" t="n">
        <v>46418</v>
      </c>
      <c r="E19" s="58" t="n">
        <f aca="false">IF(Assumptions!E$95&gt;=$D$19,$C$19*Assumptions!E$104*Assumptions!$F$126,0)</f>
        <v>0</v>
      </c>
      <c r="F19" s="58" t="n">
        <f aca="false">IF(Assumptions!F$95&gt;=$D$19,$C$19*Assumptions!F$104*Assumptions!$F$126,0)</f>
        <v>0</v>
      </c>
      <c r="G19" s="58" t="n">
        <f aca="false">IF(Assumptions!G$95&gt;=$D$19,$C$19*Assumptions!G$104*Assumptions!$F$126,0)</f>
        <v>0</v>
      </c>
      <c r="H19" s="58" t="n">
        <f aca="false">IF(Assumptions!H$95&gt;=$D$19,$C$19*Assumptions!H$104*Assumptions!$F$126,0)</f>
        <v>0</v>
      </c>
      <c r="I19" s="58" t="n">
        <f aca="false">IF(Assumptions!I$95&gt;=$D$19,$C$19*Assumptions!I$104*Assumptions!$F$126,0)</f>
        <v>0</v>
      </c>
      <c r="J19" s="58" t="n">
        <f aca="false">IF(Assumptions!J$95&gt;=$D$19,$C$19*Assumptions!J$104*Assumptions!$F$126,0)</f>
        <v>0</v>
      </c>
      <c r="K19" s="58" t="n">
        <f aca="false">IF(Assumptions!K$95&gt;=$D$19,$C$19*Assumptions!K$104*Assumptions!$F$126,0)</f>
        <v>0</v>
      </c>
      <c r="L19" s="58" t="n">
        <f aca="false">IF(Assumptions!L$95&gt;=$D$19,$C$19*Assumptions!L$104*Assumptions!$F$126,0)</f>
        <v>0</v>
      </c>
      <c r="M19" s="58" t="n">
        <f aca="false">IF(Assumptions!M$95&gt;=$D$19,$C$19*Assumptions!M$104*Assumptions!$F$126,0)</f>
        <v>0</v>
      </c>
      <c r="N19" s="58" t="n">
        <f aca="false">IF(Assumptions!N$95&gt;=$D$19,$C$19*Assumptions!N$104*Assumptions!$F$126,0)</f>
        <v>0</v>
      </c>
      <c r="O19" s="58" t="n">
        <f aca="false">IF(Assumptions!O$95&gt;=$D$19,$C$19*Assumptions!O$104*Assumptions!$F$126,0)</f>
        <v>0</v>
      </c>
      <c r="P19" s="58" t="n">
        <f aca="false">IF(Assumptions!P$95&gt;=$D$19,$C$19*Assumptions!P$104*Assumptions!$F$126,0)</f>
        <v>0</v>
      </c>
      <c r="Q19" s="58" t="n">
        <f aca="false">IF(Assumptions!Q$95&gt;=$D$19,$C$19*Assumptions!Q$104*Assumptions!$F$126,0)</f>
        <v>6417</v>
      </c>
      <c r="R19" s="58" t="n">
        <f aca="false">IF(Assumptions!R$95&gt;=$D$19,$C$19*Assumptions!R$104*Assumptions!$F$126,0)</f>
        <v>6417</v>
      </c>
      <c r="S19" s="58" t="n">
        <f aca="false">IF(Assumptions!S$95&gt;=$D$19,$C$19*Assumptions!S$104*Assumptions!$F$126,0)</f>
        <v>6417</v>
      </c>
      <c r="T19" s="58" t="n">
        <f aca="false">IF(Assumptions!T$95&gt;=$D$19,$C$19*Assumptions!T$104*Assumptions!$F$126,0)</f>
        <v>6417</v>
      </c>
      <c r="U19" s="58" t="n">
        <f aca="false">IF(Assumptions!U$95&gt;=$D$19,$C$19*Assumptions!U$104*Assumptions!$F$126,0)</f>
        <v>6417</v>
      </c>
      <c r="V19" s="58" t="n">
        <f aca="false">IF(Assumptions!V$95&gt;=$D$19,$C$19*Assumptions!V$104*Assumptions!$F$126,0)</f>
        <v>6417</v>
      </c>
      <c r="W19" s="58" t="n">
        <f aca="false">IF(Assumptions!W$95&gt;=$D$19,$C$19*Assumptions!W$104*Assumptions!$F$126,0)</f>
        <v>6417</v>
      </c>
      <c r="X19" s="58" t="n">
        <f aca="false">IF(Assumptions!X$95&gt;=$D$19,$C$19*Assumptions!X$104*Assumptions!$F$126,0)</f>
        <v>6417</v>
      </c>
      <c r="Y19" s="58" t="n">
        <f aca="false">IF(Assumptions!Y$95&gt;=$D$19,$C$19*Assumptions!Y$104*Assumptions!$F$126,0)</f>
        <v>6417</v>
      </c>
      <c r="Z19" s="58" t="n">
        <f aca="false">IF(Assumptions!Z$95&gt;=$D$19,$C$19*Assumptions!Z$104*Assumptions!$F$126,0)</f>
        <v>6417</v>
      </c>
      <c r="AA19" s="58" t="n">
        <f aca="false">IF(Assumptions!AA$95&gt;=$D$19,$C$19*Assumptions!AA$104*Assumptions!$F$126,0)</f>
        <v>6417</v>
      </c>
      <c r="AB19" s="58" t="n">
        <f aca="false">IF(Assumptions!AB$95&gt;=$D$19,$C$19*Assumptions!AB$104*Assumptions!$F$126,0)</f>
        <v>6417</v>
      </c>
    </row>
    <row r="20" customFormat="false" ht="15" hidden="false" customHeight="false" outlineLevel="0" collapsed="false">
      <c r="A20" s="67" t="s">
        <v>1275</v>
      </c>
      <c r="B20" s="68" t="s">
        <v>1276</v>
      </c>
      <c r="C20" s="69" t="n">
        <f aca="false">SUM(E20:P20)</f>
        <v>532800</v>
      </c>
      <c r="D20" s="69" t="n">
        <f aca="false">SUM(Q20:AB20)</f>
        <v>671922</v>
      </c>
      <c r="E20" s="69" t="n">
        <f aca="false">SUM(E9:E19)</f>
        <v>43700</v>
      </c>
      <c r="F20" s="69" t="n">
        <f aca="false">SUM(F9:F19)</f>
        <v>43700</v>
      </c>
      <c r="G20" s="69" t="n">
        <f aca="false">SUM(G9:G19)</f>
        <v>43700</v>
      </c>
      <c r="H20" s="69" t="n">
        <f aca="false">SUM(H9:H19)</f>
        <v>43700</v>
      </c>
      <c r="I20" s="69" t="n">
        <f aca="false">SUM(I9:I19)</f>
        <v>43700</v>
      </c>
      <c r="J20" s="69" t="n">
        <f aca="false">SUM(J9:J19)</f>
        <v>43700</v>
      </c>
      <c r="K20" s="69" t="n">
        <f aca="false">SUM(K9:K19)</f>
        <v>43700</v>
      </c>
      <c r="L20" s="69" t="n">
        <f aca="false">SUM(L9:L19)</f>
        <v>43700</v>
      </c>
      <c r="M20" s="69" t="n">
        <f aca="false">SUM(M9:M19)</f>
        <v>43700</v>
      </c>
      <c r="N20" s="69" t="n">
        <f aca="false">SUM(N9:N19)</f>
        <v>43700</v>
      </c>
      <c r="O20" s="69" t="n">
        <f aca="false">SUM(O9:O19)</f>
        <v>47900</v>
      </c>
      <c r="P20" s="69" t="n">
        <f aca="false">SUM(P9:P19)</f>
        <v>47900</v>
      </c>
      <c r="Q20" s="69" t="n">
        <f aca="false">SUM(Q9:Q19)</f>
        <v>55993.5</v>
      </c>
      <c r="R20" s="69" t="n">
        <f aca="false">SUM(R9:R19)</f>
        <v>55993.5</v>
      </c>
      <c r="S20" s="69" t="n">
        <f aca="false">SUM(S9:S19)</f>
        <v>55993.5</v>
      </c>
      <c r="T20" s="69" t="n">
        <f aca="false">SUM(T9:T19)</f>
        <v>55993.5</v>
      </c>
      <c r="U20" s="69" t="n">
        <f aca="false">SUM(U9:U19)</f>
        <v>55993.5</v>
      </c>
      <c r="V20" s="69" t="n">
        <f aca="false">SUM(V9:V19)</f>
        <v>55993.5</v>
      </c>
      <c r="W20" s="69" t="n">
        <f aca="false">SUM(W9:W19)</f>
        <v>55993.5</v>
      </c>
      <c r="X20" s="69" t="n">
        <f aca="false">SUM(X9:X19)</f>
        <v>55993.5</v>
      </c>
      <c r="Y20" s="69" t="n">
        <f aca="false">SUM(Y9:Y19)</f>
        <v>55993.5</v>
      </c>
      <c r="Z20" s="69" t="n">
        <f aca="false">SUM(Z9:Z19)</f>
        <v>55993.5</v>
      </c>
      <c r="AA20" s="69" t="n">
        <f aca="false">SUM(AA9:AA19)</f>
        <v>55993.5</v>
      </c>
      <c r="AB20" s="69" t="n">
        <f aca="false">SUM(AB9:AB19)</f>
        <v>55993.5</v>
      </c>
    </row>
    <row r="21" customFormat="false" ht="15" hidden="false" customHeight="false" outlineLevel="0" collapsed="false">
      <c r="A21" s="27" t="s">
        <v>1277</v>
      </c>
      <c r="B21" s="56" t="s">
        <v>1278</v>
      </c>
      <c r="C21" s="57" t="n">
        <f aca="false">SUM(E21:P21)</f>
        <v>518648</v>
      </c>
      <c r="D21" s="57" t="n">
        <f aca="false">SUM(Q21:AB21)</f>
        <v>671922</v>
      </c>
      <c r="E21" s="58" t="n">
        <f aca="false">IF(E$5="A",Inputs_Actuals!E98,E20)</f>
        <v>43634</v>
      </c>
      <c r="F21" s="58" t="n">
        <f aca="false">IF(F$5="A",Inputs_Actuals!F98,F20)</f>
        <v>43301</v>
      </c>
      <c r="G21" s="58" t="n">
        <f aca="false">IF(G$5="A",Inputs_Actuals!G98,G20)</f>
        <v>39568</v>
      </c>
      <c r="H21" s="58" t="n">
        <f aca="false">IF(H$5="A",Inputs_Actuals!H98,H20)</f>
        <v>39249</v>
      </c>
      <c r="I21" s="58" t="n">
        <f aca="false">IF(I$5="A",Inputs_Actuals!I98,I20)</f>
        <v>39045</v>
      </c>
      <c r="J21" s="58" t="n">
        <f aca="false">IF(J$5="A",Inputs_Actuals!J98,J20)</f>
        <v>43840</v>
      </c>
      <c r="K21" s="58" t="n">
        <f aca="false">IF(K$5="A",Inputs_Actuals!K98,K20)</f>
        <v>43272</v>
      </c>
      <c r="L21" s="58" t="n">
        <f aca="false">IF(L$5="A",Inputs_Actuals!L98,L20)</f>
        <v>43539</v>
      </c>
      <c r="M21" s="58" t="n">
        <f aca="false">IF(M$5="A",Inputs_Actuals!M98,M20)</f>
        <v>43700</v>
      </c>
      <c r="N21" s="58" t="n">
        <f aca="false">IF(N$5="A",Inputs_Actuals!N98,N20)</f>
        <v>43700</v>
      </c>
      <c r="O21" s="58" t="n">
        <f aca="false">IF(O$5="A",Inputs_Actuals!O98,O20)</f>
        <v>47900</v>
      </c>
      <c r="P21" s="58" t="n">
        <f aca="false">IF(P$5="A",Inputs_Actuals!P98,P20)</f>
        <v>47900</v>
      </c>
      <c r="Q21" s="58" t="n">
        <f aca="false">IF(Q$5="A",Inputs_Actuals!Q98,Q20)</f>
        <v>55993.5</v>
      </c>
      <c r="R21" s="58" t="n">
        <f aca="false">IF(R$5="A",Inputs_Actuals!R98,R20)</f>
        <v>55993.5</v>
      </c>
      <c r="S21" s="58" t="n">
        <f aca="false">IF(S$5="A",Inputs_Actuals!S98,S20)</f>
        <v>55993.5</v>
      </c>
      <c r="T21" s="58" t="n">
        <f aca="false">IF(T$5="A",Inputs_Actuals!T98,T20)</f>
        <v>55993.5</v>
      </c>
      <c r="U21" s="58" t="n">
        <f aca="false">IF(U$5="A",Inputs_Actuals!U98,U20)</f>
        <v>55993.5</v>
      </c>
      <c r="V21" s="58" t="n">
        <f aca="false">IF(V$5="A",Inputs_Actuals!V98,V20)</f>
        <v>55993.5</v>
      </c>
      <c r="W21" s="58" t="n">
        <f aca="false">IF(W$5="A",Inputs_Actuals!W98,W20)</f>
        <v>55993.5</v>
      </c>
      <c r="X21" s="58" t="n">
        <f aca="false">IF(X$5="A",Inputs_Actuals!X98,X20)</f>
        <v>55993.5</v>
      </c>
      <c r="Y21" s="58" t="n">
        <f aca="false">IF(Y$5="A",Inputs_Actuals!Y98,Y20)</f>
        <v>55993.5</v>
      </c>
      <c r="Z21" s="58" t="n">
        <f aca="false">IF(Z$5="A",Inputs_Actuals!Z98,Z20)</f>
        <v>55993.5</v>
      </c>
      <c r="AA21" s="58" t="n">
        <f aca="false">IF(AA$5="A",Inputs_Actuals!AA98,AA20)</f>
        <v>55993.5</v>
      </c>
      <c r="AB21" s="58" t="n">
        <f aca="false">IF(AB$5="A",Inputs_Actuals!AB98,AB20)</f>
        <v>55993.5</v>
      </c>
    </row>
    <row r="22" customFormat="false" ht="15" hidden="false" customHeight="false" outlineLevel="0" collapsed="false">
      <c r="A22" s="27" t="s">
        <v>1236</v>
      </c>
      <c r="B22" s="56"/>
      <c r="C22" s="57" t="n">
        <f aca="false">SUM(E22:P22)</f>
        <v>58557.15</v>
      </c>
      <c r="D22" s="57" t="n">
        <f aca="false">SUM(Q22:AB22)</f>
        <v>76599.108</v>
      </c>
      <c r="E22" s="58" t="n">
        <f aca="false">E21*Assumptions!E$103</f>
        <v>4908.825</v>
      </c>
      <c r="F22" s="58" t="n">
        <f aca="false">F21*Assumptions!F$103</f>
        <v>4871.3625</v>
      </c>
      <c r="G22" s="58" t="n">
        <f aca="false">G21*Assumptions!G$103</f>
        <v>4451.4</v>
      </c>
      <c r="H22" s="58" t="n">
        <f aca="false">H21*Assumptions!H$103</f>
        <v>4415.5125</v>
      </c>
      <c r="I22" s="58" t="n">
        <f aca="false">I21*Assumptions!I$103</f>
        <v>4392.5625</v>
      </c>
      <c r="J22" s="58" t="n">
        <f aca="false">J21*Assumptions!J$103</f>
        <v>4932</v>
      </c>
      <c r="K22" s="58" t="n">
        <f aca="false">K21*Assumptions!K$103</f>
        <v>4868.1</v>
      </c>
      <c r="L22" s="58" t="n">
        <f aca="false">L21*Assumptions!L$103</f>
        <v>4898.1375</v>
      </c>
      <c r="M22" s="58" t="n">
        <f aca="false">M21*Assumptions!M$103</f>
        <v>4916.25</v>
      </c>
      <c r="N22" s="58" t="n">
        <f aca="false">N21*Assumptions!N$103</f>
        <v>4981.8</v>
      </c>
      <c r="O22" s="58" t="n">
        <f aca="false">O21*Assumptions!O$103</f>
        <v>5460.6</v>
      </c>
      <c r="P22" s="58" t="n">
        <f aca="false">P21*Assumptions!P$103</f>
        <v>5460.6</v>
      </c>
      <c r="Q22" s="58" t="n">
        <f aca="false">Q21*Assumptions!Q$103</f>
        <v>6383.259</v>
      </c>
      <c r="R22" s="58" t="n">
        <f aca="false">R21*Assumptions!R$103</f>
        <v>6383.259</v>
      </c>
      <c r="S22" s="58" t="n">
        <f aca="false">S21*Assumptions!S$103</f>
        <v>6383.259</v>
      </c>
      <c r="T22" s="58" t="n">
        <f aca="false">T21*Assumptions!T$103</f>
        <v>6383.259</v>
      </c>
      <c r="U22" s="58" t="n">
        <f aca="false">U21*Assumptions!U$103</f>
        <v>6383.259</v>
      </c>
      <c r="V22" s="58" t="n">
        <f aca="false">V21*Assumptions!V$103</f>
        <v>6383.259</v>
      </c>
      <c r="W22" s="58" t="n">
        <f aca="false">W21*Assumptions!W$103</f>
        <v>6383.259</v>
      </c>
      <c r="X22" s="58" t="n">
        <f aca="false">X21*Assumptions!X$103</f>
        <v>6383.259</v>
      </c>
      <c r="Y22" s="58" t="n">
        <f aca="false">Y21*Assumptions!Y$103</f>
        <v>6383.259</v>
      </c>
      <c r="Z22" s="58" t="n">
        <f aca="false">Z21*Assumptions!Z$103</f>
        <v>6383.259</v>
      </c>
      <c r="AA22" s="58" t="n">
        <f aca="false">AA21*Assumptions!AA$103</f>
        <v>6383.259</v>
      </c>
      <c r="AB22" s="58" t="n">
        <f aca="false">AB21*Assumptions!AB$103</f>
        <v>6383.259</v>
      </c>
    </row>
    <row r="23" customFormat="false" ht="15" hidden="false" customHeight="false" outlineLevel="0" collapsed="false">
      <c r="A23" s="27" t="s">
        <v>1238</v>
      </c>
      <c r="B23" s="56"/>
      <c r="C23" s="57" t="n">
        <f aca="false">SUM(E23:P23)</f>
        <v>25932.4</v>
      </c>
      <c r="D23" s="57" t="n">
        <f aca="false">SUM(Q23:AB23)</f>
        <v>33596.1</v>
      </c>
      <c r="E23" s="58" t="n">
        <f aca="false">E21*Assumptions!$C$31</f>
        <v>2181.7</v>
      </c>
      <c r="F23" s="58" t="n">
        <f aca="false">F21*Assumptions!$C$31</f>
        <v>2165.05</v>
      </c>
      <c r="G23" s="58" t="n">
        <f aca="false">G21*Assumptions!$C$31</f>
        <v>1978.4</v>
      </c>
      <c r="H23" s="58" t="n">
        <f aca="false">H21*Assumptions!$C$31</f>
        <v>1962.45</v>
      </c>
      <c r="I23" s="58" t="n">
        <f aca="false">I21*Assumptions!$C$31</f>
        <v>1952.25</v>
      </c>
      <c r="J23" s="58" t="n">
        <f aca="false">J21*Assumptions!$C$31</f>
        <v>2192</v>
      </c>
      <c r="K23" s="58" t="n">
        <f aca="false">K21*Assumptions!$C$31</f>
        <v>2163.6</v>
      </c>
      <c r="L23" s="58" t="n">
        <f aca="false">L21*Assumptions!$C$31</f>
        <v>2176.95</v>
      </c>
      <c r="M23" s="58" t="n">
        <f aca="false">M21*Assumptions!$C$31</f>
        <v>2185</v>
      </c>
      <c r="N23" s="58" t="n">
        <f aca="false">N21*Assumptions!$C$31</f>
        <v>2185</v>
      </c>
      <c r="O23" s="58" t="n">
        <f aca="false">O21*Assumptions!$C$31</f>
        <v>2395</v>
      </c>
      <c r="P23" s="58" t="n">
        <f aca="false">P21*Assumptions!$C$31</f>
        <v>2395</v>
      </c>
      <c r="Q23" s="58" t="n">
        <f aca="false">Q21*Assumptions!$C$31</f>
        <v>2799.675</v>
      </c>
      <c r="R23" s="58" t="n">
        <f aca="false">R21*Assumptions!$C$31</f>
        <v>2799.675</v>
      </c>
      <c r="S23" s="58" t="n">
        <f aca="false">S21*Assumptions!$C$31</f>
        <v>2799.675</v>
      </c>
      <c r="T23" s="58" t="n">
        <f aca="false">T21*Assumptions!$C$31</f>
        <v>2799.675</v>
      </c>
      <c r="U23" s="58" t="n">
        <f aca="false">U21*Assumptions!$C$31</f>
        <v>2799.675</v>
      </c>
      <c r="V23" s="58" t="n">
        <f aca="false">V21*Assumptions!$C$31</f>
        <v>2799.675</v>
      </c>
      <c r="W23" s="58" t="n">
        <f aca="false">W21*Assumptions!$C$31</f>
        <v>2799.675</v>
      </c>
      <c r="X23" s="58" t="n">
        <f aca="false">X21*Assumptions!$C$31</f>
        <v>2799.675</v>
      </c>
      <c r="Y23" s="58" t="n">
        <f aca="false">Y21*Assumptions!$C$31</f>
        <v>2799.675</v>
      </c>
      <c r="Z23" s="58" t="n">
        <f aca="false">Z21*Assumptions!$C$31</f>
        <v>2799.675</v>
      </c>
      <c r="AA23" s="58" t="n">
        <f aca="false">AA21*Assumptions!$C$31</f>
        <v>2799.675</v>
      </c>
      <c r="AB23" s="58" t="n">
        <f aca="false">AB21*Assumptions!$C$31</f>
        <v>2799.675</v>
      </c>
    </row>
    <row r="24" customFormat="false" ht="15" hidden="false" customHeight="false" outlineLevel="0" collapsed="false">
      <c r="A24" s="67" t="s">
        <v>1279</v>
      </c>
      <c r="B24" s="68"/>
      <c r="C24" s="69" t="n">
        <f aca="false">SUM(E24:P24)</f>
        <v>603137.55</v>
      </c>
      <c r="D24" s="69" t="n">
        <f aca="false">SUM(Q24:AB24)</f>
        <v>782117.208</v>
      </c>
      <c r="E24" s="69" t="n">
        <f aca="false">E21+E22+E23</f>
        <v>50724.525</v>
      </c>
      <c r="F24" s="69" t="n">
        <f aca="false">F21+F22+F23</f>
        <v>50337.4125</v>
      </c>
      <c r="G24" s="69" t="n">
        <f aca="false">G21+G22+G23</f>
        <v>45997.8</v>
      </c>
      <c r="H24" s="69" t="n">
        <f aca="false">H21+H22+H23</f>
        <v>45626.9625</v>
      </c>
      <c r="I24" s="69" t="n">
        <f aca="false">I21+I22+I23</f>
        <v>45389.8125</v>
      </c>
      <c r="J24" s="69" t="n">
        <f aca="false">J21+J22+J23</f>
        <v>50964</v>
      </c>
      <c r="K24" s="69" t="n">
        <f aca="false">K21+K22+K23</f>
        <v>50303.7</v>
      </c>
      <c r="L24" s="69" t="n">
        <f aca="false">L21+L22+L23</f>
        <v>50614.0875</v>
      </c>
      <c r="M24" s="69" t="n">
        <f aca="false">M21+M22+M23</f>
        <v>50801.25</v>
      </c>
      <c r="N24" s="69" t="n">
        <f aca="false">N21+N22+N23</f>
        <v>50866.8</v>
      </c>
      <c r="O24" s="69" t="n">
        <f aca="false">O21+O22+O23</f>
        <v>55755.6</v>
      </c>
      <c r="P24" s="69" t="n">
        <f aca="false">P21+P22+P23</f>
        <v>55755.6</v>
      </c>
      <c r="Q24" s="69" t="n">
        <f aca="false">Q21+Q22+Q23</f>
        <v>65176.434</v>
      </c>
      <c r="R24" s="69" t="n">
        <f aca="false">R21+R22+R23</f>
        <v>65176.434</v>
      </c>
      <c r="S24" s="69" t="n">
        <f aca="false">S21+S22+S23</f>
        <v>65176.434</v>
      </c>
      <c r="T24" s="69" t="n">
        <f aca="false">T21+T22+T23</f>
        <v>65176.434</v>
      </c>
      <c r="U24" s="69" t="n">
        <f aca="false">U21+U22+U23</f>
        <v>65176.434</v>
      </c>
      <c r="V24" s="69" t="n">
        <f aca="false">V21+V22+V23</f>
        <v>65176.434</v>
      </c>
      <c r="W24" s="69" t="n">
        <f aca="false">W21+W22+W23</f>
        <v>65176.434</v>
      </c>
      <c r="X24" s="69" t="n">
        <f aca="false">X21+X22+X23</f>
        <v>65176.434</v>
      </c>
      <c r="Y24" s="69" t="n">
        <f aca="false">Y21+Y22+Y23</f>
        <v>65176.434</v>
      </c>
      <c r="Z24" s="69" t="n">
        <f aca="false">Z21+Z22+Z23</f>
        <v>65176.434</v>
      </c>
      <c r="AA24" s="69" t="n">
        <f aca="false">AA21+AA22+AA23</f>
        <v>65176.434</v>
      </c>
      <c r="AB24" s="69" t="n">
        <f aca="false">AB21+AB22+AB23</f>
        <v>65176.434</v>
      </c>
    </row>
    <row r="25" customFormat="false" ht="15" hidden="false" customHeight="false" outlineLevel="0" collapsed="false">
      <c r="A25" s="21" t="s">
        <v>1280</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row>
    <row r="26" customFormat="false" ht="15" hidden="false" customHeight="false" outlineLevel="0" collapsed="false">
      <c r="A26" s="27" t="s">
        <v>357</v>
      </c>
      <c r="B26" s="56" t="s">
        <v>1281</v>
      </c>
      <c r="C26" s="71" t="n">
        <v>7400</v>
      </c>
    </row>
    <row r="27" customFormat="false" ht="15" hidden="false" customHeight="false" outlineLevel="0" collapsed="false">
      <c r="A27" s="27" t="s">
        <v>358</v>
      </c>
      <c r="B27" s="56" t="s">
        <v>1281</v>
      </c>
      <c r="C27" s="71" t="n">
        <v>9700</v>
      </c>
    </row>
    <row r="28" customFormat="false" ht="15" hidden="false" customHeight="false" outlineLevel="0" collapsed="false">
      <c r="A28" s="27" t="s">
        <v>359</v>
      </c>
      <c r="B28" s="56" t="s">
        <v>1281</v>
      </c>
      <c r="C28" s="71" t="n">
        <v>3900</v>
      </c>
    </row>
    <row r="29" customFormat="false" ht="15" hidden="false" customHeight="false" outlineLevel="0" collapsed="false">
      <c r="A29" s="27" t="s">
        <v>1282</v>
      </c>
      <c r="B29" s="56" t="s">
        <v>1281</v>
      </c>
      <c r="C29" s="71" t="n">
        <v>6800</v>
      </c>
    </row>
    <row r="30" customFormat="false" ht="15" hidden="false" customHeight="false" outlineLevel="0" collapsed="false">
      <c r="A30" s="27" t="s">
        <v>361</v>
      </c>
      <c r="B30" s="56" t="s">
        <v>1281</v>
      </c>
      <c r="C30" s="71" t="n">
        <v>4200</v>
      </c>
    </row>
    <row r="31" customFormat="false" ht="15" hidden="false" customHeight="false" outlineLevel="0" collapsed="false">
      <c r="A31" s="27" t="s">
        <v>1283</v>
      </c>
      <c r="B31" s="56" t="s">
        <v>1281</v>
      </c>
      <c r="C31" s="71" t="n">
        <v>2800</v>
      </c>
    </row>
    <row r="32" customFormat="false" ht="15" hidden="false" customHeight="false" outlineLevel="0" collapsed="false">
      <c r="A32" s="27" t="s">
        <v>363</v>
      </c>
      <c r="B32" s="56" t="s">
        <v>1281</v>
      </c>
      <c r="C32" s="71" t="n">
        <v>2250</v>
      </c>
    </row>
    <row r="33" customFormat="false" ht="15" hidden="false" customHeight="false" outlineLevel="0" collapsed="false">
      <c r="A33" s="27" t="s">
        <v>1284</v>
      </c>
      <c r="B33" s="56" t="s">
        <v>1281</v>
      </c>
      <c r="C33" s="71" t="n">
        <v>1750</v>
      </c>
    </row>
    <row r="34" customFormat="false" ht="15" hidden="false" customHeight="false" outlineLevel="0" collapsed="false">
      <c r="A34" s="27" t="s">
        <v>365</v>
      </c>
      <c r="B34" s="56" t="s">
        <v>1281</v>
      </c>
      <c r="C34" s="71" t="n">
        <v>860</v>
      </c>
    </row>
    <row r="35" customFormat="false" ht="15" hidden="false" customHeight="false" outlineLevel="0" collapsed="false">
      <c r="A35" s="21" t="s">
        <v>1285</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row>
    <row r="36" customFormat="false" ht="15" hidden="false" customHeight="false" outlineLevel="0" collapsed="false">
      <c r="A36" s="27" t="s">
        <v>357</v>
      </c>
      <c r="B36" s="56" t="s">
        <v>1286</v>
      </c>
      <c r="C36" s="57" t="n">
        <f aca="false">SUM(E36:P36)</f>
        <v>86912</v>
      </c>
      <c r="D36" s="57" t="n">
        <f aca="false">SUM(Q36:AB36)</f>
        <v>91908</v>
      </c>
      <c r="E36" s="58" t="n">
        <f aca="false">IF(E$5="A",Inputs_Actuals!E99,Overheads!$C$26*Assumptions!E$104)</f>
        <v>6023</v>
      </c>
      <c r="F36" s="58" t="n">
        <f aca="false">IF(F$5="A",Inputs_Actuals!F99,Overheads!$C$26*Assumptions!F$104)</f>
        <v>5858</v>
      </c>
      <c r="G36" s="58" t="n">
        <f aca="false">IF(G$5="A",Inputs_Actuals!G99,Overheads!$C$26*Assumptions!G$104)</f>
        <v>8709</v>
      </c>
      <c r="H36" s="58" t="n">
        <f aca="false">IF(H$5="A",Inputs_Actuals!H99,Overheads!$C$26*Assumptions!H$104)</f>
        <v>7347</v>
      </c>
      <c r="I36" s="58" t="n">
        <f aca="false">IF(I$5="A",Inputs_Actuals!I99,Overheads!$C$26*Assumptions!I$104)</f>
        <v>7358</v>
      </c>
      <c r="J36" s="58" t="n">
        <f aca="false">IF(J$5="A",Inputs_Actuals!J99,Overheads!$C$26*Assumptions!J$104)</f>
        <v>7044</v>
      </c>
      <c r="K36" s="58" t="n">
        <f aca="false">IF(K$5="A",Inputs_Actuals!K99,Overheads!$C$26*Assumptions!K$104)</f>
        <v>8501</v>
      </c>
      <c r="L36" s="58" t="n">
        <f aca="false">IF(L$5="A",Inputs_Actuals!L99,Overheads!$C$26*Assumptions!L$104)</f>
        <v>6472</v>
      </c>
      <c r="M36" s="58" t="n">
        <f aca="false">IF(M$5="A",Inputs_Actuals!M99,Overheads!$C$26*Assumptions!M$104)</f>
        <v>7400</v>
      </c>
      <c r="N36" s="58" t="n">
        <f aca="false">IF(N$5="A",Inputs_Actuals!N99,Overheads!$C$26*Assumptions!N$104)</f>
        <v>7400</v>
      </c>
      <c r="O36" s="58" t="n">
        <f aca="false">IF(O$5="A",Inputs_Actuals!O99,Overheads!$C$26*Assumptions!O$104)</f>
        <v>7400</v>
      </c>
      <c r="P36" s="58" t="n">
        <f aca="false">IF(P$5="A",Inputs_Actuals!P99,Overheads!$C$26*Assumptions!P$104)</f>
        <v>7400</v>
      </c>
      <c r="Q36" s="58" t="n">
        <f aca="false">IF(Q$5="A",Inputs_Actuals!Q99,Overheads!$C$26*Assumptions!Q$104)</f>
        <v>7659</v>
      </c>
      <c r="R36" s="58" t="n">
        <f aca="false">IF(R$5="A",Inputs_Actuals!R99,Overheads!$C$26*Assumptions!R$104)</f>
        <v>7659</v>
      </c>
      <c r="S36" s="58" t="n">
        <f aca="false">IF(S$5="A",Inputs_Actuals!S99,Overheads!$C$26*Assumptions!S$104)</f>
        <v>7659</v>
      </c>
      <c r="T36" s="58" t="n">
        <f aca="false">IF(T$5="A",Inputs_Actuals!T99,Overheads!$C$26*Assumptions!T$104)</f>
        <v>7659</v>
      </c>
      <c r="U36" s="58" t="n">
        <f aca="false">IF(U$5="A",Inputs_Actuals!U99,Overheads!$C$26*Assumptions!U$104)</f>
        <v>7659</v>
      </c>
      <c r="V36" s="58" t="n">
        <f aca="false">IF(V$5="A",Inputs_Actuals!V99,Overheads!$C$26*Assumptions!V$104)</f>
        <v>7659</v>
      </c>
      <c r="W36" s="58" t="n">
        <f aca="false">IF(W$5="A",Inputs_Actuals!W99,Overheads!$C$26*Assumptions!W$104)</f>
        <v>7659</v>
      </c>
      <c r="X36" s="58" t="n">
        <f aca="false">IF(X$5="A",Inputs_Actuals!X99,Overheads!$C$26*Assumptions!X$104)</f>
        <v>7659</v>
      </c>
      <c r="Y36" s="58" t="n">
        <f aca="false">IF(Y$5="A",Inputs_Actuals!Y99,Overheads!$C$26*Assumptions!Y$104)</f>
        <v>7659</v>
      </c>
      <c r="Z36" s="58" t="n">
        <f aca="false">IF(Z$5="A",Inputs_Actuals!Z99,Overheads!$C$26*Assumptions!Z$104)</f>
        <v>7659</v>
      </c>
      <c r="AA36" s="58" t="n">
        <f aca="false">IF(AA$5="A",Inputs_Actuals!AA99,Overheads!$C$26*Assumptions!AA$104)</f>
        <v>7659</v>
      </c>
      <c r="AB36" s="58" t="n">
        <f aca="false">IF(AB$5="A",Inputs_Actuals!AB99,Overheads!$C$26*Assumptions!AB$104)</f>
        <v>7659</v>
      </c>
    </row>
    <row r="37" customFormat="false" ht="15" hidden="false" customHeight="false" outlineLevel="0" collapsed="false">
      <c r="A37" s="27" t="s">
        <v>358</v>
      </c>
      <c r="B37" s="56" t="s">
        <v>1286</v>
      </c>
      <c r="C37" s="57" t="n">
        <f aca="false">SUM(E37:P37)</f>
        <v>113931</v>
      </c>
      <c r="D37" s="57" t="n">
        <f aca="false">SUM(Q37:AB37)</f>
        <v>120474</v>
      </c>
      <c r="E37" s="58" t="n">
        <f aca="false">IF(E$5="A",Inputs_Actuals!E100,Overheads!$C$27*Assumptions!E$104)</f>
        <v>10070</v>
      </c>
      <c r="F37" s="58" t="n">
        <f aca="false">IF(F$5="A",Inputs_Actuals!F100,Overheads!$C$27*Assumptions!F$104)</f>
        <v>8856</v>
      </c>
      <c r="G37" s="58" t="n">
        <f aca="false">IF(G$5="A",Inputs_Actuals!G100,Overheads!$C$27*Assumptions!G$104)</f>
        <v>8959</v>
      </c>
      <c r="H37" s="58" t="n">
        <f aca="false">IF(H$5="A",Inputs_Actuals!H100,Overheads!$C$27*Assumptions!H$104)</f>
        <v>9674</v>
      </c>
      <c r="I37" s="58" t="n">
        <f aca="false">IF(I$5="A",Inputs_Actuals!I100,Overheads!$C$27*Assumptions!I$104)</f>
        <v>9909</v>
      </c>
      <c r="J37" s="58" t="n">
        <f aca="false">IF(J$5="A",Inputs_Actuals!J100,Overheads!$C$27*Assumptions!J$104)</f>
        <v>9772</v>
      </c>
      <c r="K37" s="58" t="n">
        <f aca="false">IF(K$5="A",Inputs_Actuals!K100,Overheads!$C$27*Assumptions!K$104)</f>
        <v>9369</v>
      </c>
      <c r="L37" s="58" t="n">
        <f aca="false">IF(L$5="A",Inputs_Actuals!L100,Overheads!$C$27*Assumptions!L$104)</f>
        <v>8522</v>
      </c>
      <c r="M37" s="58" t="n">
        <f aca="false">IF(M$5="A",Inputs_Actuals!M100,Overheads!$C$27*Assumptions!M$104)</f>
        <v>9700</v>
      </c>
      <c r="N37" s="58" t="n">
        <f aca="false">IF(N$5="A",Inputs_Actuals!N100,Overheads!$C$27*Assumptions!N$104)</f>
        <v>9700</v>
      </c>
      <c r="O37" s="58" t="n">
        <f aca="false">IF(O$5="A",Inputs_Actuals!O100,Overheads!$C$27*Assumptions!O$104)</f>
        <v>9700</v>
      </c>
      <c r="P37" s="58" t="n">
        <f aca="false">IF(P$5="A",Inputs_Actuals!P100,Overheads!$C$27*Assumptions!P$104)</f>
        <v>9700</v>
      </c>
      <c r="Q37" s="58" t="n">
        <f aca="false">IF(Q$5="A",Inputs_Actuals!Q100,Overheads!$C$27*Assumptions!Q$104)</f>
        <v>10039.5</v>
      </c>
      <c r="R37" s="58" t="n">
        <f aca="false">IF(R$5="A",Inputs_Actuals!R100,Overheads!$C$27*Assumptions!R$104)</f>
        <v>10039.5</v>
      </c>
      <c r="S37" s="58" t="n">
        <f aca="false">IF(S$5="A",Inputs_Actuals!S100,Overheads!$C$27*Assumptions!S$104)</f>
        <v>10039.5</v>
      </c>
      <c r="T37" s="58" t="n">
        <f aca="false">IF(T$5="A",Inputs_Actuals!T100,Overheads!$C$27*Assumptions!T$104)</f>
        <v>10039.5</v>
      </c>
      <c r="U37" s="58" t="n">
        <f aca="false">IF(U$5="A",Inputs_Actuals!U100,Overheads!$C$27*Assumptions!U$104)</f>
        <v>10039.5</v>
      </c>
      <c r="V37" s="58" t="n">
        <f aca="false">IF(V$5="A",Inputs_Actuals!V100,Overheads!$C$27*Assumptions!V$104)</f>
        <v>10039.5</v>
      </c>
      <c r="W37" s="58" t="n">
        <f aca="false">IF(W$5="A",Inputs_Actuals!W100,Overheads!$C$27*Assumptions!W$104)</f>
        <v>10039.5</v>
      </c>
      <c r="X37" s="58" t="n">
        <f aca="false">IF(X$5="A",Inputs_Actuals!X100,Overheads!$C$27*Assumptions!X$104)</f>
        <v>10039.5</v>
      </c>
      <c r="Y37" s="58" t="n">
        <f aca="false">IF(Y$5="A",Inputs_Actuals!Y100,Overheads!$C$27*Assumptions!Y$104)</f>
        <v>10039.5</v>
      </c>
      <c r="Z37" s="58" t="n">
        <f aca="false">IF(Z$5="A",Inputs_Actuals!Z100,Overheads!$C$27*Assumptions!Z$104)</f>
        <v>10039.5</v>
      </c>
      <c r="AA37" s="58" t="n">
        <f aca="false">IF(AA$5="A",Inputs_Actuals!AA100,Overheads!$C$27*Assumptions!AA$104)</f>
        <v>10039.5</v>
      </c>
      <c r="AB37" s="58" t="n">
        <f aca="false">IF(AB$5="A",Inputs_Actuals!AB100,Overheads!$C$27*Assumptions!AB$104)</f>
        <v>10039.5</v>
      </c>
    </row>
    <row r="38" customFormat="false" ht="15" hidden="false" customHeight="false" outlineLevel="0" collapsed="false">
      <c r="A38" s="27" t="s">
        <v>359</v>
      </c>
      <c r="B38" s="56" t="s">
        <v>1286</v>
      </c>
      <c r="C38" s="57" t="n">
        <f aca="false">SUM(E38:P38)</f>
        <v>46834</v>
      </c>
      <c r="D38" s="57" t="n">
        <f aca="false">SUM(Q38:AB38)</f>
        <v>48438</v>
      </c>
      <c r="E38" s="58" t="n">
        <f aca="false">IF(E$5="A",Inputs_Actuals!E101,Overheads!$C$28*Assumptions!E$104)</f>
        <v>3706</v>
      </c>
      <c r="F38" s="58" t="n">
        <f aca="false">IF(F$5="A",Inputs_Actuals!F101,Overheads!$C$28*Assumptions!F$104)</f>
        <v>4237</v>
      </c>
      <c r="G38" s="58" t="n">
        <f aca="false">IF(G$5="A",Inputs_Actuals!G101,Overheads!$C$28*Assumptions!G$104)</f>
        <v>4035</v>
      </c>
      <c r="H38" s="58" t="n">
        <f aca="false">IF(H$5="A",Inputs_Actuals!H101,Overheads!$C$28*Assumptions!H$104)</f>
        <v>4028</v>
      </c>
      <c r="I38" s="58" t="n">
        <f aca="false">IF(I$5="A",Inputs_Actuals!I101,Overheads!$C$28*Assumptions!I$104)</f>
        <v>3676</v>
      </c>
      <c r="J38" s="58" t="n">
        <f aca="false">IF(J$5="A",Inputs_Actuals!J101,Overheads!$C$28*Assumptions!J$104)</f>
        <v>4033</v>
      </c>
      <c r="K38" s="58" t="n">
        <f aca="false">IF(K$5="A",Inputs_Actuals!K101,Overheads!$C$28*Assumptions!K$104)</f>
        <v>3989</v>
      </c>
      <c r="L38" s="58" t="n">
        <f aca="false">IF(L$5="A",Inputs_Actuals!L101,Overheads!$C$28*Assumptions!L$104)</f>
        <v>3530</v>
      </c>
      <c r="M38" s="58" t="n">
        <f aca="false">IF(M$5="A",Inputs_Actuals!M101,Overheads!$C$28*Assumptions!M$104)</f>
        <v>3900</v>
      </c>
      <c r="N38" s="58" t="n">
        <f aca="false">IF(N$5="A",Inputs_Actuals!N101,Overheads!$C$28*Assumptions!N$104)</f>
        <v>3900</v>
      </c>
      <c r="O38" s="58" t="n">
        <f aca="false">IF(O$5="A",Inputs_Actuals!O101,Overheads!$C$28*Assumptions!O$104)</f>
        <v>3900</v>
      </c>
      <c r="P38" s="58" t="n">
        <f aca="false">IF(P$5="A",Inputs_Actuals!P101,Overheads!$C$28*Assumptions!P$104)</f>
        <v>3900</v>
      </c>
      <c r="Q38" s="58" t="n">
        <f aca="false">IF(Q$5="A",Inputs_Actuals!Q101,Overheads!$C$28*Assumptions!Q$104)</f>
        <v>4036.5</v>
      </c>
      <c r="R38" s="58" t="n">
        <f aca="false">IF(R$5="A",Inputs_Actuals!R101,Overheads!$C$28*Assumptions!R$104)</f>
        <v>4036.5</v>
      </c>
      <c r="S38" s="58" t="n">
        <f aca="false">IF(S$5="A",Inputs_Actuals!S101,Overheads!$C$28*Assumptions!S$104)</f>
        <v>4036.5</v>
      </c>
      <c r="T38" s="58" t="n">
        <f aca="false">IF(T$5="A",Inputs_Actuals!T101,Overheads!$C$28*Assumptions!T$104)</f>
        <v>4036.5</v>
      </c>
      <c r="U38" s="58" t="n">
        <f aca="false">IF(U$5="A",Inputs_Actuals!U101,Overheads!$C$28*Assumptions!U$104)</f>
        <v>4036.5</v>
      </c>
      <c r="V38" s="58" t="n">
        <f aca="false">IF(V$5="A",Inputs_Actuals!V101,Overheads!$C$28*Assumptions!V$104)</f>
        <v>4036.5</v>
      </c>
      <c r="W38" s="58" t="n">
        <f aca="false">IF(W$5="A",Inputs_Actuals!W101,Overheads!$C$28*Assumptions!W$104)</f>
        <v>4036.5</v>
      </c>
      <c r="X38" s="58" t="n">
        <f aca="false">IF(X$5="A",Inputs_Actuals!X101,Overheads!$C$28*Assumptions!X$104)</f>
        <v>4036.5</v>
      </c>
      <c r="Y38" s="58" t="n">
        <f aca="false">IF(Y$5="A",Inputs_Actuals!Y101,Overheads!$C$28*Assumptions!Y$104)</f>
        <v>4036.5</v>
      </c>
      <c r="Z38" s="58" t="n">
        <f aca="false">IF(Z$5="A",Inputs_Actuals!Z101,Overheads!$C$28*Assumptions!Z$104)</f>
        <v>4036.5</v>
      </c>
      <c r="AA38" s="58" t="n">
        <f aca="false">IF(AA$5="A",Inputs_Actuals!AA101,Overheads!$C$28*Assumptions!AA$104)</f>
        <v>4036.5</v>
      </c>
      <c r="AB38" s="58" t="n">
        <f aca="false">IF(AB$5="A",Inputs_Actuals!AB101,Overheads!$C$28*Assumptions!AB$104)</f>
        <v>4036.5</v>
      </c>
    </row>
    <row r="39" customFormat="false" ht="15" hidden="false" customHeight="false" outlineLevel="0" collapsed="false">
      <c r="A39" s="27" t="s">
        <v>360</v>
      </c>
      <c r="B39" s="56" t="s">
        <v>1287</v>
      </c>
      <c r="C39" s="57" t="n">
        <f aca="false">SUM(E39:P39)</f>
        <v>79676</v>
      </c>
      <c r="D39" s="57" t="n">
        <f aca="false">SUM(Q39:AB39)</f>
        <v>84456</v>
      </c>
      <c r="E39" s="58" t="n">
        <f aca="false">IF(E$5="A",Inputs_Actuals!E102,Overheads!$C$29*Assumptions!E$104*Assumptions!$F$127)</f>
        <v>3684</v>
      </c>
      <c r="F39" s="58" t="n">
        <f aca="false">IF(F$5="A",Inputs_Actuals!F102,Overheads!$C$29*Assumptions!F$104*Assumptions!$F$127)</f>
        <v>5487</v>
      </c>
      <c r="G39" s="58" t="n">
        <f aca="false">IF(G$5="A",Inputs_Actuals!G102,Overheads!$C$29*Assumptions!G$104*Assumptions!$F$127)</f>
        <v>7730</v>
      </c>
      <c r="H39" s="58" t="n">
        <f aca="false">IF(H$5="A",Inputs_Actuals!H102,Overheads!$C$29*Assumptions!H$104*Assumptions!$F$127)</f>
        <v>8125</v>
      </c>
      <c r="I39" s="58" t="n">
        <f aca="false">IF(I$5="A",Inputs_Actuals!I102,Overheads!$C$29*Assumptions!I$104*Assumptions!$F$127)</f>
        <v>8707</v>
      </c>
      <c r="J39" s="58" t="n">
        <f aca="false">IF(J$5="A",Inputs_Actuals!J102,Overheads!$C$29*Assumptions!J$104*Assumptions!$F$127)</f>
        <v>6050</v>
      </c>
      <c r="K39" s="58" t="n">
        <f aca="false">IF(K$5="A",Inputs_Actuals!K102,Overheads!$C$29*Assumptions!K$104*Assumptions!$F$127)</f>
        <v>6484</v>
      </c>
      <c r="L39" s="58" t="n">
        <f aca="false">IF(L$5="A",Inputs_Actuals!L102,Overheads!$C$29*Assumptions!L$104*Assumptions!$F$127)</f>
        <v>6209</v>
      </c>
      <c r="M39" s="58" t="n">
        <f aca="false">IF(M$5="A",Inputs_Actuals!M102,Overheads!$C$29*Assumptions!M$104*Assumptions!$F$127)</f>
        <v>6800</v>
      </c>
      <c r="N39" s="58" t="n">
        <f aca="false">IF(N$5="A",Inputs_Actuals!N102,Overheads!$C$29*Assumptions!N$104*Assumptions!$F$127)</f>
        <v>6800</v>
      </c>
      <c r="O39" s="58" t="n">
        <f aca="false">IF(O$5="A",Inputs_Actuals!O102,Overheads!$C$29*Assumptions!O$104*Assumptions!$F$127)</f>
        <v>6800</v>
      </c>
      <c r="P39" s="58" t="n">
        <f aca="false">IF(P$5="A",Inputs_Actuals!P102,Overheads!$C$29*Assumptions!P$104*Assumptions!$F$127)</f>
        <v>6800</v>
      </c>
      <c r="Q39" s="58" t="n">
        <f aca="false">IF(Q$5="A",Inputs_Actuals!Q102,Overheads!$C$29*Assumptions!Q$104*Assumptions!$F$127)</f>
        <v>7038</v>
      </c>
      <c r="R39" s="58" t="n">
        <f aca="false">IF(R$5="A",Inputs_Actuals!R102,Overheads!$C$29*Assumptions!R$104*Assumptions!$F$127)</f>
        <v>7038</v>
      </c>
      <c r="S39" s="58" t="n">
        <f aca="false">IF(S$5="A",Inputs_Actuals!S102,Overheads!$C$29*Assumptions!S$104*Assumptions!$F$127)</f>
        <v>7038</v>
      </c>
      <c r="T39" s="58" t="n">
        <f aca="false">IF(T$5="A",Inputs_Actuals!T102,Overheads!$C$29*Assumptions!T$104*Assumptions!$F$127)</f>
        <v>7038</v>
      </c>
      <c r="U39" s="58" t="n">
        <f aca="false">IF(U$5="A",Inputs_Actuals!U102,Overheads!$C$29*Assumptions!U$104*Assumptions!$F$127)</f>
        <v>7038</v>
      </c>
      <c r="V39" s="58" t="n">
        <f aca="false">IF(V$5="A",Inputs_Actuals!V102,Overheads!$C$29*Assumptions!V$104*Assumptions!$F$127)</f>
        <v>7038</v>
      </c>
      <c r="W39" s="58" t="n">
        <f aca="false">IF(W$5="A",Inputs_Actuals!W102,Overheads!$C$29*Assumptions!W$104*Assumptions!$F$127)</f>
        <v>7038</v>
      </c>
      <c r="X39" s="58" t="n">
        <f aca="false">IF(X$5="A",Inputs_Actuals!X102,Overheads!$C$29*Assumptions!X$104*Assumptions!$F$127)</f>
        <v>7038</v>
      </c>
      <c r="Y39" s="58" t="n">
        <f aca="false">IF(Y$5="A",Inputs_Actuals!Y102,Overheads!$C$29*Assumptions!Y$104*Assumptions!$F$127)</f>
        <v>7038</v>
      </c>
      <c r="Z39" s="58" t="n">
        <f aca="false">IF(Z$5="A",Inputs_Actuals!Z102,Overheads!$C$29*Assumptions!Z$104*Assumptions!$F$127)</f>
        <v>7038</v>
      </c>
      <c r="AA39" s="58" t="n">
        <f aca="false">IF(AA$5="A",Inputs_Actuals!AA102,Overheads!$C$29*Assumptions!AA$104*Assumptions!$F$127)</f>
        <v>7038</v>
      </c>
      <c r="AB39" s="58" t="n">
        <f aca="false">IF(AB$5="A",Inputs_Actuals!AB102,Overheads!$C$29*Assumptions!AB$104*Assumptions!$F$127)</f>
        <v>7038</v>
      </c>
    </row>
    <row r="40" customFormat="false" ht="15" hidden="false" customHeight="false" outlineLevel="0" collapsed="false">
      <c r="A40" s="27" t="s">
        <v>361</v>
      </c>
      <c r="B40" s="56" t="s">
        <v>1286</v>
      </c>
      <c r="C40" s="57" t="n">
        <f aca="false">SUM(E40:P40)</f>
        <v>49640</v>
      </c>
      <c r="D40" s="57" t="n">
        <f aca="false">SUM(Q40:AB40)</f>
        <v>52164</v>
      </c>
      <c r="E40" s="58" t="n">
        <f aca="false">IF(E$5="A",Inputs_Actuals!E103,Overheads!$C$30*Assumptions!E$104)</f>
        <v>5000</v>
      </c>
      <c r="F40" s="58" t="n">
        <f aca="false">IF(F$5="A",Inputs_Actuals!F103,Overheads!$C$30*Assumptions!F$104)</f>
        <v>4331</v>
      </c>
      <c r="G40" s="58" t="n">
        <f aca="false">IF(G$5="A",Inputs_Actuals!G103,Overheads!$C$30*Assumptions!G$104)</f>
        <v>3264</v>
      </c>
      <c r="H40" s="58" t="n">
        <f aca="false">IF(H$5="A",Inputs_Actuals!H103,Overheads!$C$30*Assumptions!H$104)</f>
        <v>4655</v>
      </c>
      <c r="I40" s="58" t="n">
        <f aca="false">IF(I$5="A",Inputs_Actuals!I103,Overheads!$C$30*Assumptions!I$104)</f>
        <v>4063</v>
      </c>
      <c r="J40" s="58" t="n">
        <f aca="false">IF(J$5="A",Inputs_Actuals!J103,Overheads!$C$30*Assumptions!J$104)</f>
        <v>3755</v>
      </c>
      <c r="K40" s="58" t="n">
        <f aca="false">IF(K$5="A",Inputs_Actuals!K103,Overheads!$C$30*Assumptions!K$104)</f>
        <v>3675</v>
      </c>
      <c r="L40" s="58" t="n">
        <f aca="false">IF(L$5="A",Inputs_Actuals!L103,Overheads!$C$30*Assumptions!L$104)</f>
        <v>4097</v>
      </c>
      <c r="M40" s="58" t="n">
        <f aca="false">IF(M$5="A",Inputs_Actuals!M103,Overheads!$C$30*Assumptions!M$104)</f>
        <v>4200</v>
      </c>
      <c r="N40" s="58" t="n">
        <f aca="false">IF(N$5="A",Inputs_Actuals!N103,Overheads!$C$30*Assumptions!N$104)</f>
        <v>4200</v>
      </c>
      <c r="O40" s="58" t="n">
        <f aca="false">IF(O$5="A",Inputs_Actuals!O103,Overheads!$C$30*Assumptions!O$104)</f>
        <v>4200</v>
      </c>
      <c r="P40" s="58" t="n">
        <f aca="false">IF(P$5="A",Inputs_Actuals!P103,Overheads!$C$30*Assumptions!P$104)</f>
        <v>4200</v>
      </c>
      <c r="Q40" s="58" t="n">
        <f aca="false">IF(Q$5="A",Inputs_Actuals!Q103,Overheads!$C$30*Assumptions!Q$104)</f>
        <v>4347</v>
      </c>
      <c r="R40" s="58" t="n">
        <f aca="false">IF(R$5="A",Inputs_Actuals!R103,Overheads!$C$30*Assumptions!R$104)</f>
        <v>4347</v>
      </c>
      <c r="S40" s="58" t="n">
        <f aca="false">IF(S$5="A",Inputs_Actuals!S103,Overheads!$C$30*Assumptions!S$104)</f>
        <v>4347</v>
      </c>
      <c r="T40" s="58" t="n">
        <f aca="false">IF(T$5="A",Inputs_Actuals!T103,Overheads!$C$30*Assumptions!T$104)</f>
        <v>4347</v>
      </c>
      <c r="U40" s="58" t="n">
        <f aca="false">IF(U$5="A",Inputs_Actuals!U103,Overheads!$C$30*Assumptions!U$104)</f>
        <v>4347</v>
      </c>
      <c r="V40" s="58" t="n">
        <f aca="false">IF(V$5="A",Inputs_Actuals!V103,Overheads!$C$30*Assumptions!V$104)</f>
        <v>4347</v>
      </c>
      <c r="W40" s="58" t="n">
        <f aca="false">IF(W$5="A",Inputs_Actuals!W103,Overheads!$C$30*Assumptions!W$104)</f>
        <v>4347</v>
      </c>
      <c r="X40" s="58" t="n">
        <f aca="false">IF(X$5="A",Inputs_Actuals!X103,Overheads!$C$30*Assumptions!X$104)</f>
        <v>4347</v>
      </c>
      <c r="Y40" s="58" t="n">
        <f aca="false">IF(Y$5="A",Inputs_Actuals!Y103,Overheads!$C$30*Assumptions!Y$104)</f>
        <v>4347</v>
      </c>
      <c r="Z40" s="58" t="n">
        <f aca="false">IF(Z$5="A",Inputs_Actuals!Z103,Overheads!$C$30*Assumptions!Z$104)</f>
        <v>4347</v>
      </c>
      <c r="AA40" s="58" t="n">
        <f aca="false">IF(AA$5="A",Inputs_Actuals!AA103,Overheads!$C$30*Assumptions!AA$104)</f>
        <v>4347</v>
      </c>
      <c r="AB40" s="58" t="n">
        <f aca="false">IF(AB$5="A",Inputs_Actuals!AB103,Overheads!$C$30*Assumptions!AB$104)</f>
        <v>4347</v>
      </c>
    </row>
    <row r="41" customFormat="false" ht="15" hidden="false" customHeight="false" outlineLevel="0" collapsed="false">
      <c r="A41" s="27" t="s">
        <v>362</v>
      </c>
      <c r="B41" s="56" t="s">
        <v>1287</v>
      </c>
      <c r="C41" s="57" t="n">
        <f aca="false">SUM(E41:P41)</f>
        <v>31928</v>
      </c>
      <c r="D41" s="57" t="n">
        <f aca="false">SUM(Q41:AB41)</f>
        <v>34776</v>
      </c>
      <c r="E41" s="58" t="n">
        <f aca="false">IF(E$5="A",Inputs_Actuals!E104,Overheads!$C$31*Assumptions!E$104*Assumptions!$F$127)</f>
        <v>3015</v>
      </c>
      <c r="F41" s="58" t="n">
        <f aca="false">IF(F$5="A",Inputs_Actuals!F104,Overheads!$C$31*Assumptions!F$104*Assumptions!$F$127)</f>
        <v>2508</v>
      </c>
      <c r="G41" s="58" t="n">
        <f aca="false">IF(G$5="A",Inputs_Actuals!G104,Overheads!$C$31*Assumptions!G$104*Assumptions!$F$127)</f>
        <v>2777</v>
      </c>
      <c r="H41" s="58" t="n">
        <f aca="false">IF(H$5="A",Inputs_Actuals!H104,Overheads!$C$31*Assumptions!H$104*Assumptions!$F$127)</f>
        <v>2372</v>
      </c>
      <c r="I41" s="58" t="n">
        <f aca="false">IF(I$5="A",Inputs_Actuals!I104,Overheads!$C$31*Assumptions!I$104*Assumptions!$F$127)</f>
        <v>3007</v>
      </c>
      <c r="J41" s="58" t="n">
        <f aca="false">IF(J$5="A",Inputs_Actuals!J104,Overheads!$C$31*Assumptions!J$104*Assumptions!$F$127)</f>
        <v>2630</v>
      </c>
      <c r="K41" s="58" t="n">
        <f aca="false">IF(K$5="A",Inputs_Actuals!K104,Overheads!$C$31*Assumptions!K$104*Assumptions!$F$127)</f>
        <v>1867</v>
      </c>
      <c r="L41" s="58" t="n">
        <f aca="false">IF(L$5="A",Inputs_Actuals!L104,Overheads!$C$31*Assumptions!L$104*Assumptions!$F$127)</f>
        <v>2552</v>
      </c>
      <c r="M41" s="58" t="n">
        <f aca="false">IF(M$5="A",Inputs_Actuals!M104,Overheads!$C$31*Assumptions!M$104*Assumptions!$F$127)</f>
        <v>2800</v>
      </c>
      <c r="N41" s="58" t="n">
        <f aca="false">IF(N$5="A",Inputs_Actuals!N104,Overheads!$C$31*Assumptions!N$104*Assumptions!$F$127)</f>
        <v>2800</v>
      </c>
      <c r="O41" s="58" t="n">
        <f aca="false">IF(O$5="A",Inputs_Actuals!O104,Overheads!$C$31*Assumptions!O$104*Assumptions!$F$127)</f>
        <v>2800</v>
      </c>
      <c r="P41" s="58" t="n">
        <f aca="false">IF(P$5="A",Inputs_Actuals!P104,Overheads!$C$31*Assumptions!P$104*Assumptions!$F$127)</f>
        <v>2800</v>
      </c>
      <c r="Q41" s="58" t="n">
        <f aca="false">IF(Q$5="A",Inputs_Actuals!Q104,Overheads!$C$31*Assumptions!Q$104*Assumptions!$F$127)</f>
        <v>2898</v>
      </c>
      <c r="R41" s="58" t="n">
        <f aca="false">IF(R$5="A",Inputs_Actuals!R104,Overheads!$C$31*Assumptions!R$104*Assumptions!$F$127)</f>
        <v>2898</v>
      </c>
      <c r="S41" s="58" t="n">
        <f aca="false">IF(S$5="A",Inputs_Actuals!S104,Overheads!$C$31*Assumptions!S$104*Assumptions!$F$127)</f>
        <v>2898</v>
      </c>
      <c r="T41" s="58" t="n">
        <f aca="false">IF(T$5="A",Inputs_Actuals!T104,Overheads!$C$31*Assumptions!T$104*Assumptions!$F$127)</f>
        <v>2898</v>
      </c>
      <c r="U41" s="58" t="n">
        <f aca="false">IF(U$5="A",Inputs_Actuals!U104,Overheads!$C$31*Assumptions!U$104*Assumptions!$F$127)</f>
        <v>2898</v>
      </c>
      <c r="V41" s="58" t="n">
        <f aca="false">IF(V$5="A",Inputs_Actuals!V104,Overheads!$C$31*Assumptions!V$104*Assumptions!$F$127)</f>
        <v>2898</v>
      </c>
      <c r="W41" s="58" t="n">
        <f aca="false">IF(W$5="A",Inputs_Actuals!W104,Overheads!$C$31*Assumptions!W$104*Assumptions!$F$127)</f>
        <v>2898</v>
      </c>
      <c r="X41" s="58" t="n">
        <f aca="false">IF(X$5="A",Inputs_Actuals!X104,Overheads!$C$31*Assumptions!X$104*Assumptions!$F$127)</f>
        <v>2898</v>
      </c>
      <c r="Y41" s="58" t="n">
        <f aca="false">IF(Y$5="A",Inputs_Actuals!Y104,Overheads!$C$31*Assumptions!Y$104*Assumptions!$F$127)</f>
        <v>2898</v>
      </c>
      <c r="Z41" s="58" t="n">
        <f aca="false">IF(Z$5="A",Inputs_Actuals!Z104,Overheads!$C$31*Assumptions!Z$104*Assumptions!$F$127)</f>
        <v>2898</v>
      </c>
      <c r="AA41" s="58" t="n">
        <f aca="false">IF(AA$5="A",Inputs_Actuals!AA104,Overheads!$C$31*Assumptions!AA$104*Assumptions!$F$127)</f>
        <v>2898</v>
      </c>
      <c r="AB41" s="58" t="n">
        <f aca="false">IF(AB$5="A",Inputs_Actuals!AB104,Overheads!$C$31*Assumptions!AB$104*Assumptions!$F$127)</f>
        <v>2898</v>
      </c>
    </row>
    <row r="42" customFormat="false" ht="15" hidden="false" customHeight="false" outlineLevel="0" collapsed="false">
      <c r="A42" s="27" t="s">
        <v>363</v>
      </c>
      <c r="B42" s="56" t="s">
        <v>1286</v>
      </c>
      <c r="C42" s="57" t="n">
        <f aca="false">SUM(E42:P42)</f>
        <v>26868</v>
      </c>
      <c r="D42" s="57" t="n">
        <f aca="false">SUM(Q42:AB42)</f>
        <v>27945</v>
      </c>
      <c r="E42" s="58" t="n">
        <f aca="false">IF(E$5="A",Inputs_Actuals!E105,Overheads!$C$32*Assumptions!E$104)</f>
        <v>2372</v>
      </c>
      <c r="F42" s="58" t="n">
        <f aca="false">IF(F$5="A",Inputs_Actuals!F105,Overheads!$C$32*Assumptions!F$104)</f>
        <v>2245</v>
      </c>
      <c r="G42" s="58" t="n">
        <f aca="false">IF(G$5="A",Inputs_Actuals!G105,Overheads!$C$32*Assumptions!G$104)</f>
        <v>1938</v>
      </c>
      <c r="H42" s="58" t="n">
        <f aca="false">IF(H$5="A",Inputs_Actuals!H105,Overheads!$C$32*Assumptions!H$104)</f>
        <v>2556</v>
      </c>
      <c r="I42" s="58" t="n">
        <f aca="false">IF(I$5="A",Inputs_Actuals!I105,Overheads!$C$32*Assumptions!I$104)</f>
        <v>2479</v>
      </c>
      <c r="J42" s="58" t="n">
        <f aca="false">IF(J$5="A",Inputs_Actuals!J105,Overheads!$C$32*Assumptions!J$104)</f>
        <v>2112</v>
      </c>
      <c r="K42" s="58" t="n">
        <f aca="false">IF(K$5="A",Inputs_Actuals!K105,Overheads!$C$32*Assumptions!K$104)</f>
        <v>2318</v>
      </c>
      <c r="L42" s="58" t="n">
        <f aca="false">IF(L$5="A",Inputs_Actuals!L105,Overheads!$C$32*Assumptions!L$104)</f>
        <v>1848</v>
      </c>
      <c r="M42" s="58" t="n">
        <f aca="false">IF(M$5="A",Inputs_Actuals!M105,Overheads!$C$32*Assumptions!M$104)</f>
        <v>2250</v>
      </c>
      <c r="N42" s="58" t="n">
        <f aca="false">IF(N$5="A",Inputs_Actuals!N105,Overheads!$C$32*Assumptions!N$104)</f>
        <v>2250</v>
      </c>
      <c r="O42" s="58" t="n">
        <f aca="false">IF(O$5="A",Inputs_Actuals!O105,Overheads!$C$32*Assumptions!O$104)</f>
        <v>2250</v>
      </c>
      <c r="P42" s="58" t="n">
        <f aca="false">IF(P$5="A",Inputs_Actuals!P105,Overheads!$C$32*Assumptions!P$104)</f>
        <v>2250</v>
      </c>
      <c r="Q42" s="58" t="n">
        <f aca="false">IF(Q$5="A",Inputs_Actuals!Q105,Overheads!$C$32*Assumptions!Q$104)</f>
        <v>2328.75</v>
      </c>
      <c r="R42" s="58" t="n">
        <f aca="false">IF(R$5="A",Inputs_Actuals!R105,Overheads!$C$32*Assumptions!R$104)</f>
        <v>2328.75</v>
      </c>
      <c r="S42" s="58" t="n">
        <f aca="false">IF(S$5="A",Inputs_Actuals!S105,Overheads!$C$32*Assumptions!S$104)</f>
        <v>2328.75</v>
      </c>
      <c r="T42" s="58" t="n">
        <f aca="false">IF(T$5="A",Inputs_Actuals!T105,Overheads!$C$32*Assumptions!T$104)</f>
        <v>2328.75</v>
      </c>
      <c r="U42" s="58" t="n">
        <f aca="false">IF(U$5="A",Inputs_Actuals!U105,Overheads!$C$32*Assumptions!U$104)</f>
        <v>2328.75</v>
      </c>
      <c r="V42" s="58" t="n">
        <f aca="false">IF(V$5="A",Inputs_Actuals!V105,Overheads!$C$32*Assumptions!V$104)</f>
        <v>2328.75</v>
      </c>
      <c r="W42" s="58" t="n">
        <f aca="false">IF(W$5="A",Inputs_Actuals!W105,Overheads!$C$32*Assumptions!W$104)</f>
        <v>2328.75</v>
      </c>
      <c r="X42" s="58" t="n">
        <f aca="false">IF(X$5="A",Inputs_Actuals!X105,Overheads!$C$32*Assumptions!X$104)</f>
        <v>2328.75</v>
      </c>
      <c r="Y42" s="58" t="n">
        <f aca="false">IF(Y$5="A",Inputs_Actuals!Y105,Overheads!$C$32*Assumptions!Y$104)</f>
        <v>2328.75</v>
      </c>
      <c r="Z42" s="58" t="n">
        <f aca="false">IF(Z$5="A",Inputs_Actuals!Z105,Overheads!$C$32*Assumptions!Z$104)</f>
        <v>2328.75</v>
      </c>
      <c r="AA42" s="58" t="n">
        <f aca="false">IF(AA$5="A",Inputs_Actuals!AA105,Overheads!$C$32*Assumptions!AA$104)</f>
        <v>2328.75</v>
      </c>
      <c r="AB42" s="58" t="n">
        <f aca="false">IF(AB$5="A",Inputs_Actuals!AB105,Overheads!$C$32*Assumptions!AB$104)</f>
        <v>2328.75</v>
      </c>
    </row>
    <row r="43" customFormat="false" ht="15" hidden="false" customHeight="false" outlineLevel="0" collapsed="false">
      <c r="A43" s="27" t="s">
        <v>364</v>
      </c>
      <c r="B43" s="56" t="s">
        <v>1287</v>
      </c>
      <c r="C43" s="57" t="n">
        <f aca="false">SUM(E43:P43)</f>
        <v>20345</v>
      </c>
      <c r="D43" s="57" t="n">
        <f aca="false">SUM(Q43:AB43)</f>
        <v>21735</v>
      </c>
      <c r="E43" s="58" t="n">
        <f aca="false">IF(E$5="A",Inputs_Actuals!E106,Overheads!$C$33*Assumptions!E$104*Assumptions!$F$127)</f>
        <v>1687</v>
      </c>
      <c r="F43" s="58" t="n">
        <f aca="false">IF(F$5="A",Inputs_Actuals!F106,Overheads!$C$33*Assumptions!F$104*Assumptions!$F$127)</f>
        <v>1848</v>
      </c>
      <c r="G43" s="58" t="n">
        <f aca="false">IF(G$5="A",Inputs_Actuals!G106,Overheads!$C$33*Assumptions!G$104*Assumptions!$F$127)</f>
        <v>1800</v>
      </c>
      <c r="H43" s="58" t="n">
        <f aca="false">IF(H$5="A",Inputs_Actuals!H106,Overheads!$C$33*Assumptions!H$104*Assumptions!$F$127)</f>
        <v>1716</v>
      </c>
      <c r="I43" s="58" t="n">
        <f aca="false">IF(I$5="A",Inputs_Actuals!I106,Overheads!$C$33*Assumptions!I$104*Assumptions!$F$127)</f>
        <v>1422</v>
      </c>
      <c r="J43" s="58" t="n">
        <f aca="false">IF(J$5="A",Inputs_Actuals!J106,Overheads!$C$33*Assumptions!J$104*Assumptions!$F$127)</f>
        <v>1619</v>
      </c>
      <c r="K43" s="58" t="n">
        <f aca="false">IF(K$5="A",Inputs_Actuals!K106,Overheads!$C$33*Assumptions!K$104*Assumptions!$F$127)</f>
        <v>1791</v>
      </c>
      <c r="L43" s="58" t="n">
        <f aca="false">IF(L$5="A",Inputs_Actuals!L106,Overheads!$C$33*Assumptions!L$104*Assumptions!$F$127)</f>
        <v>1462</v>
      </c>
      <c r="M43" s="58" t="n">
        <f aca="false">IF(M$5="A",Inputs_Actuals!M106,Overheads!$C$33*Assumptions!M$104*Assumptions!$F$127)</f>
        <v>1750</v>
      </c>
      <c r="N43" s="58" t="n">
        <f aca="false">IF(N$5="A",Inputs_Actuals!N106,Overheads!$C$33*Assumptions!N$104*Assumptions!$F$127)</f>
        <v>1750</v>
      </c>
      <c r="O43" s="58" t="n">
        <f aca="false">IF(O$5="A",Inputs_Actuals!O106,Overheads!$C$33*Assumptions!O$104*Assumptions!$F$127)</f>
        <v>1750</v>
      </c>
      <c r="P43" s="58" t="n">
        <f aca="false">IF(P$5="A",Inputs_Actuals!P106,Overheads!$C$33*Assumptions!P$104*Assumptions!$F$127)</f>
        <v>1750</v>
      </c>
      <c r="Q43" s="58" t="n">
        <f aca="false">IF(Q$5="A",Inputs_Actuals!Q106,Overheads!$C$33*Assumptions!Q$104*Assumptions!$F$127)</f>
        <v>1811.25</v>
      </c>
      <c r="R43" s="58" t="n">
        <f aca="false">IF(R$5="A",Inputs_Actuals!R106,Overheads!$C$33*Assumptions!R$104*Assumptions!$F$127)</f>
        <v>1811.25</v>
      </c>
      <c r="S43" s="58" t="n">
        <f aca="false">IF(S$5="A",Inputs_Actuals!S106,Overheads!$C$33*Assumptions!S$104*Assumptions!$F$127)</f>
        <v>1811.25</v>
      </c>
      <c r="T43" s="58" t="n">
        <f aca="false">IF(T$5="A",Inputs_Actuals!T106,Overheads!$C$33*Assumptions!T$104*Assumptions!$F$127)</f>
        <v>1811.25</v>
      </c>
      <c r="U43" s="58" t="n">
        <f aca="false">IF(U$5="A",Inputs_Actuals!U106,Overheads!$C$33*Assumptions!U$104*Assumptions!$F$127)</f>
        <v>1811.25</v>
      </c>
      <c r="V43" s="58" t="n">
        <f aca="false">IF(V$5="A",Inputs_Actuals!V106,Overheads!$C$33*Assumptions!V$104*Assumptions!$F$127)</f>
        <v>1811.25</v>
      </c>
      <c r="W43" s="58" t="n">
        <f aca="false">IF(W$5="A",Inputs_Actuals!W106,Overheads!$C$33*Assumptions!W$104*Assumptions!$F$127)</f>
        <v>1811.25</v>
      </c>
      <c r="X43" s="58" t="n">
        <f aca="false">IF(X$5="A",Inputs_Actuals!X106,Overheads!$C$33*Assumptions!X$104*Assumptions!$F$127)</f>
        <v>1811.25</v>
      </c>
      <c r="Y43" s="58" t="n">
        <f aca="false">IF(Y$5="A",Inputs_Actuals!Y106,Overheads!$C$33*Assumptions!Y$104*Assumptions!$F$127)</f>
        <v>1811.25</v>
      </c>
      <c r="Z43" s="58" t="n">
        <f aca="false">IF(Z$5="A",Inputs_Actuals!Z106,Overheads!$C$33*Assumptions!Z$104*Assumptions!$F$127)</f>
        <v>1811.25</v>
      </c>
      <c r="AA43" s="58" t="n">
        <f aca="false">IF(AA$5="A",Inputs_Actuals!AA106,Overheads!$C$33*Assumptions!AA$104*Assumptions!$F$127)</f>
        <v>1811.25</v>
      </c>
      <c r="AB43" s="58" t="n">
        <f aca="false">IF(AB$5="A",Inputs_Actuals!AB106,Overheads!$C$33*Assumptions!AB$104*Assumptions!$F$127)</f>
        <v>1811.25</v>
      </c>
    </row>
    <row r="44" customFormat="false" ht="15" hidden="false" customHeight="false" outlineLevel="0" collapsed="false">
      <c r="A44" s="27" t="s">
        <v>365</v>
      </c>
      <c r="B44" s="56" t="s">
        <v>1286</v>
      </c>
      <c r="C44" s="57" t="n">
        <f aca="false">SUM(E44:P44)</f>
        <v>10283</v>
      </c>
      <c r="D44" s="57" t="n">
        <f aca="false">SUM(Q44:AB44)</f>
        <v>10681.2</v>
      </c>
      <c r="E44" s="58" t="n">
        <f aca="false">IF(E$5="A",Inputs_Actuals!E107,Overheads!$C$34*Assumptions!E$104)</f>
        <v>834</v>
      </c>
      <c r="F44" s="58" t="n">
        <f aca="false">IF(F$5="A",Inputs_Actuals!F107,Overheads!$C$34*Assumptions!F$104)</f>
        <v>647</v>
      </c>
      <c r="G44" s="58" t="n">
        <f aca="false">IF(G$5="A",Inputs_Actuals!G107,Overheads!$C$34*Assumptions!G$104)</f>
        <v>726</v>
      </c>
      <c r="H44" s="58" t="n">
        <f aca="false">IF(H$5="A",Inputs_Actuals!H107,Overheads!$C$34*Assumptions!H$104)</f>
        <v>977</v>
      </c>
      <c r="I44" s="58" t="n">
        <f aca="false">IF(I$5="A",Inputs_Actuals!I107,Overheads!$C$34*Assumptions!I$104)</f>
        <v>860</v>
      </c>
      <c r="J44" s="58" t="n">
        <f aca="false">IF(J$5="A",Inputs_Actuals!J107,Overheads!$C$34*Assumptions!J$104)</f>
        <v>897</v>
      </c>
      <c r="K44" s="58" t="n">
        <f aca="false">IF(K$5="A",Inputs_Actuals!K107,Overheads!$C$34*Assumptions!K$104)</f>
        <v>1040</v>
      </c>
      <c r="L44" s="58" t="n">
        <f aca="false">IF(L$5="A",Inputs_Actuals!L107,Overheads!$C$34*Assumptions!L$104)</f>
        <v>862</v>
      </c>
      <c r="M44" s="58" t="n">
        <f aca="false">IF(M$5="A",Inputs_Actuals!M107,Overheads!$C$34*Assumptions!M$104)</f>
        <v>860</v>
      </c>
      <c r="N44" s="58" t="n">
        <f aca="false">IF(N$5="A",Inputs_Actuals!N107,Overheads!$C$34*Assumptions!N$104)</f>
        <v>860</v>
      </c>
      <c r="O44" s="58" t="n">
        <f aca="false">IF(O$5="A",Inputs_Actuals!O107,Overheads!$C$34*Assumptions!O$104)</f>
        <v>860</v>
      </c>
      <c r="P44" s="58" t="n">
        <f aca="false">IF(P$5="A",Inputs_Actuals!P107,Overheads!$C$34*Assumptions!P$104)</f>
        <v>860</v>
      </c>
      <c r="Q44" s="58" t="n">
        <f aca="false">IF(Q$5="A",Inputs_Actuals!Q107,Overheads!$C$34*Assumptions!Q$104)</f>
        <v>890.1</v>
      </c>
      <c r="R44" s="58" t="n">
        <f aca="false">IF(R$5="A",Inputs_Actuals!R107,Overheads!$C$34*Assumptions!R$104)</f>
        <v>890.1</v>
      </c>
      <c r="S44" s="58" t="n">
        <f aca="false">IF(S$5="A",Inputs_Actuals!S107,Overheads!$C$34*Assumptions!S$104)</f>
        <v>890.1</v>
      </c>
      <c r="T44" s="58" t="n">
        <f aca="false">IF(T$5="A",Inputs_Actuals!T107,Overheads!$C$34*Assumptions!T$104)</f>
        <v>890.1</v>
      </c>
      <c r="U44" s="58" t="n">
        <f aca="false">IF(U$5="A",Inputs_Actuals!U107,Overheads!$C$34*Assumptions!U$104)</f>
        <v>890.1</v>
      </c>
      <c r="V44" s="58" t="n">
        <f aca="false">IF(V$5="A",Inputs_Actuals!V107,Overheads!$C$34*Assumptions!V$104)</f>
        <v>890.1</v>
      </c>
      <c r="W44" s="58" t="n">
        <f aca="false">IF(W$5="A",Inputs_Actuals!W107,Overheads!$C$34*Assumptions!W$104)</f>
        <v>890.1</v>
      </c>
      <c r="X44" s="58" t="n">
        <f aca="false">IF(X$5="A",Inputs_Actuals!X107,Overheads!$C$34*Assumptions!X$104)</f>
        <v>890.1</v>
      </c>
      <c r="Y44" s="58" t="n">
        <f aca="false">IF(Y$5="A",Inputs_Actuals!Y107,Overheads!$C$34*Assumptions!Y$104)</f>
        <v>890.1</v>
      </c>
      <c r="Z44" s="58" t="n">
        <f aca="false">IF(Z$5="A",Inputs_Actuals!Z107,Overheads!$C$34*Assumptions!Z$104)</f>
        <v>890.1</v>
      </c>
      <c r="AA44" s="58" t="n">
        <f aca="false">IF(AA$5="A",Inputs_Actuals!AA107,Overheads!$C$34*Assumptions!AA$104)</f>
        <v>890.1</v>
      </c>
      <c r="AB44" s="58" t="n">
        <f aca="false">IF(AB$5="A",Inputs_Actuals!AB107,Overheads!$C$34*Assumptions!AB$104)</f>
        <v>890.1</v>
      </c>
    </row>
    <row r="45" customFormat="false" ht="15" hidden="false" customHeight="false" outlineLevel="0" collapsed="false">
      <c r="A45" s="27" t="s">
        <v>1288</v>
      </c>
      <c r="B45" s="56" t="s">
        <v>1289</v>
      </c>
      <c r="C45" s="57" t="n">
        <f aca="false">SUM(E45:P45)</f>
        <v>466417</v>
      </c>
      <c r="D45" s="57" t="n">
        <f aca="false">SUM(Q45:AB45)</f>
        <v>492577.2</v>
      </c>
      <c r="E45" s="70" t="n">
        <f aca="false">E36+E37+E38+E39+E40+E41+E42+E43+E44</f>
        <v>36391</v>
      </c>
      <c r="F45" s="70" t="n">
        <f aca="false">F36+F37+F38+F39+F40+F41+F42+F43+F44</f>
        <v>36017</v>
      </c>
      <c r="G45" s="70" t="n">
        <f aca="false">G36+G37+G38+G39+G40+G41+G42+G43+G44</f>
        <v>39938</v>
      </c>
      <c r="H45" s="70" t="n">
        <f aca="false">H36+H37+H38+H39+H40+H41+H42+H43+H44</f>
        <v>41450</v>
      </c>
      <c r="I45" s="70" t="n">
        <f aca="false">I36+I37+I38+I39+I40+I41+I42+I43+I44</f>
        <v>41481</v>
      </c>
      <c r="J45" s="70" t="n">
        <f aca="false">J36+J37+J38+J39+J40+J41+J42+J43+J44</f>
        <v>37912</v>
      </c>
      <c r="K45" s="70" t="n">
        <f aca="false">K36+K37+K38+K39+K40+K41+K42+K43+K44</f>
        <v>39034</v>
      </c>
      <c r="L45" s="70" t="n">
        <f aca="false">L36+L37+L38+L39+L40+L41+L42+L43+L44</f>
        <v>35554</v>
      </c>
      <c r="M45" s="70" t="n">
        <f aca="false">M36+M37+M38+M39+M40+M41+M42+M43+M44</f>
        <v>39660</v>
      </c>
      <c r="N45" s="70" t="n">
        <f aca="false">N36+N37+N38+N39+N40+N41+N42+N43+N44</f>
        <v>39660</v>
      </c>
      <c r="O45" s="70" t="n">
        <f aca="false">O36+O37+O38+O39+O40+O41+O42+O43+O44</f>
        <v>39660</v>
      </c>
      <c r="P45" s="70" t="n">
        <f aca="false">P36+P37+P38+P39+P40+P41+P42+P43+P44</f>
        <v>39660</v>
      </c>
      <c r="Q45" s="70" t="n">
        <f aca="false">Q36+Q37+Q38+Q39+Q40+Q41+Q42+Q43+Q44</f>
        <v>41048.1</v>
      </c>
      <c r="R45" s="70" t="n">
        <f aca="false">R36+R37+R38+R39+R40+R41+R42+R43+R44</f>
        <v>41048.1</v>
      </c>
      <c r="S45" s="70" t="n">
        <f aca="false">S36+S37+S38+S39+S40+S41+S42+S43+S44</f>
        <v>41048.1</v>
      </c>
      <c r="T45" s="70" t="n">
        <f aca="false">T36+T37+T38+T39+T40+T41+T42+T43+T44</f>
        <v>41048.1</v>
      </c>
      <c r="U45" s="70" t="n">
        <f aca="false">U36+U37+U38+U39+U40+U41+U42+U43+U44</f>
        <v>41048.1</v>
      </c>
      <c r="V45" s="70" t="n">
        <f aca="false">V36+V37+V38+V39+V40+V41+V42+V43+V44</f>
        <v>41048.1</v>
      </c>
      <c r="W45" s="70" t="n">
        <f aca="false">W36+W37+W38+W39+W40+W41+W42+W43+W44</f>
        <v>41048.1</v>
      </c>
      <c r="X45" s="70" t="n">
        <f aca="false">X36+X37+X38+X39+X40+X41+X42+X43+X44</f>
        <v>41048.1</v>
      </c>
      <c r="Y45" s="70" t="n">
        <f aca="false">Y36+Y37+Y38+Y39+Y40+Y41+Y42+Y43+Y44</f>
        <v>41048.1</v>
      </c>
      <c r="Z45" s="70" t="n">
        <f aca="false">Z36+Z37+Z38+Z39+Z40+Z41+Z42+Z43+Z44</f>
        <v>41048.1</v>
      </c>
      <c r="AA45" s="70" t="n">
        <f aca="false">AA36+AA37+AA38+AA39+AA40+AA41+AA42+AA43+AA44</f>
        <v>41048.1</v>
      </c>
      <c r="AB45" s="70" t="n">
        <f aca="false">AB36+AB37+AB38+AB39+AB40+AB41+AB42+AB43+AB44</f>
        <v>41048.1</v>
      </c>
    </row>
    <row r="46" customFormat="false" ht="15" hidden="false" customHeight="false" outlineLevel="0" collapsed="false">
      <c r="A46" s="27" t="s">
        <v>366</v>
      </c>
      <c r="B46" s="56" t="s">
        <v>1290</v>
      </c>
      <c r="C46" s="57" t="n">
        <f aca="false">SUM(E46:P46)</f>
        <v>7144</v>
      </c>
      <c r="D46" s="57" t="n">
        <f aca="false">SUM(Q46:AB46)</f>
        <v>5858.6</v>
      </c>
      <c r="E46" s="58" t="n">
        <f aca="false">WIP!E716*Assumptions!$C$16/12</f>
        <v>274.666666666667</v>
      </c>
      <c r="F46" s="58" t="n">
        <f aca="false">WIP!F716*Assumptions!$C$16/12</f>
        <v>432</v>
      </c>
      <c r="G46" s="58" t="n">
        <f aca="false">WIP!G716*Assumptions!$C$16/12</f>
        <v>432</v>
      </c>
      <c r="H46" s="58" t="n">
        <f aca="false">WIP!H716*Assumptions!$C$16/12</f>
        <v>477.333333333333</v>
      </c>
      <c r="I46" s="58" t="n">
        <f aca="false">WIP!I716*Assumptions!$C$16/12</f>
        <v>458.666666666667</v>
      </c>
      <c r="J46" s="58" t="n">
        <f aca="false">WIP!J716*Assumptions!$C$16/12</f>
        <v>458.666666666667</v>
      </c>
      <c r="K46" s="58" t="n">
        <f aca="false">WIP!K716*Assumptions!$C$16/12</f>
        <v>510.666666666667</v>
      </c>
      <c r="L46" s="58" t="n">
        <f aca="false">WIP!L716*Assumptions!$C$16/12</f>
        <v>830.666666666667</v>
      </c>
      <c r="M46" s="58" t="n">
        <f aca="false">WIP!M716*Assumptions!$C$16/12</f>
        <v>830.666666666667</v>
      </c>
      <c r="N46" s="58" t="n">
        <f aca="false">WIP!N716*Assumptions!$C$16/12</f>
        <v>830.666666666667</v>
      </c>
      <c r="O46" s="58" t="n">
        <f aca="false">WIP!O716*Assumptions!$C$16/12</f>
        <v>882.666666666667</v>
      </c>
      <c r="P46" s="58" t="n">
        <f aca="false">WIP!P716*Assumptions!$C$16/12</f>
        <v>725.333333333333</v>
      </c>
      <c r="Q46" s="58" t="n">
        <f aca="false">WIP!Q716*Assumptions!$C$16/12</f>
        <v>759.666666666667</v>
      </c>
      <c r="R46" s="58" t="n">
        <f aca="false">WIP!R716*Assumptions!$C$16/12</f>
        <v>759.666666666667</v>
      </c>
      <c r="S46" s="58" t="n">
        <f aca="false">WIP!S716*Assumptions!$C$16/12</f>
        <v>510.333333333333</v>
      </c>
      <c r="T46" s="58" t="n">
        <f aca="false">WIP!T716*Assumptions!$C$16/12</f>
        <v>373</v>
      </c>
      <c r="U46" s="58" t="n">
        <f aca="false">WIP!U716*Assumptions!$C$16/12</f>
        <v>397</v>
      </c>
      <c r="V46" s="58" t="n">
        <f aca="false">WIP!V716*Assumptions!$C$16/12</f>
        <v>397</v>
      </c>
      <c r="W46" s="58" t="n">
        <f aca="false">WIP!W716*Assumptions!$C$16/12</f>
        <v>448.2</v>
      </c>
      <c r="X46" s="58" t="n">
        <f aca="false">WIP!X716*Assumptions!$C$16/12</f>
        <v>491.4</v>
      </c>
      <c r="Y46" s="58" t="n">
        <f aca="false">WIP!Y716*Assumptions!$C$16/12</f>
        <v>605</v>
      </c>
      <c r="Z46" s="58" t="n">
        <f aca="false">WIP!Z716*Assumptions!$C$16/12</f>
        <v>466.666666666667</v>
      </c>
      <c r="AA46" s="58" t="n">
        <f aca="false">WIP!AA716*Assumptions!$C$16/12</f>
        <v>442.666666666667</v>
      </c>
      <c r="AB46" s="58" t="n">
        <f aca="false">WIP!AB716*Assumptions!$C$16/12</f>
        <v>208</v>
      </c>
    </row>
    <row r="47" customFormat="false" ht="15" hidden="false" customHeight="false" outlineLevel="0" collapsed="false">
      <c r="A47" s="27" t="s">
        <v>367</v>
      </c>
      <c r="B47" s="56" t="s">
        <v>1291</v>
      </c>
      <c r="C47" s="57" t="n">
        <f aca="false">SUM(E47:P47)</f>
        <v>9500</v>
      </c>
      <c r="D47" s="57" t="n">
        <f aca="false">SUM(Q47:AB47)</f>
        <v>0</v>
      </c>
      <c r="E47" s="58" t="n">
        <f aca="false">Retentions!E24</f>
        <v>0</v>
      </c>
      <c r="F47" s="58" t="n">
        <f aca="false">Retentions!F24</f>
        <v>0</v>
      </c>
      <c r="G47" s="58" t="n">
        <f aca="false">Retentions!G24</f>
        <v>0</v>
      </c>
      <c r="H47" s="58" t="n">
        <f aca="false">Retentions!H24</f>
        <v>0</v>
      </c>
      <c r="I47" s="58" t="n">
        <f aca="false">Retentions!I24</f>
        <v>0</v>
      </c>
      <c r="J47" s="58" t="n">
        <f aca="false">Retentions!J24</f>
        <v>9500</v>
      </c>
      <c r="K47" s="58" t="n">
        <f aca="false">Retentions!K24</f>
        <v>0</v>
      </c>
      <c r="L47" s="58" t="n">
        <f aca="false">Retentions!L24</f>
        <v>0</v>
      </c>
      <c r="M47" s="58" t="n">
        <f aca="false">Retentions!M24</f>
        <v>0</v>
      </c>
      <c r="N47" s="58" t="n">
        <f aca="false">Retentions!N24</f>
        <v>0</v>
      </c>
      <c r="O47" s="58" t="n">
        <f aca="false">Retentions!O24</f>
        <v>0</v>
      </c>
      <c r="P47" s="58" t="n">
        <f aca="false">Retentions!P24</f>
        <v>0</v>
      </c>
      <c r="Q47" s="58" t="n">
        <f aca="false">Retentions!Q24</f>
        <v>0</v>
      </c>
      <c r="R47" s="58" t="n">
        <f aca="false">Retentions!R24</f>
        <v>0</v>
      </c>
      <c r="S47" s="58" t="n">
        <f aca="false">Retentions!S24</f>
        <v>0</v>
      </c>
      <c r="T47" s="58" t="n">
        <f aca="false">Retentions!T24</f>
        <v>0</v>
      </c>
      <c r="U47" s="58" t="n">
        <f aca="false">Retentions!U24</f>
        <v>0</v>
      </c>
      <c r="V47" s="58" t="n">
        <f aca="false">Retentions!V24</f>
        <v>0</v>
      </c>
      <c r="W47" s="58" t="n">
        <f aca="false">Retentions!W24</f>
        <v>0</v>
      </c>
      <c r="X47" s="58" t="n">
        <f aca="false">Retentions!X24</f>
        <v>0</v>
      </c>
      <c r="Y47" s="58" t="n">
        <f aca="false">Retentions!Y24</f>
        <v>0</v>
      </c>
      <c r="Z47" s="58" t="n">
        <f aca="false">Retentions!Z24</f>
        <v>0</v>
      </c>
      <c r="AA47" s="58" t="n">
        <f aca="false">Retentions!AA24</f>
        <v>0</v>
      </c>
      <c r="AB47" s="58" t="n">
        <f aca="false">Retentions!AB24</f>
        <v>0</v>
      </c>
    </row>
    <row r="48" customFormat="false" ht="15" hidden="false" customHeight="false" outlineLevel="0" collapsed="false">
      <c r="A48" s="67" t="s">
        <v>368</v>
      </c>
      <c r="B48" s="68" t="s">
        <v>1292</v>
      </c>
      <c r="C48" s="69" t="n">
        <f aca="false">SUM(E48:P48)</f>
        <v>1086198.55</v>
      </c>
      <c r="D48" s="69" t="n">
        <f aca="false">SUM(Q48:AB48)</f>
        <v>1280553.008</v>
      </c>
      <c r="E48" s="69" t="n">
        <f aca="false">E24+E45+E46+E47</f>
        <v>87390.1916666667</v>
      </c>
      <c r="F48" s="69" t="n">
        <f aca="false">F24+F45+F46+F47</f>
        <v>86786.4125</v>
      </c>
      <c r="G48" s="69" t="n">
        <f aca="false">G24+G45+G46+G47</f>
        <v>86367.8</v>
      </c>
      <c r="H48" s="69" t="n">
        <f aca="false">H24+H45+H46+H47</f>
        <v>87554.2958333333</v>
      </c>
      <c r="I48" s="69" t="n">
        <f aca="false">I24+I45+I46+I47</f>
        <v>87329.4791666667</v>
      </c>
      <c r="J48" s="69" t="n">
        <f aca="false">J24+J45+J46+J47</f>
        <v>98834.6666666667</v>
      </c>
      <c r="K48" s="69" t="n">
        <f aca="false">K24+K45+K46+K47</f>
        <v>89848.3666666667</v>
      </c>
      <c r="L48" s="69" t="n">
        <f aca="false">L24+L45+L46+L47</f>
        <v>86998.7541666667</v>
      </c>
      <c r="M48" s="69" t="n">
        <f aca="false">M24+M45+M46+M47</f>
        <v>91291.9166666667</v>
      </c>
      <c r="N48" s="69" t="n">
        <f aca="false">N24+N45+N46+N47</f>
        <v>91357.4666666667</v>
      </c>
      <c r="O48" s="69" t="n">
        <f aca="false">O24+O45+O46+O47</f>
        <v>96298.2666666667</v>
      </c>
      <c r="P48" s="69" t="n">
        <f aca="false">P24+P45+P46+P47</f>
        <v>96140.9333333333</v>
      </c>
      <c r="Q48" s="69" t="n">
        <f aca="false">Q24+Q45+Q46+Q47</f>
        <v>106984.200666667</v>
      </c>
      <c r="R48" s="69" t="n">
        <f aca="false">R24+R45+R46+R47</f>
        <v>106984.200666667</v>
      </c>
      <c r="S48" s="69" t="n">
        <f aca="false">S24+S45+S46+S47</f>
        <v>106734.867333333</v>
      </c>
      <c r="T48" s="69" t="n">
        <f aca="false">T24+T45+T46+T47</f>
        <v>106597.534</v>
      </c>
      <c r="U48" s="69" t="n">
        <f aca="false">U24+U45+U46+U47</f>
        <v>106621.534</v>
      </c>
      <c r="V48" s="69" t="n">
        <f aca="false">V24+V45+V46+V47</f>
        <v>106621.534</v>
      </c>
      <c r="W48" s="69" t="n">
        <f aca="false">W24+W45+W46+W47</f>
        <v>106672.734</v>
      </c>
      <c r="X48" s="69" t="n">
        <f aca="false">X24+X45+X46+X47</f>
        <v>106715.934</v>
      </c>
      <c r="Y48" s="69" t="n">
        <f aca="false">Y24+Y45+Y46+Y47</f>
        <v>106829.534</v>
      </c>
      <c r="Z48" s="69" t="n">
        <f aca="false">Z24+Z45+Z46+Z47</f>
        <v>106691.200666667</v>
      </c>
      <c r="AA48" s="69" t="n">
        <f aca="false">AA24+AA45+AA46+AA47</f>
        <v>106667.200666667</v>
      </c>
      <c r="AB48" s="69" t="n">
        <f aca="false">AB24+AB45+AB46+AB47</f>
        <v>106432.534</v>
      </c>
    </row>
    <row r="49" customFormat="false" ht="15" hidden="false" customHeight="false" outlineLevel="0" collapsed="false">
      <c r="A49" s="21" t="s">
        <v>1293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row>
    <row r="50" customFormat="false" ht="15" hidden="false" customHeight="false" outlineLevel="0" collapsed="false">
      <c r="A50" s="27" t="s">
        <v>1294</v>
      </c>
      <c r="B50" s="56"/>
      <c r="C50" s="57" t="n">
        <f aca="false">SUM(E50:P50)</f>
        <v>1792619</v>
      </c>
      <c r="D50" s="57" t="n">
        <f aca="false">SUM(Q50:AB50)</f>
        <v>2238653.25</v>
      </c>
      <c r="E50" s="58" t="n">
        <f aca="false">Resources!E23+E21</f>
        <v>144211</v>
      </c>
      <c r="F50" s="58" t="n">
        <f aca="false">Resources!F23+F21</f>
        <v>143374</v>
      </c>
      <c r="G50" s="58" t="n">
        <f aca="false">Resources!G23+G21</f>
        <v>142765</v>
      </c>
      <c r="H50" s="58" t="n">
        <f aca="false">Resources!H23+H21</f>
        <v>137842</v>
      </c>
      <c r="I50" s="58" t="n">
        <f aca="false">Resources!I23+I21</f>
        <v>137659</v>
      </c>
      <c r="J50" s="58" t="n">
        <f aca="false">Resources!J23+J21</f>
        <v>147490</v>
      </c>
      <c r="K50" s="58" t="n">
        <f aca="false">Resources!K23+K21</f>
        <v>156026</v>
      </c>
      <c r="L50" s="58" t="n">
        <f aca="false">Resources!L23+L21</f>
        <v>151852</v>
      </c>
      <c r="M50" s="58" t="n">
        <f aca="false">Resources!M23+M21</f>
        <v>152050</v>
      </c>
      <c r="N50" s="58" t="n">
        <f aca="false">Resources!N23+N21</f>
        <v>152050</v>
      </c>
      <c r="O50" s="58" t="n">
        <f aca="false">Resources!O23+O21</f>
        <v>163650</v>
      </c>
      <c r="P50" s="58" t="n">
        <f aca="false">Resources!P23+P21</f>
        <v>163650</v>
      </c>
      <c r="Q50" s="58" t="n">
        <f aca="false">Resources!Q23+Q21</f>
        <v>175794.75</v>
      </c>
      <c r="R50" s="58" t="n">
        <f aca="false">Resources!R23+R21</f>
        <v>179986.5</v>
      </c>
      <c r="S50" s="58" t="n">
        <f aca="false">Resources!S23+S21</f>
        <v>183350.25</v>
      </c>
      <c r="T50" s="58" t="n">
        <f aca="false">Resources!T23+T21</f>
        <v>188835.75</v>
      </c>
      <c r="U50" s="58" t="n">
        <f aca="false">Resources!U23+U21</f>
        <v>188835.75</v>
      </c>
      <c r="V50" s="58" t="n">
        <f aca="false">Resources!V23+V21</f>
        <v>188835.75</v>
      </c>
      <c r="W50" s="58" t="n">
        <f aca="false">Resources!W23+W21</f>
        <v>188835.75</v>
      </c>
      <c r="X50" s="58" t="n">
        <f aca="false">Resources!X23+X21</f>
        <v>188835.75</v>
      </c>
      <c r="Y50" s="58" t="n">
        <f aca="false">Resources!Y23+Y21</f>
        <v>188835.75</v>
      </c>
      <c r="Z50" s="58" t="n">
        <f aca="false">Resources!Z23+Z21</f>
        <v>188835.75</v>
      </c>
      <c r="AA50" s="58" t="n">
        <f aca="false">Resources!AA23+AA21</f>
        <v>188835.75</v>
      </c>
      <c r="AB50" s="58" t="n">
        <f aca="false">Resources!AB23+AB21</f>
        <v>188835.75</v>
      </c>
    </row>
    <row r="51" customFormat="false" ht="15" hidden="false" customHeight="false" outlineLevel="0" collapsed="false">
      <c r="A51" s="27" t="s">
        <v>1174</v>
      </c>
      <c r="B51" s="56"/>
      <c r="E51" s="58" t="n">
        <f aca="false">Inputs_Actuals!$C$140</f>
        <v>61800</v>
      </c>
      <c r="F51" s="70" t="n">
        <f aca="false">E54</f>
        <v>58044.9275</v>
      </c>
      <c r="G51" s="70" t="n">
        <f aca="false">F54</f>
        <v>57708.035</v>
      </c>
      <c r="H51" s="70" t="n">
        <f aca="false">G54</f>
        <v>57462.9125</v>
      </c>
      <c r="I51" s="70" t="n">
        <f aca="false">H54</f>
        <v>55481.405</v>
      </c>
      <c r="J51" s="70" t="n">
        <f aca="false">I54</f>
        <v>55407.7475</v>
      </c>
      <c r="K51" s="70" t="n">
        <f aca="false">J54</f>
        <v>59364.725</v>
      </c>
      <c r="L51" s="70" t="n">
        <f aca="false">K54</f>
        <v>62800.465</v>
      </c>
      <c r="M51" s="70" t="n">
        <f aca="false">L54</f>
        <v>61120.43</v>
      </c>
      <c r="N51" s="70" t="n">
        <f aca="false">M54</f>
        <v>61200.125</v>
      </c>
      <c r="O51" s="70" t="n">
        <f aca="false">N54</f>
        <v>61428.2</v>
      </c>
      <c r="P51" s="70" t="n">
        <f aca="false">O54</f>
        <v>66114.6</v>
      </c>
      <c r="Q51" s="70" t="n">
        <f aca="false">P54</f>
        <v>66114.6</v>
      </c>
      <c r="R51" s="70" t="n">
        <f aca="false">Q54</f>
        <v>71021.079</v>
      </c>
      <c r="S51" s="70" t="n">
        <f aca="false">R54</f>
        <v>72714.546</v>
      </c>
      <c r="T51" s="70" t="n">
        <f aca="false">S54</f>
        <v>74073.501</v>
      </c>
      <c r="U51" s="70" t="n">
        <f aca="false">T54</f>
        <v>76289.643</v>
      </c>
      <c r="V51" s="70" t="n">
        <f aca="false">U54</f>
        <v>76289.643</v>
      </c>
      <c r="W51" s="70" t="n">
        <f aca="false">V54</f>
        <v>76289.643</v>
      </c>
      <c r="X51" s="70" t="n">
        <f aca="false">W54</f>
        <v>76289.643</v>
      </c>
      <c r="Y51" s="70" t="n">
        <f aca="false">X54</f>
        <v>76289.643</v>
      </c>
      <c r="Z51" s="70" t="n">
        <f aca="false">Y54</f>
        <v>76289.643</v>
      </c>
      <c r="AA51" s="70" t="n">
        <f aca="false">Z54</f>
        <v>76289.643</v>
      </c>
      <c r="AB51" s="70" t="n">
        <f aca="false">AA54</f>
        <v>76289.643</v>
      </c>
    </row>
    <row r="52" customFormat="false" ht="15" hidden="false" customHeight="false" outlineLevel="0" collapsed="false">
      <c r="A52" s="27" t="s">
        <v>1295</v>
      </c>
      <c r="B52" s="56"/>
      <c r="C52" s="57" t="n">
        <f aca="false">SUM(E52:P52)</f>
        <v>722248.1725</v>
      </c>
      <c r="D52" s="57" t="n">
        <f aca="false">SUM(Q52:AB52)</f>
        <v>904415.913</v>
      </c>
      <c r="E52" s="58" t="n">
        <f aca="false">E50*Assumptions!$C$32+Resources!E24+E22+Resources!E25+E23</f>
        <v>58044.9275</v>
      </c>
      <c r="F52" s="58" t="n">
        <f aca="false">F50*Assumptions!$C$32+Resources!F24+F22+Resources!F25+F23</f>
        <v>57708.035</v>
      </c>
      <c r="G52" s="58" t="n">
        <f aca="false">G50*Assumptions!$C$32+Resources!G24+G22+Resources!G25+G23</f>
        <v>57462.9125</v>
      </c>
      <c r="H52" s="58" t="n">
        <f aca="false">H50*Assumptions!$C$32+Resources!H24+H22+Resources!H25+H23</f>
        <v>55481.405</v>
      </c>
      <c r="I52" s="58" t="n">
        <f aca="false">I50*Assumptions!$C$32+Resources!I24+I22+Resources!I25+I23</f>
        <v>55407.7475</v>
      </c>
      <c r="J52" s="58" t="n">
        <f aca="false">J50*Assumptions!$C$32+Resources!J24+J22+Resources!J25+J23</f>
        <v>59364.725</v>
      </c>
      <c r="K52" s="58" t="n">
        <f aca="false">K50*Assumptions!$C$32+Resources!K24+K22+Resources!K25+K23</f>
        <v>62800.465</v>
      </c>
      <c r="L52" s="58" t="n">
        <f aca="false">L50*Assumptions!$C$32+Resources!L24+L22+Resources!L25+L23</f>
        <v>61120.43</v>
      </c>
      <c r="M52" s="58" t="n">
        <f aca="false">M50*Assumptions!$C$32+Resources!M24+M22+Resources!M25+M23</f>
        <v>61200.125</v>
      </c>
      <c r="N52" s="58" t="n">
        <f aca="false">N50*Assumptions!$C$32+Resources!N24+N22+Resources!N25+N23</f>
        <v>61428.2</v>
      </c>
      <c r="O52" s="58" t="n">
        <f aca="false">O50*Assumptions!$C$32+Resources!O24+O22+Resources!O25+O23</f>
        <v>66114.6</v>
      </c>
      <c r="P52" s="58" t="n">
        <f aca="false">P50*Assumptions!$C$32+Resources!P24+P22+Resources!P25+P23</f>
        <v>66114.6</v>
      </c>
      <c r="Q52" s="58" t="n">
        <f aca="false">Q50*Assumptions!$C$32+Resources!Q24+Q22+Resources!Q25+Q23</f>
        <v>71021.079</v>
      </c>
      <c r="R52" s="58" t="n">
        <f aca="false">R50*Assumptions!$C$32+Resources!R24+R22+Resources!R25+R23</f>
        <v>72714.546</v>
      </c>
      <c r="S52" s="58" t="n">
        <f aca="false">S50*Assumptions!$C$32+Resources!S24+S22+Resources!S25+S23</f>
        <v>74073.501</v>
      </c>
      <c r="T52" s="58" t="n">
        <f aca="false">T50*Assumptions!$C$32+Resources!T24+T22+Resources!T25+T23</f>
        <v>76289.643</v>
      </c>
      <c r="U52" s="58" t="n">
        <f aca="false">U50*Assumptions!$C$32+Resources!U24+U22+Resources!U25+U23</f>
        <v>76289.643</v>
      </c>
      <c r="V52" s="58" t="n">
        <f aca="false">V50*Assumptions!$C$32+Resources!V24+V22+Resources!V25+V23</f>
        <v>76289.643</v>
      </c>
      <c r="W52" s="58" t="n">
        <f aca="false">W50*Assumptions!$C$32+Resources!W24+W22+Resources!W25+W23</f>
        <v>76289.643</v>
      </c>
      <c r="X52" s="58" t="n">
        <f aca="false">X50*Assumptions!$C$32+Resources!X24+X22+Resources!X25+X23</f>
        <v>76289.643</v>
      </c>
      <c r="Y52" s="58" t="n">
        <f aca="false">Y50*Assumptions!$C$32+Resources!Y24+Y22+Resources!Y25+Y23</f>
        <v>76289.643</v>
      </c>
      <c r="Z52" s="58" t="n">
        <f aca="false">Z50*Assumptions!$C$32+Resources!Z24+Z22+Resources!Z25+Z23</f>
        <v>76289.643</v>
      </c>
      <c r="AA52" s="58" t="n">
        <f aca="false">AA50*Assumptions!$C$32+Resources!AA24+AA22+Resources!AA25+AA23</f>
        <v>76289.643</v>
      </c>
      <c r="AB52" s="58" t="n">
        <f aca="false">AB50*Assumptions!$C$32+Resources!AB24+AB22+Resources!AB25+AB23</f>
        <v>76289.643</v>
      </c>
    </row>
    <row r="53" customFormat="false" ht="15" hidden="false" customHeight="false" outlineLevel="0" collapsed="false">
      <c r="A53" s="27" t="s">
        <v>1296</v>
      </c>
      <c r="B53" s="56"/>
      <c r="C53" s="57" t="n">
        <f aca="false">SUM(E53:P53)</f>
        <v>-717933.5725</v>
      </c>
      <c r="D53" s="57" t="n">
        <f aca="false">SUM(Q53:AB53)</f>
        <v>-894240.87</v>
      </c>
      <c r="E53" s="70" t="n">
        <f aca="false">-E51</f>
        <v>-61800</v>
      </c>
      <c r="F53" s="70" t="n">
        <f aca="false">-F51</f>
        <v>-58044.9275</v>
      </c>
      <c r="G53" s="70" t="n">
        <f aca="false">-G51</f>
        <v>-57708.035</v>
      </c>
      <c r="H53" s="70" t="n">
        <f aca="false">-H51</f>
        <v>-57462.9125</v>
      </c>
      <c r="I53" s="70" t="n">
        <f aca="false">-I51</f>
        <v>-55481.405</v>
      </c>
      <c r="J53" s="70" t="n">
        <f aca="false">-J51</f>
        <v>-55407.7475</v>
      </c>
      <c r="K53" s="70" t="n">
        <f aca="false">-K51</f>
        <v>-59364.725</v>
      </c>
      <c r="L53" s="70" t="n">
        <f aca="false">-L51</f>
        <v>-62800.465</v>
      </c>
      <c r="M53" s="70" t="n">
        <f aca="false">-M51</f>
        <v>-61120.43</v>
      </c>
      <c r="N53" s="70" t="n">
        <f aca="false">-N51</f>
        <v>-61200.125</v>
      </c>
      <c r="O53" s="70" t="n">
        <f aca="false">-O51</f>
        <v>-61428.2</v>
      </c>
      <c r="P53" s="70" t="n">
        <f aca="false">-P51</f>
        <v>-66114.6</v>
      </c>
      <c r="Q53" s="70" t="n">
        <f aca="false">-Q51</f>
        <v>-66114.6</v>
      </c>
      <c r="R53" s="70" t="n">
        <f aca="false">-R51</f>
        <v>-71021.079</v>
      </c>
      <c r="S53" s="70" t="n">
        <f aca="false">-S51</f>
        <v>-72714.546</v>
      </c>
      <c r="T53" s="70" t="n">
        <f aca="false">-T51</f>
        <v>-74073.501</v>
      </c>
      <c r="U53" s="70" t="n">
        <f aca="false">-U51</f>
        <v>-76289.643</v>
      </c>
      <c r="V53" s="70" t="n">
        <f aca="false">-V51</f>
        <v>-76289.643</v>
      </c>
      <c r="W53" s="70" t="n">
        <f aca="false">-W51</f>
        <v>-76289.643</v>
      </c>
      <c r="X53" s="70" t="n">
        <f aca="false">-X51</f>
        <v>-76289.643</v>
      </c>
      <c r="Y53" s="70" t="n">
        <f aca="false">-Y51</f>
        <v>-76289.643</v>
      </c>
      <c r="Z53" s="70" t="n">
        <f aca="false">-Z51</f>
        <v>-76289.643</v>
      </c>
      <c r="AA53" s="70" t="n">
        <f aca="false">-AA51</f>
        <v>-76289.643</v>
      </c>
      <c r="AB53" s="70" t="n">
        <f aca="false">-AB51</f>
        <v>-76289.643</v>
      </c>
    </row>
    <row r="54" customFormat="false" ht="15" hidden="false" customHeight="false" outlineLevel="0" collapsed="false">
      <c r="A54" s="67" t="s">
        <v>1297</v>
      </c>
      <c r="B54" s="68"/>
      <c r="C54" s="69" t="n">
        <f aca="false">P54</f>
        <v>66114.6</v>
      </c>
      <c r="D54" s="69" t="n">
        <f aca="false">AB54</f>
        <v>76289.643</v>
      </c>
      <c r="E54" s="69" t="n">
        <f aca="false">E51+E52+E53</f>
        <v>58044.9275</v>
      </c>
      <c r="F54" s="69" t="n">
        <f aca="false">F51+F52+F53</f>
        <v>57708.035</v>
      </c>
      <c r="G54" s="69" t="n">
        <f aca="false">G51+G52+G53</f>
        <v>57462.9125</v>
      </c>
      <c r="H54" s="69" t="n">
        <f aca="false">H51+H52+H53</f>
        <v>55481.405</v>
      </c>
      <c r="I54" s="69" t="n">
        <f aca="false">I51+I52+I53</f>
        <v>55407.7475</v>
      </c>
      <c r="J54" s="69" t="n">
        <f aca="false">J51+J52+J53</f>
        <v>59364.725</v>
      </c>
      <c r="K54" s="69" t="n">
        <f aca="false">K51+K52+K53</f>
        <v>62800.465</v>
      </c>
      <c r="L54" s="69" t="n">
        <f aca="false">L51+L52+L53</f>
        <v>61120.43</v>
      </c>
      <c r="M54" s="69" t="n">
        <f aca="false">M51+M52+M53</f>
        <v>61200.125</v>
      </c>
      <c r="N54" s="69" t="n">
        <f aca="false">N51+N52+N53</f>
        <v>61428.2</v>
      </c>
      <c r="O54" s="69" t="n">
        <f aca="false">O51+O52+O53</f>
        <v>66114.6</v>
      </c>
      <c r="P54" s="69" t="n">
        <f aca="false">P51+P52+P53</f>
        <v>66114.6</v>
      </c>
      <c r="Q54" s="69" t="n">
        <f aca="false">Q51+Q52+Q53</f>
        <v>71021.079</v>
      </c>
      <c r="R54" s="69" t="n">
        <f aca="false">R51+R52+R53</f>
        <v>72714.546</v>
      </c>
      <c r="S54" s="69" t="n">
        <f aca="false">S51+S52+S53</f>
        <v>74073.501</v>
      </c>
      <c r="T54" s="69" t="n">
        <f aca="false">T51+T52+T53</f>
        <v>76289.643</v>
      </c>
      <c r="U54" s="69" t="n">
        <f aca="false">U51+U52+U53</f>
        <v>76289.643</v>
      </c>
      <c r="V54" s="69" t="n">
        <f aca="false">V51+V52+V53</f>
        <v>76289.643</v>
      </c>
      <c r="W54" s="69" t="n">
        <f aca="false">W51+W52+W53</f>
        <v>76289.643</v>
      </c>
      <c r="X54" s="69" t="n">
        <f aca="false">X51+X52+X53</f>
        <v>76289.643</v>
      </c>
      <c r="Y54" s="69" t="n">
        <f aca="false">Y51+Y52+Y53</f>
        <v>76289.643</v>
      </c>
      <c r="Z54" s="69" t="n">
        <f aca="false">Z51+Z52+Z53</f>
        <v>76289.643</v>
      </c>
      <c r="AA54" s="69" t="n">
        <f aca="false">AA51+AA52+AA53</f>
        <v>76289.643</v>
      </c>
      <c r="AB54" s="69" t="n">
        <f aca="false">AB51+AB52+AB53</f>
        <v>76289.643</v>
      </c>
    </row>
    <row r="55" customFormat="false" ht="15" hidden="false" customHeight="false" outlineLevel="0" collapsed="false">
      <c r="A55" s="27" t="s">
        <v>1298</v>
      </c>
      <c r="B55" s="56" t="s">
        <v>1299</v>
      </c>
      <c r="C55" s="57" t="n">
        <f aca="false">SUM(E55:P55)</f>
        <v>968217.96</v>
      </c>
      <c r="D55" s="57" t="n">
        <f aca="false">SUM(Q55:AB55)</f>
        <v>1190715.75</v>
      </c>
      <c r="E55" s="58" t="n">
        <f aca="false">Resources!E23*(1-Assumptions!$C$32)</f>
        <v>76438.52</v>
      </c>
      <c r="F55" s="58" t="n">
        <f aca="false">Resources!F23*(1-Assumptions!$C$32)</f>
        <v>76055.48</v>
      </c>
      <c r="G55" s="58" t="n">
        <f aca="false">Resources!G23*(1-Assumptions!$C$32)</f>
        <v>78429.72</v>
      </c>
      <c r="H55" s="58" t="n">
        <f aca="false">Resources!H23*(1-Assumptions!$C$32)</f>
        <v>74930.68</v>
      </c>
      <c r="I55" s="58" t="n">
        <f aca="false">Resources!I23*(1-Assumptions!$C$32)</f>
        <v>74946.64</v>
      </c>
      <c r="J55" s="58" t="n">
        <f aca="false">Resources!J23*(1-Assumptions!$C$32)</f>
        <v>78774</v>
      </c>
      <c r="K55" s="58" t="n">
        <f aca="false">Resources!K23*(1-Assumptions!$C$32)</f>
        <v>85693.04</v>
      </c>
      <c r="L55" s="58" t="n">
        <f aca="false">Resources!L23*(1-Assumptions!$C$32)</f>
        <v>82317.88</v>
      </c>
      <c r="M55" s="58" t="n">
        <f aca="false">Resources!M23*(1-Assumptions!$C$32)</f>
        <v>82346</v>
      </c>
      <c r="N55" s="58" t="n">
        <f aca="false">Resources!N23*(1-Assumptions!$C$32)</f>
        <v>82346</v>
      </c>
      <c r="O55" s="58" t="n">
        <f aca="false">Resources!O23*(1-Assumptions!$C$32)</f>
        <v>87970</v>
      </c>
      <c r="P55" s="58" t="n">
        <f aca="false">Resources!P23*(1-Assumptions!$C$32)</f>
        <v>87970</v>
      </c>
      <c r="Q55" s="58" t="n">
        <f aca="false">Resources!Q23*(1-Assumptions!$C$32)</f>
        <v>91048.95</v>
      </c>
      <c r="R55" s="58" t="n">
        <f aca="false">Resources!R23*(1-Assumptions!$C$32)</f>
        <v>94234.68</v>
      </c>
      <c r="S55" s="58" t="n">
        <f aca="false">Resources!S23*(1-Assumptions!$C$32)</f>
        <v>96791.13</v>
      </c>
      <c r="T55" s="58" t="n">
        <f aca="false">Resources!T23*(1-Assumptions!$C$32)</f>
        <v>100960.11</v>
      </c>
      <c r="U55" s="58" t="n">
        <f aca="false">Resources!U23*(1-Assumptions!$C$32)</f>
        <v>100960.11</v>
      </c>
      <c r="V55" s="58" t="n">
        <f aca="false">Resources!V23*(1-Assumptions!$C$32)</f>
        <v>100960.11</v>
      </c>
      <c r="W55" s="58" t="n">
        <f aca="false">Resources!W23*(1-Assumptions!$C$32)</f>
        <v>100960.11</v>
      </c>
      <c r="X55" s="58" t="n">
        <f aca="false">Resources!X23*(1-Assumptions!$C$32)</f>
        <v>100960.11</v>
      </c>
      <c r="Y55" s="58" t="n">
        <f aca="false">Resources!Y23*(1-Assumptions!$C$32)</f>
        <v>100960.11</v>
      </c>
      <c r="Z55" s="58" t="n">
        <f aca="false">Resources!Z23*(1-Assumptions!$C$32)</f>
        <v>100960.11</v>
      </c>
      <c r="AA55" s="58" t="n">
        <f aca="false">Resources!AA23*(1-Assumptions!$C$32)</f>
        <v>100960.11</v>
      </c>
      <c r="AB55" s="58" t="n">
        <f aca="false">Resources!AB23*(1-Assumptions!$C$32)</f>
        <v>100960.11</v>
      </c>
    </row>
    <row r="56" customFormat="false" ht="15" hidden="false" customHeight="false" outlineLevel="0" collapsed="false">
      <c r="A56" s="27" t="s">
        <v>1300</v>
      </c>
      <c r="B56" s="56"/>
      <c r="C56" s="57" t="n">
        <f aca="false">SUM(E56:P56)</f>
        <v>394172.48</v>
      </c>
      <c r="D56" s="57" t="n">
        <f aca="false">SUM(Q56:AB56)</f>
        <v>510660.72</v>
      </c>
      <c r="E56" s="58" t="n">
        <f aca="false">E21*(1-Assumptions!$C$32)</f>
        <v>33161.84</v>
      </c>
      <c r="F56" s="58" t="n">
        <f aca="false">F21*(1-Assumptions!$C$32)</f>
        <v>32908.76</v>
      </c>
      <c r="G56" s="58" t="n">
        <f aca="false">G21*(1-Assumptions!$C$32)</f>
        <v>30071.68</v>
      </c>
      <c r="H56" s="58" t="n">
        <f aca="false">H21*(1-Assumptions!$C$32)</f>
        <v>29829.24</v>
      </c>
      <c r="I56" s="58" t="n">
        <f aca="false">I21*(1-Assumptions!$C$32)</f>
        <v>29674.2</v>
      </c>
      <c r="J56" s="58" t="n">
        <f aca="false">J21*(1-Assumptions!$C$32)</f>
        <v>33318.4</v>
      </c>
      <c r="K56" s="58" t="n">
        <f aca="false">K21*(1-Assumptions!$C$32)</f>
        <v>32886.72</v>
      </c>
      <c r="L56" s="58" t="n">
        <f aca="false">L21*(1-Assumptions!$C$32)</f>
        <v>33089.64</v>
      </c>
      <c r="M56" s="58" t="n">
        <f aca="false">M21*(1-Assumptions!$C$32)</f>
        <v>33212</v>
      </c>
      <c r="N56" s="58" t="n">
        <f aca="false">N21*(1-Assumptions!$C$32)</f>
        <v>33212</v>
      </c>
      <c r="O56" s="58" t="n">
        <f aca="false">O21*(1-Assumptions!$C$32)</f>
        <v>36404</v>
      </c>
      <c r="P56" s="58" t="n">
        <f aca="false">P21*(1-Assumptions!$C$32)</f>
        <v>36404</v>
      </c>
      <c r="Q56" s="58" t="n">
        <f aca="false">Q21*(1-Assumptions!$C$32)</f>
        <v>42555.06</v>
      </c>
      <c r="R56" s="58" t="n">
        <f aca="false">R21*(1-Assumptions!$C$32)</f>
        <v>42555.06</v>
      </c>
      <c r="S56" s="58" t="n">
        <f aca="false">S21*(1-Assumptions!$C$32)</f>
        <v>42555.06</v>
      </c>
      <c r="T56" s="58" t="n">
        <f aca="false">T21*(1-Assumptions!$C$32)</f>
        <v>42555.06</v>
      </c>
      <c r="U56" s="58" t="n">
        <f aca="false">U21*(1-Assumptions!$C$32)</f>
        <v>42555.06</v>
      </c>
      <c r="V56" s="58" t="n">
        <f aca="false">V21*(1-Assumptions!$C$32)</f>
        <v>42555.06</v>
      </c>
      <c r="W56" s="58" t="n">
        <f aca="false">W21*(1-Assumptions!$C$32)</f>
        <v>42555.06</v>
      </c>
      <c r="X56" s="58" t="n">
        <f aca="false">X21*(1-Assumptions!$C$32)</f>
        <v>42555.06</v>
      </c>
      <c r="Y56" s="58" t="n">
        <f aca="false">Y21*(1-Assumptions!$C$32)</f>
        <v>42555.06</v>
      </c>
      <c r="Z56" s="58" t="n">
        <f aca="false">Z21*(1-Assumptions!$C$32)</f>
        <v>42555.06</v>
      </c>
      <c r="AA56" s="58" t="n">
        <f aca="false">AA21*(1-Assumptions!$C$32)</f>
        <v>42555.06</v>
      </c>
      <c r="AB56" s="58" t="n">
        <f aca="false">AB21*(1-Assumptions!$C$32)</f>
        <v>42555.06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1301</v>
      </c>
    </row>
    <row r="3" customFormat="false" ht="15" hidden="false" customHeight="false" outlineLevel="0" collapsed="false">
      <c r="A3" s="47" t="s">
        <v>1302</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1303</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1304</v>
      </c>
      <c r="B9" s="56"/>
      <c r="E9" s="58" t="n">
        <f aca="false">Inputs_Actuals!$C$129</f>
        <v>395000</v>
      </c>
      <c r="F9" s="70" t="n">
        <f aca="false">E11</f>
        <v>395000</v>
      </c>
      <c r="G9" s="70" t="n">
        <f aca="false">F11</f>
        <v>395000</v>
      </c>
      <c r="H9" s="70" t="n">
        <f aca="false">G11</f>
        <v>395000</v>
      </c>
      <c r="I9" s="70" t="n">
        <f aca="false">H11</f>
        <v>433500</v>
      </c>
      <c r="J9" s="70" t="n">
        <f aca="false">I11</f>
        <v>433500</v>
      </c>
      <c r="K9" s="70" t="n">
        <f aca="false">J11</f>
        <v>433500</v>
      </c>
      <c r="L9" s="70" t="n">
        <f aca="false">K11</f>
        <v>433500</v>
      </c>
      <c r="M9" s="70" t="n">
        <f aca="false">L11</f>
        <v>433500</v>
      </c>
      <c r="N9" s="70" t="n">
        <f aca="false">M11</f>
        <v>433500</v>
      </c>
      <c r="O9" s="70" t="n">
        <f aca="false">N11</f>
        <v>433500</v>
      </c>
      <c r="P9" s="70" t="n">
        <f aca="false">O11</f>
        <v>433500</v>
      </c>
      <c r="Q9" s="70" t="n">
        <f aca="false">P11</f>
        <v>433500</v>
      </c>
      <c r="R9" s="70" t="n">
        <f aca="false">Q11</f>
        <v>433500</v>
      </c>
      <c r="S9" s="70" t="n">
        <f aca="false">R11</f>
        <v>433500</v>
      </c>
      <c r="T9" s="70" t="n">
        <f aca="false">S11</f>
        <v>511500</v>
      </c>
      <c r="U9" s="70" t="n">
        <f aca="false">T11</f>
        <v>511500</v>
      </c>
      <c r="V9" s="70" t="n">
        <f aca="false">U11</f>
        <v>511500</v>
      </c>
      <c r="W9" s="70" t="n">
        <f aca="false">V11</f>
        <v>511500</v>
      </c>
      <c r="X9" s="70" t="n">
        <f aca="false">W11</f>
        <v>511500</v>
      </c>
      <c r="Y9" s="70" t="n">
        <f aca="false">X11</f>
        <v>511500</v>
      </c>
      <c r="Z9" s="70" t="n">
        <f aca="false">Y11</f>
        <v>511500</v>
      </c>
      <c r="AA9" s="70" t="n">
        <f aca="false">Z11</f>
        <v>511500</v>
      </c>
      <c r="AB9" s="70" t="n">
        <f aca="false">AA11</f>
        <v>511500</v>
      </c>
    </row>
    <row r="10" customFormat="false" ht="15" hidden="false" customHeight="false" outlineLevel="0" collapsed="false">
      <c r="A10" s="27" t="s">
        <v>1305</v>
      </c>
      <c r="B10" s="56" t="s">
        <v>1306</v>
      </c>
      <c r="C10" s="57" t="n">
        <f aca="false">SUM(E10:P10)</f>
        <v>38500</v>
      </c>
      <c r="D10" s="57" t="n">
        <f aca="false">SUM(Q10:AB10)</f>
        <v>78000</v>
      </c>
      <c r="E10" s="58" t="n">
        <f aca="false">IF(E$5="A",Inputs_Actuals!E110,IF(Assumptions!E$95=Assumptions!$C$85,Assumptions!$C$84,0))</f>
        <v>0</v>
      </c>
      <c r="F10" s="58" t="n">
        <f aca="false">IF(F$5="A",Inputs_Actuals!F110,IF(Assumptions!F$95=Assumptions!$C$85,Assumptions!$C$84,0))</f>
        <v>0</v>
      </c>
      <c r="G10" s="58" t="n">
        <f aca="false">IF(G$5="A",Inputs_Actuals!G110,IF(Assumptions!G$95=Assumptions!$C$85,Assumptions!$C$84,0))</f>
        <v>0</v>
      </c>
      <c r="H10" s="58" t="n">
        <f aca="false">IF(H$5="A",Inputs_Actuals!H110,IF(Assumptions!H$95=Assumptions!$C$85,Assumptions!$C$84,0))</f>
        <v>38500</v>
      </c>
      <c r="I10" s="58" t="n">
        <f aca="false">IF(I$5="A",Inputs_Actuals!I110,IF(Assumptions!I$95=Assumptions!$C$85,Assumptions!$C$84,0))</f>
        <v>0</v>
      </c>
      <c r="J10" s="58" t="n">
        <f aca="false">IF(J$5="A",Inputs_Actuals!J110,IF(Assumptions!J$95=Assumptions!$C$85,Assumptions!$C$84,0))</f>
        <v>0</v>
      </c>
      <c r="K10" s="58" t="n">
        <f aca="false">IF(K$5="A",Inputs_Actuals!K110,IF(Assumptions!K$95=Assumptions!$C$85,Assumptions!$C$84,0))</f>
        <v>0</v>
      </c>
      <c r="L10" s="58" t="n">
        <f aca="false">IF(L$5="A",Inputs_Actuals!L110,IF(Assumptions!L$95=Assumptions!$C$85,Assumptions!$C$84,0))</f>
        <v>0</v>
      </c>
      <c r="M10" s="58" t="n">
        <f aca="false">IF(M$5="A",Inputs_Actuals!M110,IF(Assumptions!M$95=Assumptions!$C$85,Assumptions!$C$84,0))</f>
        <v>0</v>
      </c>
      <c r="N10" s="58" t="n">
        <f aca="false">IF(N$5="A",Inputs_Actuals!N110,IF(Assumptions!N$95=Assumptions!$C$85,Assumptions!$C$84,0))</f>
        <v>0</v>
      </c>
      <c r="O10" s="58" t="n">
        <f aca="false">IF(O$5="A",Inputs_Actuals!O110,IF(Assumptions!O$95=Assumptions!$C$85,Assumptions!$C$84,0))</f>
        <v>0</v>
      </c>
      <c r="P10" s="58" t="n">
        <f aca="false">IF(P$5="A",Inputs_Actuals!P110,IF(Assumptions!P$95=Assumptions!$C$85,Assumptions!$C$84,0))</f>
        <v>0</v>
      </c>
      <c r="Q10" s="58" t="n">
        <f aca="false">IF(Q$5="A",Inputs_Actuals!Q110,IF(Assumptions!Q$95=Assumptions!$C$85,Assumptions!$C$84,0))</f>
        <v>0</v>
      </c>
      <c r="R10" s="58" t="n">
        <f aca="false">IF(R$5="A",Inputs_Actuals!R110,IF(Assumptions!R$95=Assumptions!$C$85,Assumptions!$C$84,0))</f>
        <v>0</v>
      </c>
      <c r="S10" s="58" t="n">
        <f aca="false">IF(S$5="A",Inputs_Actuals!S110,IF(Assumptions!S$95=Assumptions!$C$85,Assumptions!$C$84,0))</f>
        <v>78000</v>
      </c>
      <c r="T10" s="58" t="n">
        <f aca="false">IF(T$5="A",Inputs_Actuals!T110,IF(Assumptions!T$95=Assumptions!$C$85,Assumptions!$C$84,0))</f>
        <v>0</v>
      </c>
      <c r="U10" s="58" t="n">
        <f aca="false">IF(U$5="A",Inputs_Actuals!U110,IF(Assumptions!U$95=Assumptions!$C$85,Assumptions!$C$84,0))</f>
        <v>0</v>
      </c>
      <c r="V10" s="58" t="n">
        <f aca="false">IF(V$5="A",Inputs_Actuals!V110,IF(Assumptions!V$95=Assumptions!$C$85,Assumptions!$C$84,0))</f>
        <v>0</v>
      </c>
      <c r="W10" s="58" t="n">
        <f aca="false">IF(W$5="A",Inputs_Actuals!W110,IF(Assumptions!W$95=Assumptions!$C$85,Assumptions!$C$84,0))</f>
        <v>0</v>
      </c>
      <c r="X10" s="58" t="n">
        <f aca="false">IF(X$5="A",Inputs_Actuals!X110,IF(Assumptions!X$95=Assumptions!$C$85,Assumptions!$C$84,0))</f>
        <v>0</v>
      </c>
      <c r="Y10" s="58" t="n">
        <f aca="false">IF(Y$5="A",Inputs_Actuals!Y110,IF(Assumptions!Y$95=Assumptions!$C$85,Assumptions!$C$84,0))</f>
        <v>0</v>
      </c>
      <c r="Z10" s="58" t="n">
        <f aca="false">IF(Z$5="A",Inputs_Actuals!Z110,IF(Assumptions!Z$95=Assumptions!$C$85,Assumptions!$C$84,0))</f>
        <v>0</v>
      </c>
      <c r="AA10" s="58" t="n">
        <f aca="false">IF(AA$5="A",Inputs_Actuals!AA110,IF(Assumptions!AA$95=Assumptions!$C$85,Assumptions!$C$84,0))</f>
        <v>0</v>
      </c>
      <c r="AB10" s="58" t="n">
        <f aca="false">IF(AB$5="A",Inputs_Actuals!AB110,IF(Assumptions!AB$95=Assumptions!$C$85,Assumptions!$C$84,0))</f>
        <v>0</v>
      </c>
    </row>
    <row r="11" customFormat="false" ht="15" hidden="false" customHeight="false" outlineLevel="0" collapsed="false">
      <c r="A11" s="27" t="s">
        <v>1307</v>
      </c>
      <c r="B11" s="56"/>
      <c r="C11" s="57" t="n">
        <f aca="false">P11</f>
        <v>433500</v>
      </c>
      <c r="D11" s="57" t="n">
        <f aca="false">AB11</f>
        <v>511500</v>
      </c>
      <c r="E11" s="70" t="n">
        <f aca="false">E9+E10</f>
        <v>395000</v>
      </c>
      <c r="F11" s="70" t="n">
        <f aca="false">F9+F10</f>
        <v>395000</v>
      </c>
      <c r="G11" s="70" t="n">
        <f aca="false">G9+G10</f>
        <v>395000</v>
      </c>
      <c r="H11" s="70" t="n">
        <f aca="false">H9+H10</f>
        <v>433500</v>
      </c>
      <c r="I11" s="70" t="n">
        <f aca="false">I9+I10</f>
        <v>433500</v>
      </c>
      <c r="J11" s="70" t="n">
        <f aca="false">J9+J10</f>
        <v>433500</v>
      </c>
      <c r="K11" s="70" t="n">
        <f aca="false">K9+K10</f>
        <v>433500</v>
      </c>
      <c r="L11" s="70" t="n">
        <f aca="false">L9+L10</f>
        <v>433500</v>
      </c>
      <c r="M11" s="70" t="n">
        <f aca="false">M9+M10</f>
        <v>433500</v>
      </c>
      <c r="N11" s="70" t="n">
        <f aca="false">N9+N10</f>
        <v>433500</v>
      </c>
      <c r="O11" s="70" t="n">
        <f aca="false">O9+O10</f>
        <v>433500</v>
      </c>
      <c r="P11" s="70" t="n">
        <f aca="false">P9+P10</f>
        <v>433500</v>
      </c>
      <c r="Q11" s="70" t="n">
        <f aca="false">Q9+Q10</f>
        <v>433500</v>
      </c>
      <c r="R11" s="70" t="n">
        <f aca="false">R9+R10</f>
        <v>433500</v>
      </c>
      <c r="S11" s="70" t="n">
        <f aca="false">S9+S10</f>
        <v>511500</v>
      </c>
      <c r="T11" s="70" t="n">
        <f aca="false">T9+T10</f>
        <v>511500</v>
      </c>
      <c r="U11" s="70" t="n">
        <f aca="false">U9+U10</f>
        <v>511500</v>
      </c>
      <c r="V11" s="70" t="n">
        <f aca="false">V9+V10</f>
        <v>511500</v>
      </c>
      <c r="W11" s="70" t="n">
        <f aca="false">W9+W10</f>
        <v>511500</v>
      </c>
      <c r="X11" s="70" t="n">
        <f aca="false">X9+X10</f>
        <v>511500</v>
      </c>
      <c r="Y11" s="70" t="n">
        <f aca="false">Y9+Y10</f>
        <v>511500</v>
      </c>
      <c r="Z11" s="70" t="n">
        <f aca="false">Z9+Z10</f>
        <v>511500</v>
      </c>
      <c r="AA11" s="70" t="n">
        <f aca="false">AA9+AA10</f>
        <v>511500</v>
      </c>
      <c r="AB11" s="70" t="n">
        <f aca="false">AB9+AB10</f>
        <v>511500</v>
      </c>
    </row>
    <row r="12" customFormat="false" ht="15" hidden="false" customHeight="false" outlineLevel="0" collapsed="false">
      <c r="A12" s="27" t="s">
        <v>1308</v>
      </c>
      <c r="B12" s="56"/>
      <c r="E12" s="58" t="n">
        <f aca="false">Inputs_Actuals!$C$130</f>
        <v>178000</v>
      </c>
      <c r="F12" s="70" t="n">
        <f aca="false">E14</f>
        <v>184583.333333333</v>
      </c>
      <c r="G12" s="70" t="n">
        <f aca="false">F14</f>
        <v>191166.666666667</v>
      </c>
      <c r="H12" s="70" t="n">
        <f aca="false">G14</f>
        <v>197750</v>
      </c>
      <c r="I12" s="70" t="n">
        <f aca="false">H14</f>
        <v>204975</v>
      </c>
      <c r="J12" s="70" t="n">
        <f aca="false">I14</f>
        <v>212200</v>
      </c>
      <c r="K12" s="70" t="n">
        <f aca="false">J14</f>
        <v>219425</v>
      </c>
      <c r="L12" s="70" t="n">
        <f aca="false">K14</f>
        <v>226650</v>
      </c>
      <c r="M12" s="70" t="n">
        <f aca="false">L14</f>
        <v>233875</v>
      </c>
      <c r="N12" s="70" t="n">
        <f aca="false">M14</f>
        <v>241100</v>
      </c>
      <c r="O12" s="70" t="n">
        <f aca="false">N14</f>
        <v>248325</v>
      </c>
      <c r="P12" s="70" t="n">
        <f aca="false">O14</f>
        <v>255550</v>
      </c>
      <c r="Q12" s="70" t="n">
        <f aca="false">P14</f>
        <v>262775</v>
      </c>
      <c r="R12" s="70" t="n">
        <f aca="false">Q14</f>
        <v>270000</v>
      </c>
      <c r="S12" s="70" t="n">
        <f aca="false">R14</f>
        <v>277225</v>
      </c>
      <c r="T12" s="70" t="n">
        <f aca="false">S14</f>
        <v>285750</v>
      </c>
      <c r="U12" s="70" t="n">
        <f aca="false">T14</f>
        <v>294275</v>
      </c>
      <c r="V12" s="70" t="n">
        <f aca="false">U14</f>
        <v>302800</v>
      </c>
      <c r="W12" s="70" t="n">
        <f aca="false">V14</f>
        <v>311325</v>
      </c>
      <c r="X12" s="70" t="n">
        <f aca="false">W14</f>
        <v>319850</v>
      </c>
      <c r="Y12" s="70" t="n">
        <f aca="false">X14</f>
        <v>328375</v>
      </c>
      <c r="Z12" s="70" t="n">
        <f aca="false">Y14</f>
        <v>336900</v>
      </c>
      <c r="AA12" s="70" t="n">
        <f aca="false">Z14</f>
        <v>345425</v>
      </c>
      <c r="AB12" s="70" t="n">
        <f aca="false">AA14</f>
        <v>353950</v>
      </c>
    </row>
    <row r="13" customFormat="false" ht="15" hidden="false" customHeight="false" outlineLevel="0" collapsed="false">
      <c r="A13" s="27" t="s">
        <v>1309</v>
      </c>
      <c r="B13" s="56" t="s">
        <v>1310</v>
      </c>
      <c r="C13" s="57" t="n">
        <f aca="false">SUM(E13:P13)</f>
        <v>84775</v>
      </c>
      <c r="D13" s="57" t="n">
        <f aca="false">SUM(Q13:AB13)</f>
        <v>99700</v>
      </c>
      <c r="E13" s="58" t="n">
        <f aca="false">MIN(E11-E12,E11/(Assumptions!$C$89*12))</f>
        <v>6583.33333333333</v>
      </c>
      <c r="F13" s="58" t="n">
        <f aca="false">MIN(F11-F12,F11/(Assumptions!$C$89*12))</f>
        <v>6583.33333333333</v>
      </c>
      <c r="G13" s="58" t="n">
        <f aca="false">MIN(G11-G12,G11/(Assumptions!$C$89*12))</f>
        <v>6583.33333333333</v>
      </c>
      <c r="H13" s="58" t="n">
        <f aca="false">MIN(H11-H12,H11/(Assumptions!$C$89*12))</f>
        <v>7225</v>
      </c>
      <c r="I13" s="58" t="n">
        <f aca="false">MIN(I11-I12,I11/(Assumptions!$C$89*12))</f>
        <v>7225</v>
      </c>
      <c r="J13" s="58" t="n">
        <f aca="false">MIN(J11-J12,J11/(Assumptions!$C$89*12))</f>
        <v>7225</v>
      </c>
      <c r="K13" s="58" t="n">
        <f aca="false">MIN(K11-K12,K11/(Assumptions!$C$89*12))</f>
        <v>7225</v>
      </c>
      <c r="L13" s="58" t="n">
        <f aca="false">MIN(L11-L12,L11/(Assumptions!$C$89*12))</f>
        <v>7225</v>
      </c>
      <c r="M13" s="58" t="n">
        <f aca="false">MIN(M11-M12,M11/(Assumptions!$C$89*12))</f>
        <v>7225</v>
      </c>
      <c r="N13" s="58" t="n">
        <f aca="false">MIN(N11-N12,N11/(Assumptions!$C$89*12))</f>
        <v>7225</v>
      </c>
      <c r="O13" s="58" t="n">
        <f aca="false">MIN(O11-O12,O11/(Assumptions!$C$89*12))</f>
        <v>7225</v>
      </c>
      <c r="P13" s="58" t="n">
        <f aca="false">MIN(P11-P12,P11/(Assumptions!$C$89*12))</f>
        <v>7225</v>
      </c>
      <c r="Q13" s="58" t="n">
        <f aca="false">MIN(Q11-Q12,Q11/(Assumptions!$C$89*12))</f>
        <v>7225</v>
      </c>
      <c r="R13" s="58" t="n">
        <f aca="false">MIN(R11-R12,R11/(Assumptions!$C$89*12))</f>
        <v>7225</v>
      </c>
      <c r="S13" s="58" t="n">
        <f aca="false">MIN(S11-S12,S11/(Assumptions!$C$89*12))</f>
        <v>8525</v>
      </c>
      <c r="T13" s="58" t="n">
        <f aca="false">MIN(T11-T12,T11/(Assumptions!$C$89*12))</f>
        <v>8525</v>
      </c>
      <c r="U13" s="58" t="n">
        <f aca="false">MIN(U11-U12,U11/(Assumptions!$C$89*12))</f>
        <v>8525</v>
      </c>
      <c r="V13" s="58" t="n">
        <f aca="false">MIN(V11-V12,V11/(Assumptions!$C$89*12))</f>
        <v>8525</v>
      </c>
      <c r="W13" s="58" t="n">
        <f aca="false">MIN(W11-W12,W11/(Assumptions!$C$89*12))</f>
        <v>8525</v>
      </c>
      <c r="X13" s="58" t="n">
        <f aca="false">MIN(X11-X12,X11/(Assumptions!$C$89*12))</f>
        <v>8525</v>
      </c>
      <c r="Y13" s="58" t="n">
        <f aca="false">MIN(Y11-Y12,Y11/(Assumptions!$C$89*12))</f>
        <v>8525</v>
      </c>
      <c r="Z13" s="58" t="n">
        <f aca="false">MIN(Z11-Z12,Z11/(Assumptions!$C$89*12))</f>
        <v>8525</v>
      </c>
      <c r="AA13" s="58" t="n">
        <f aca="false">MIN(AA11-AA12,AA11/(Assumptions!$C$89*12))</f>
        <v>8525</v>
      </c>
      <c r="AB13" s="58" t="n">
        <f aca="false">MIN(AB11-AB12,AB11/(Assumptions!$C$89*12))</f>
        <v>8525</v>
      </c>
    </row>
    <row r="14" customFormat="false" ht="15" hidden="false" customHeight="false" outlineLevel="0" collapsed="false">
      <c r="A14" s="27" t="s">
        <v>1311</v>
      </c>
      <c r="B14" s="56"/>
      <c r="C14" s="57" t="n">
        <f aca="false">P14</f>
        <v>262775</v>
      </c>
      <c r="D14" s="57" t="n">
        <f aca="false">AB14</f>
        <v>362475</v>
      </c>
      <c r="E14" s="70" t="n">
        <f aca="false">E12+E13</f>
        <v>184583.333333333</v>
      </c>
      <c r="F14" s="70" t="n">
        <f aca="false">F12+F13</f>
        <v>191166.666666667</v>
      </c>
      <c r="G14" s="70" t="n">
        <f aca="false">G12+G13</f>
        <v>197750</v>
      </c>
      <c r="H14" s="70" t="n">
        <f aca="false">H12+H13</f>
        <v>204975</v>
      </c>
      <c r="I14" s="70" t="n">
        <f aca="false">I12+I13</f>
        <v>212200</v>
      </c>
      <c r="J14" s="70" t="n">
        <f aca="false">J12+J13</f>
        <v>219425</v>
      </c>
      <c r="K14" s="70" t="n">
        <f aca="false">K12+K13</f>
        <v>226650</v>
      </c>
      <c r="L14" s="70" t="n">
        <f aca="false">L12+L13</f>
        <v>233875</v>
      </c>
      <c r="M14" s="70" t="n">
        <f aca="false">M12+M13</f>
        <v>241100</v>
      </c>
      <c r="N14" s="70" t="n">
        <f aca="false">N12+N13</f>
        <v>248325</v>
      </c>
      <c r="O14" s="70" t="n">
        <f aca="false">O12+O13</f>
        <v>255550</v>
      </c>
      <c r="P14" s="70" t="n">
        <f aca="false">P12+P13</f>
        <v>262775</v>
      </c>
      <c r="Q14" s="70" t="n">
        <f aca="false">Q12+Q13</f>
        <v>270000</v>
      </c>
      <c r="R14" s="70" t="n">
        <f aca="false">R12+R13</f>
        <v>277225</v>
      </c>
      <c r="S14" s="70" t="n">
        <f aca="false">S12+S13</f>
        <v>285750</v>
      </c>
      <c r="T14" s="70" t="n">
        <f aca="false">T12+T13</f>
        <v>294275</v>
      </c>
      <c r="U14" s="70" t="n">
        <f aca="false">U12+U13</f>
        <v>302800</v>
      </c>
      <c r="V14" s="70" t="n">
        <f aca="false">V12+V13</f>
        <v>311325</v>
      </c>
      <c r="W14" s="70" t="n">
        <f aca="false">W12+W13</f>
        <v>319850</v>
      </c>
      <c r="X14" s="70" t="n">
        <f aca="false">X12+X13</f>
        <v>328375</v>
      </c>
      <c r="Y14" s="70" t="n">
        <f aca="false">Y12+Y13</f>
        <v>336900</v>
      </c>
      <c r="Z14" s="70" t="n">
        <f aca="false">Z12+Z13</f>
        <v>345425</v>
      </c>
      <c r="AA14" s="70" t="n">
        <f aca="false">AA12+AA13</f>
        <v>353950</v>
      </c>
      <c r="AB14" s="70" t="n">
        <f aca="false">AB12+AB13</f>
        <v>362475</v>
      </c>
    </row>
    <row r="15" customFormat="false" ht="15" hidden="false" customHeight="false" outlineLevel="0" collapsed="false">
      <c r="A15" s="67" t="s">
        <v>1312</v>
      </c>
      <c r="B15" s="68"/>
      <c r="C15" s="69" t="n">
        <f aca="false">P15</f>
        <v>170725</v>
      </c>
      <c r="D15" s="69" t="n">
        <f aca="false">AB15</f>
        <v>149025</v>
      </c>
      <c r="E15" s="69" t="n">
        <f aca="false">E11-E14</f>
        <v>210416.666666667</v>
      </c>
      <c r="F15" s="69" t="n">
        <f aca="false">F11-F14</f>
        <v>203833.333333333</v>
      </c>
      <c r="G15" s="69" t="n">
        <f aca="false">G11-G14</f>
        <v>197250</v>
      </c>
      <c r="H15" s="69" t="n">
        <f aca="false">H11-H14</f>
        <v>228525</v>
      </c>
      <c r="I15" s="69" t="n">
        <f aca="false">I11-I14</f>
        <v>221300</v>
      </c>
      <c r="J15" s="69" t="n">
        <f aca="false">J11-J14</f>
        <v>214075</v>
      </c>
      <c r="K15" s="69" t="n">
        <f aca="false">K11-K14</f>
        <v>206850</v>
      </c>
      <c r="L15" s="69" t="n">
        <f aca="false">L11-L14</f>
        <v>199625</v>
      </c>
      <c r="M15" s="69" t="n">
        <f aca="false">M11-M14</f>
        <v>192400</v>
      </c>
      <c r="N15" s="69" t="n">
        <f aca="false">N11-N14</f>
        <v>185175</v>
      </c>
      <c r="O15" s="69" t="n">
        <f aca="false">O11-O14</f>
        <v>177950</v>
      </c>
      <c r="P15" s="69" t="n">
        <f aca="false">P11-P14</f>
        <v>170725</v>
      </c>
      <c r="Q15" s="69" t="n">
        <f aca="false">Q11-Q14</f>
        <v>163500</v>
      </c>
      <c r="R15" s="69" t="n">
        <f aca="false">R11-R14</f>
        <v>156275</v>
      </c>
      <c r="S15" s="69" t="n">
        <f aca="false">S11-S14</f>
        <v>225750</v>
      </c>
      <c r="T15" s="69" t="n">
        <f aca="false">T11-T14</f>
        <v>217225</v>
      </c>
      <c r="U15" s="69" t="n">
        <f aca="false">U11-U14</f>
        <v>208700</v>
      </c>
      <c r="V15" s="69" t="n">
        <f aca="false">V11-V14</f>
        <v>200175</v>
      </c>
      <c r="W15" s="69" t="n">
        <f aca="false">W11-W14</f>
        <v>191650</v>
      </c>
      <c r="X15" s="69" t="n">
        <f aca="false">X11-X14</f>
        <v>183125</v>
      </c>
      <c r="Y15" s="69" t="n">
        <f aca="false">Y11-Y14</f>
        <v>174600</v>
      </c>
      <c r="Z15" s="69" t="n">
        <f aca="false">Z11-Z14</f>
        <v>166075</v>
      </c>
      <c r="AA15" s="69" t="n">
        <f aca="false">AA11-AA14</f>
        <v>157550</v>
      </c>
      <c r="AB15" s="69" t="n">
        <f aca="false">AB11-AB14</f>
        <v>149025</v>
      </c>
    </row>
    <row r="16" customFormat="false" ht="15" hidden="false" customHeight="false" outlineLevel="0" collapsed="false">
      <c r="A16" s="21" t="s">
        <v>1313</v>
      </c>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row>
    <row r="17" customFormat="false" ht="15" hidden="false" customHeight="false" outlineLevel="0" collapsed="false">
      <c r="A17" s="27" t="s">
        <v>1304</v>
      </c>
      <c r="B17" s="56"/>
      <c r="E17" s="58" t="n">
        <f aca="false">Inputs_Actuals!$C$131</f>
        <v>118000</v>
      </c>
      <c r="F17" s="70" t="n">
        <f aca="false">E19</f>
        <v>119800</v>
      </c>
      <c r="G17" s="70" t="n">
        <f aca="false">F19</f>
        <v>119800</v>
      </c>
      <c r="H17" s="70" t="n">
        <f aca="false">G19</f>
        <v>122200</v>
      </c>
      <c r="I17" s="70" t="n">
        <f aca="false">H19</f>
        <v>123100</v>
      </c>
      <c r="J17" s="70" t="n">
        <f aca="false">I19</f>
        <v>123100</v>
      </c>
      <c r="K17" s="70" t="n">
        <f aca="false">J19</f>
        <v>126200</v>
      </c>
      <c r="L17" s="70" t="n">
        <f aca="false">K19</f>
        <v>127400</v>
      </c>
      <c r="M17" s="70" t="n">
        <f aca="false">L19</f>
        <v>127400</v>
      </c>
      <c r="N17" s="70" t="n">
        <f aca="false">M19</f>
        <v>128600</v>
      </c>
      <c r="O17" s="70" t="n">
        <f aca="false">N19</f>
        <v>129800</v>
      </c>
      <c r="P17" s="70" t="n">
        <f aca="false">O19</f>
        <v>131000</v>
      </c>
      <c r="Q17" s="70" t="n">
        <f aca="false">P19</f>
        <v>132200</v>
      </c>
      <c r="R17" s="70" t="n">
        <f aca="false">Q19</f>
        <v>133442</v>
      </c>
      <c r="S17" s="70" t="n">
        <f aca="false">R19</f>
        <v>134684</v>
      </c>
      <c r="T17" s="70" t="n">
        <f aca="false">S19</f>
        <v>135926</v>
      </c>
      <c r="U17" s="70" t="n">
        <f aca="false">T19</f>
        <v>137168</v>
      </c>
      <c r="V17" s="70" t="n">
        <f aca="false">U19</f>
        <v>138410</v>
      </c>
      <c r="W17" s="70" t="n">
        <f aca="false">V19</f>
        <v>139652</v>
      </c>
      <c r="X17" s="70" t="n">
        <f aca="false">W19</f>
        <v>140894</v>
      </c>
      <c r="Y17" s="70" t="n">
        <f aca="false">X19</f>
        <v>142136</v>
      </c>
      <c r="Z17" s="70" t="n">
        <f aca="false">Y19</f>
        <v>143378</v>
      </c>
      <c r="AA17" s="70" t="n">
        <f aca="false">Z19</f>
        <v>144620</v>
      </c>
      <c r="AB17" s="70" t="n">
        <f aca="false">AA19</f>
        <v>145862</v>
      </c>
    </row>
    <row r="18" customFormat="false" ht="15" hidden="false" customHeight="false" outlineLevel="0" collapsed="false">
      <c r="A18" s="27" t="s">
        <v>1305</v>
      </c>
      <c r="B18" s="56" t="s">
        <v>1306</v>
      </c>
      <c r="C18" s="57" t="n">
        <f aca="false">SUM(E18:P18)</f>
        <v>14200</v>
      </c>
      <c r="D18" s="57" t="n">
        <f aca="false">SUM(Q18:AB18)</f>
        <v>14904</v>
      </c>
      <c r="E18" s="58" t="n">
        <f aca="false">IF(E$5="A",Inputs_Actuals!E111,Assumptions!$C$86*Assumptions!E$104)</f>
        <v>1800</v>
      </c>
      <c r="F18" s="58" t="n">
        <f aca="false">IF(F$5="A",Inputs_Actuals!F111,Assumptions!$C$86*Assumptions!F$104)</f>
        <v>0</v>
      </c>
      <c r="G18" s="58" t="n">
        <f aca="false">IF(G$5="A",Inputs_Actuals!G111,Assumptions!$C$86*Assumptions!G$104)</f>
        <v>2400</v>
      </c>
      <c r="H18" s="58" t="n">
        <f aca="false">IF(H$5="A",Inputs_Actuals!H111,Assumptions!$C$86*Assumptions!H$104)</f>
        <v>900</v>
      </c>
      <c r="I18" s="58" t="n">
        <f aca="false">IF(I$5="A",Inputs_Actuals!I111,Assumptions!$C$86*Assumptions!I$104)</f>
        <v>0</v>
      </c>
      <c r="J18" s="58" t="n">
        <f aca="false">IF(J$5="A",Inputs_Actuals!J111,Assumptions!$C$86*Assumptions!J$104)</f>
        <v>3100</v>
      </c>
      <c r="K18" s="58" t="n">
        <f aca="false">IF(K$5="A",Inputs_Actuals!K111,Assumptions!$C$86*Assumptions!K$104)</f>
        <v>1200</v>
      </c>
      <c r="L18" s="58" t="n">
        <f aca="false">IF(L$5="A",Inputs_Actuals!L111,Assumptions!$C$86*Assumptions!L$104)</f>
        <v>0</v>
      </c>
      <c r="M18" s="58" t="n">
        <f aca="false">IF(M$5="A",Inputs_Actuals!M111,Assumptions!$C$86*Assumptions!M$104)</f>
        <v>1200</v>
      </c>
      <c r="N18" s="58" t="n">
        <f aca="false">IF(N$5="A",Inputs_Actuals!N111,Assumptions!$C$86*Assumptions!N$104)</f>
        <v>1200</v>
      </c>
      <c r="O18" s="58" t="n">
        <f aca="false">IF(O$5="A",Inputs_Actuals!O111,Assumptions!$C$86*Assumptions!O$104)</f>
        <v>1200</v>
      </c>
      <c r="P18" s="58" t="n">
        <f aca="false">IF(P$5="A",Inputs_Actuals!P111,Assumptions!$C$86*Assumptions!P$104)</f>
        <v>1200</v>
      </c>
      <c r="Q18" s="58" t="n">
        <f aca="false">IF(Q$5="A",Inputs_Actuals!Q111,Assumptions!$C$86*Assumptions!Q$104)</f>
        <v>1242</v>
      </c>
      <c r="R18" s="58" t="n">
        <f aca="false">IF(R$5="A",Inputs_Actuals!R111,Assumptions!$C$86*Assumptions!R$104)</f>
        <v>1242</v>
      </c>
      <c r="S18" s="58" t="n">
        <f aca="false">IF(S$5="A",Inputs_Actuals!S111,Assumptions!$C$86*Assumptions!S$104)</f>
        <v>1242</v>
      </c>
      <c r="T18" s="58" t="n">
        <f aca="false">IF(T$5="A",Inputs_Actuals!T111,Assumptions!$C$86*Assumptions!T$104)</f>
        <v>1242</v>
      </c>
      <c r="U18" s="58" t="n">
        <f aca="false">IF(U$5="A",Inputs_Actuals!U111,Assumptions!$C$86*Assumptions!U$104)</f>
        <v>1242</v>
      </c>
      <c r="V18" s="58" t="n">
        <f aca="false">IF(V$5="A",Inputs_Actuals!V111,Assumptions!$C$86*Assumptions!V$104)</f>
        <v>1242</v>
      </c>
      <c r="W18" s="58" t="n">
        <f aca="false">IF(W$5="A",Inputs_Actuals!W111,Assumptions!$C$86*Assumptions!W$104)</f>
        <v>1242</v>
      </c>
      <c r="X18" s="58" t="n">
        <f aca="false">IF(X$5="A",Inputs_Actuals!X111,Assumptions!$C$86*Assumptions!X$104)</f>
        <v>1242</v>
      </c>
      <c r="Y18" s="58" t="n">
        <f aca="false">IF(Y$5="A",Inputs_Actuals!Y111,Assumptions!$C$86*Assumptions!Y$104)</f>
        <v>1242</v>
      </c>
      <c r="Z18" s="58" t="n">
        <f aca="false">IF(Z$5="A",Inputs_Actuals!Z111,Assumptions!$C$86*Assumptions!Z$104)</f>
        <v>1242</v>
      </c>
      <c r="AA18" s="58" t="n">
        <f aca="false">IF(AA$5="A",Inputs_Actuals!AA111,Assumptions!$C$86*Assumptions!AA$104)</f>
        <v>1242</v>
      </c>
      <c r="AB18" s="58" t="n">
        <f aca="false">IF(AB$5="A",Inputs_Actuals!AB111,Assumptions!$C$86*Assumptions!AB$104)</f>
        <v>1242</v>
      </c>
    </row>
    <row r="19" customFormat="false" ht="15" hidden="false" customHeight="false" outlineLevel="0" collapsed="false">
      <c r="A19" s="27" t="s">
        <v>1307</v>
      </c>
      <c r="B19" s="56"/>
      <c r="C19" s="57" t="n">
        <f aca="false">P19</f>
        <v>132200</v>
      </c>
      <c r="D19" s="57" t="n">
        <f aca="false">AB19</f>
        <v>147104</v>
      </c>
      <c r="E19" s="70" t="n">
        <f aca="false">E17+E18</f>
        <v>119800</v>
      </c>
      <c r="F19" s="70" t="n">
        <f aca="false">F17+F18</f>
        <v>119800</v>
      </c>
      <c r="G19" s="70" t="n">
        <f aca="false">G17+G18</f>
        <v>122200</v>
      </c>
      <c r="H19" s="70" t="n">
        <f aca="false">H17+H18</f>
        <v>123100</v>
      </c>
      <c r="I19" s="70" t="n">
        <f aca="false">I17+I18</f>
        <v>123100</v>
      </c>
      <c r="J19" s="70" t="n">
        <f aca="false">J17+J18</f>
        <v>126200</v>
      </c>
      <c r="K19" s="70" t="n">
        <f aca="false">K17+K18</f>
        <v>127400</v>
      </c>
      <c r="L19" s="70" t="n">
        <f aca="false">L17+L18</f>
        <v>127400</v>
      </c>
      <c r="M19" s="70" t="n">
        <f aca="false">M17+M18</f>
        <v>128600</v>
      </c>
      <c r="N19" s="70" t="n">
        <f aca="false">N17+N18</f>
        <v>129800</v>
      </c>
      <c r="O19" s="70" t="n">
        <f aca="false">O17+O18</f>
        <v>131000</v>
      </c>
      <c r="P19" s="70" t="n">
        <f aca="false">P17+P18</f>
        <v>132200</v>
      </c>
      <c r="Q19" s="70" t="n">
        <f aca="false">Q17+Q18</f>
        <v>133442</v>
      </c>
      <c r="R19" s="70" t="n">
        <f aca="false">R17+R18</f>
        <v>134684</v>
      </c>
      <c r="S19" s="70" t="n">
        <f aca="false">S17+S18</f>
        <v>135926</v>
      </c>
      <c r="T19" s="70" t="n">
        <f aca="false">T17+T18</f>
        <v>137168</v>
      </c>
      <c r="U19" s="70" t="n">
        <f aca="false">U17+U18</f>
        <v>138410</v>
      </c>
      <c r="V19" s="70" t="n">
        <f aca="false">V17+V18</f>
        <v>139652</v>
      </c>
      <c r="W19" s="70" t="n">
        <f aca="false">W17+W18</f>
        <v>140894</v>
      </c>
      <c r="X19" s="70" t="n">
        <f aca="false">X17+X18</f>
        <v>142136</v>
      </c>
      <c r="Y19" s="70" t="n">
        <f aca="false">Y17+Y18</f>
        <v>143378</v>
      </c>
      <c r="Z19" s="70" t="n">
        <f aca="false">Z17+Z18</f>
        <v>144620</v>
      </c>
      <c r="AA19" s="70" t="n">
        <f aca="false">AA17+AA18</f>
        <v>145862</v>
      </c>
      <c r="AB19" s="70" t="n">
        <f aca="false">AB17+AB18</f>
        <v>147104</v>
      </c>
    </row>
    <row r="20" customFormat="false" ht="15" hidden="false" customHeight="false" outlineLevel="0" collapsed="false">
      <c r="A20" s="27" t="s">
        <v>1308</v>
      </c>
      <c r="B20" s="56"/>
      <c r="E20" s="58" t="n">
        <f aca="false">Inputs_Actuals!$C$132</f>
        <v>61000</v>
      </c>
      <c r="F20" s="70" t="n">
        <f aca="false">E22</f>
        <v>63495.8333333333</v>
      </c>
      <c r="G20" s="70" t="n">
        <f aca="false">F22</f>
        <v>65991.6666666667</v>
      </c>
      <c r="H20" s="70" t="n">
        <f aca="false">G22</f>
        <v>68537.5</v>
      </c>
      <c r="I20" s="70" t="n">
        <f aca="false">H22</f>
        <v>71102.0833333333</v>
      </c>
      <c r="J20" s="70" t="n">
        <f aca="false">I22</f>
        <v>73666.6666666667</v>
      </c>
      <c r="K20" s="70" t="n">
        <f aca="false">J22</f>
        <v>76295.8333333333</v>
      </c>
      <c r="L20" s="70" t="n">
        <f aca="false">K22</f>
        <v>78950</v>
      </c>
      <c r="M20" s="70" t="n">
        <f aca="false">L22</f>
        <v>81604.1666666667</v>
      </c>
      <c r="N20" s="70" t="n">
        <f aca="false">M22</f>
        <v>84283.3333333333</v>
      </c>
      <c r="O20" s="70" t="n">
        <f aca="false">N22</f>
        <v>86987.5</v>
      </c>
      <c r="P20" s="70" t="n">
        <f aca="false">O22</f>
        <v>89716.6666666667</v>
      </c>
      <c r="Q20" s="70" t="n">
        <f aca="false">P22</f>
        <v>92470.8333333334</v>
      </c>
      <c r="R20" s="70" t="n">
        <f aca="false">Q22</f>
        <v>95250.875</v>
      </c>
      <c r="S20" s="70" t="n">
        <f aca="false">R22</f>
        <v>98056.7916666667</v>
      </c>
      <c r="T20" s="70" t="n">
        <f aca="false">S22</f>
        <v>100888.583333333</v>
      </c>
      <c r="U20" s="70" t="n">
        <f aca="false">T22</f>
        <v>103746.25</v>
      </c>
      <c r="V20" s="70" t="n">
        <f aca="false">U22</f>
        <v>106629.791666667</v>
      </c>
      <c r="W20" s="70" t="n">
        <f aca="false">V22</f>
        <v>109539.208333333</v>
      </c>
      <c r="X20" s="70" t="n">
        <f aca="false">W22</f>
        <v>112474.5</v>
      </c>
      <c r="Y20" s="70" t="n">
        <f aca="false">X22</f>
        <v>115435.666666667</v>
      </c>
      <c r="Z20" s="70" t="n">
        <f aca="false">Y22</f>
        <v>118422.708333333</v>
      </c>
      <c r="AA20" s="70" t="n">
        <f aca="false">Z22</f>
        <v>121435.625</v>
      </c>
      <c r="AB20" s="70" t="n">
        <f aca="false">AA22</f>
        <v>124474.416666667</v>
      </c>
    </row>
    <row r="21" customFormat="false" ht="15" hidden="false" customHeight="false" outlineLevel="0" collapsed="false">
      <c r="A21" s="27" t="s">
        <v>1309</v>
      </c>
      <c r="B21" s="56" t="s">
        <v>1310</v>
      </c>
      <c r="C21" s="57" t="n">
        <f aca="false">SUM(E21:P21)</f>
        <v>31470.8333333333</v>
      </c>
      <c r="D21" s="57" t="n">
        <f aca="false">SUM(Q21:AB21)</f>
        <v>35068.25</v>
      </c>
      <c r="E21" s="58" t="n">
        <f aca="false">MIN(E19-E20,E19/(Assumptions!$C$90*12))</f>
        <v>2495.83333333333</v>
      </c>
      <c r="F21" s="58" t="n">
        <f aca="false">MIN(F19-F20,F19/(Assumptions!$C$90*12))</f>
        <v>2495.83333333333</v>
      </c>
      <c r="G21" s="58" t="n">
        <f aca="false">MIN(G19-G20,G19/(Assumptions!$C$90*12))</f>
        <v>2545.83333333333</v>
      </c>
      <c r="H21" s="58" t="n">
        <f aca="false">MIN(H19-H20,H19/(Assumptions!$C$90*12))</f>
        <v>2564.58333333333</v>
      </c>
      <c r="I21" s="58" t="n">
        <f aca="false">MIN(I19-I20,I19/(Assumptions!$C$90*12))</f>
        <v>2564.58333333333</v>
      </c>
      <c r="J21" s="58" t="n">
        <f aca="false">MIN(J19-J20,J19/(Assumptions!$C$90*12))</f>
        <v>2629.16666666667</v>
      </c>
      <c r="K21" s="58" t="n">
        <f aca="false">MIN(K19-K20,K19/(Assumptions!$C$90*12))</f>
        <v>2654.16666666667</v>
      </c>
      <c r="L21" s="58" t="n">
        <f aca="false">MIN(L19-L20,L19/(Assumptions!$C$90*12))</f>
        <v>2654.16666666667</v>
      </c>
      <c r="M21" s="58" t="n">
        <f aca="false">MIN(M19-M20,M19/(Assumptions!$C$90*12))</f>
        <v>2679.16666666667</v>
      </c>
      <c r="N21" s="58" t="n">
        <f aca="false">MIN(N19-N20,N19/(Assumptions!$C$90*12))</f>
        <v>2704.16666666667</v>
      </c>
      <c r="O21" s="58" t="n">
        <f aca="false">MIN(O19-O20,O19/(Assumptions!$C$90*12))</f>
        <v>2729.16666666667</v>
      </c>
      <c r="P21" s="58" t="n">
        <f aca="false">MIN(P19-P20,P19/(Assumptions!$C$90*12))</f>
        <v>2754.16666666667</v>
      </c>
      <c r="Q21" s="58" t="n">
        <f aca="false">MIN(Q19-Q20,Q19/(Assumptions!$C$90*12))</f>
        <v>2780.04166666667</v>
      </c>
      <c r="R21" s="58" t="n">
        <f aca="false">MIN(R19-R20,R19/(Assumptions!$C$90*12))</f>
        <v>2805.91666666667</v>
      </c>
      <c r="S21" s="58" t="n">
        <f aca="false">MIN(S19-S20,S19/(Assumptions!$C$90*12))</f>
        <v>2831.79166666667</v>
      </c>
      <c r="T21" s="58" t="n">
        <f aca="false">MIN(T19-T20,T19/(Assumptions!$C$90*12))</f>
        <v>2857.66666666667</v>
      </c>
      <c r="U21" s="58" t="n">
        <f aca="false">MIN(U19-U20,U19/(Assumptions!$C$90*12))</f>
        <v>2883.54166666667</v>
      </c>
      <c r="V21" s="58" t="n">
        <f aca="false">MIN(V19-V20,V19/(Assumptions!$C$90*12))</f>
        <v>2909.41666666667</v>
      </c>
      <c r="W21" s="58" t="n">
        <f aca="false">MIN(W19-W20,W19/(Assumptions!$C$90*12))</f>
        <v>2935.29166666667</v>
      </c>
      <c r="X21" s="58" t="n">
        <f aca="false">MIN(X19-X20,X19/(Assumptions!$C$90*12))</f>
        <v>2961.16666666667</v>
      </c>
      <c r="Y21" s="58" t="n">
        <f aca="false">MIN(Y19-Y20,Y19/(Assumptions!$C$90*12))</f>
        <v>2987.04166666667</v>
      </c>
      <c r="Z21" s="58" t="n">
        <f aca="false">MIN(Z19-Z20,Z19/(Assumptions!$C$90*12))</f>
        <v>3012.91666666667</v>
      </c>
      <c r="AA21" s="58" t="n">
        <f aca="false">MIN(AA19-AA20,AA19/(Assumptions!$C$90*12))</f>
        <v>3038.79166666667</v>
      </c>
      <c r="AB21" s="58" t="n">
        <f aca="false">MIN(AB19-AB20,AB19/(Assumptions!$C$90*12))</f>
        <v>3064.66666666667</v>
      </c>
    </row>
    <row r="22" customFormat="false" ht="15" hidden="false" customHeight="false" outlineLevel="0" collapsed="false">
      <c r="A22" s="27" t="s">
        <v>1311</v>
      </c>
      <c r="B22" s="56"/>
      <c r="C22" s="57" t="n">
        <f aca="false">P22</f>
        <v>92470.8333333334</v>
      </c>
      <c r="D22" s="57" t="n">
        <f aca="false">AB22</f>
        <v>127539.083333333</v>
      </c>
      <c r="E22" s="70" t="n">
        <f aca="false">E20+E21</f>
        <v>63495.8333333333</v>
      </c>
      <c r="F22" s="70" t="n">
        <f aca="false">F20+F21</f>
        <v>65991.6666666667</v>
      </c>
      <c r="G22" s="70" t="n">
        <f aca="false">G20+G21</f>
        <v>68537.5</v>
      </c>
      <c r="H22" s="70" t="n">
        <f aca="false">H20+H21</f>
        <v>71102.0833333333</v>
      </c>
      <c r="I22" s="70" t="n">
        <f aca="false">I20+I21</f>
        <v>73666.6666666667</v>
      </c>
      <c r="J22" s="70" t="n">
        <f aca="false">J20+J21</f>
        <v>76295.8333333333</v>
      </c>
      <c r="K22" s="70" t="n">
        <f aca="false">K20+K21</f>
        <v>78950</v>
      </c>
      <c r="L22" s="70" t="n">
        <f aca="false">L20+L21</f>
        <v>81604.1666666667</v>
      </c>
      <c r="M22" s="70" t="n">
        <f aca="false">M20+M21</f>
        <v>84283.3333333333</v>
      </c>
      <c r="N22" s="70" t="n">
        <f aca="false">N20+N21</f>
        <v>86987.5</v>
      </c>
      <c r="O22" s="70" t="n">
        <f aca="false">O20+O21</f>
        <v>89716.6666666667</v>
      </c>
      <c r="P22" s="70" t="n">
        <f aca="false">P20+P21</f>
        <v>92470.8333333334</v>
      </c>
      <c r="Q22" s="70" t="n">
        <f aca="false">Q20+Q21</f>
        <v>95250.875</v>
      </c>
      <c r="R22" s="70" t="n">
        <f aca="false">R20+R21</f>
        <v>98056.7916666667</v>
      </c>
      <c r="S22" s="70" t="n">
        <f aca="false">S20+S21</f>
        <v>100888.583333333</v>
      </c>
      <c r="T22" s="70" t="n">
        <f aca="false">T20+T21</f>
        <v>103746.25</v>
      </c>
      <c r="U22" s="70" t="n">
        <f aca="false">U20+U21</f>
        <v>106629.791666667</v>
      </c>
      <c r="V22" s="70" t="n">
        <f aca="false">V20+V21</f>
        <v>109539.208333333</v>
      </c>
      <c r="W22" s="70" t="n">
        <f aca="false">W20+W21</f>
        <v>112474.5</v>
      </c>
      <c r="X22" s="70" t="n">
        <f aca="false">X20+X21</f>
        <v>115435.666666667</v>
      </c>
      <c r="Y22" s="70" t="n">
        <f aca="false">Y20+Y21</f>
        <v>118422.708333333</v>
      </c>
      <c r="Z22" s="70" t="n">
        <f aca="false">Z20+Z21</f>
        <v>121435.625</v>
      </c>
      <c r="AA22" s="70" t="n">
        <f aca="false">AA20+AA21</f>
        <v>124474.416666667</v>
      </c>
      <c r="AB22" s="70" t="n">
        <f aca="false">AB20+AB21</f>
        <v>127539.083333333</v>
      </c>
    </row>
    <row r="23" customFormat="false" ht="15" hidden="false" customHeight="false" outlineLevel="0" collapsed="false">
      <c r="A23" s="67" t="s">
        <v>1312</v>
      </c>
      <c r="B23" s="68"/>
      <c r="C23" s="69" t="n">
        <f aca="false">P23</f>
        <v>39729.1666666666</v>
      </c>
      <c r="D23" s="69" t="n">
        <f aca="false">AB23</f>
        <v>19564.9166666666</v>
      </c>
      <c r="E23" s="69" t="n">
        <f aca="false">E19-E22</f>
        <v>56304.1666666667</v>
      </c>
      <c r="F23" s="69" t="n">
        <f aca="false">F19-F22</f>
        <v>53808.3333333333</v>
      </c>
      <c r="G23" s="69" t="n">
        <f aca="false">G19-G22</f>
        <v>53662.5</v>
      </c>
      <c r="H23" s="69" t="n">
        <f aca="false">H19-H22</f>
        <v>51997.9166666667</v>
      </c>
      <c r="I23" s="69" t="n">
        <f aca="false">I19-I22</f>
        <v>49433.3333333333</v>
      </c>
      <c r="J23" s="69" t="n">
        <f aca="false">J19-J22</f>
        <v>49904.1666666667</v>
      </c>
      <c r="K23" s="69" t="n">
        <f aca="false">K19-K22</f>
        <v>48450</v>
      </c>
      <c r="L23" s="69" t="n">
        <f aca="false">L19-L22</f>
        <v>45795.8333333333</v>
      </c>
      <c r="M23" s="69" t="n">
        <f aca="false">M19-M22</f>
        <v>44316.6666666667</v>
      </c>
      <c r="N23" s="69" t="n">
        <f aca="false">N19-N22</f>
        <v>42812.5</v>
      </c>
      <c r="O23" s="69" t="n">
        <f aca="false">O19-O22</f>
        <v>41283.3333333333</v>
      </c>
      <c r="P23" s="69" t="n">
        <f aca="false">P19-P22</f>
        <v>39729.1666666666</v>
      </c>
      <c r="Q23" s="69" t="n">
        <f aca="false">Q19-Q22</f>
        <v>38191.125</v>
      </c>
      <c r="R23" s="69" t="n">
        <f aca="false">R19-R22</f>
        <v>36627.2083333333</v>
      </c>
      <c r="S23" s="69" t="n">
        <f aca="false">S19-S22</f>
        <v>35037.4166666666</v>
      </c>
      <c r="T23" s="69" t="n">
        <f aca="false">T19-T22</f>
        <v>33421.75</v>
      </c>
      <c r="U23" s="69" t="n">
        <f aca="false">U19-U22</f>
        <v>31780.2083333333</v>
      </c>
      <c r="V23" s="69" t="n">
        <f aca="false">V19-V22</f>
        <v>30112.7916666666</v>
      </c>
      <c r="W23" s="69" t="n">
        <f aca="false">W19-W22</f>
        <v>28419.4999999999</v>
      </c>
      <c r="X23" s="69" t="n">
        <f aca="false">X19-X22</f>
        <v>26700.3333333333</v>
      </c>
      <c r="Y23" s="69" t="n">
        <f aca="false">Y19-Y22</f>
        <v>24955.2916666666</v>
      </c>
      <c r="Z23" s="69" t="n">
        <f aca="false">Z19-Z22</f>
        <v>23184.3749999999</v>
      </c>
      <c r="AA23" s="69" t="n">
        <f aca="false">AA19-AA22</f>
        <v>21387.5833333333</v>
      </c>
      <c r="AB23" s="69" t="n">
        <f aca="false">AB19-AB22</f>
        <v>19564.9166666666</v>
      </c>
    </row>
    <row r="24" customFormat="false" ht="15" hidden="false" customHeight="false" outlineLevel="0" collapsed="false">
      <c r="A24" s="21" t="s">
        <v>1314</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row>
    <row r="25" customFormat="false" ht="15" hidden="false" customHeight="false" outlineLevel="0" collapsed="false">
      <c r="A25" s="27" t="s">
        <v>1304</v>
      </c>
      <c r="B25" s="56"/>
      <c r="E25" s="58" t="n">
        <f aca="false">Inputs_Actuals!$C$133</f>
        <v>64000</v>
      </c>
      <c r="F25" s="70" t="n">
        <f aca="false">E27</f>
        <v>64000</v>
      </c>
      <c r="G25" s="70" t="n">
        <f aca="false">F27</f>
        <v>64000</v>
      </c>
      <c r="H25" s="70" t="n">
        <f aca="false">G27</f>
        <v>68200</v>
      </c>
      <c r="I25" s="70" t="n">
        <f aca="false">H27</f>
        <v>68200</v>
      </c>
      <c r="J25" s="70" t="n">
        <f aca="false">I27</f>
        <v>68200</v>
      </c>
      <c r="K25" s="70" t="n">
        <f aca="false">J27</f>
        <v>68200</v>
      </c>
      <c r="L25" s="70" t="n">
        <f aca="false">K27</f>
        <v>68200</v>
      </c>
      <c r="M25" s="70" t="n">
        <f aca="false">L27</f>
        <v>70100</v>
      </c>
      <c r="N25" s="70" t="n">
        <f aca="false">M27</f>
        <v>70100</v>
      </c>
      <c r="O25" s="70" t="n">
        <f aca="false">N27</f>
        <v>70100</v>
      </c>
      <c r="P25" s="70" t="n">
        <f aca="false">O27</f>
        <v>70100</v>
      </c>
      <c r="Q25" s="70" t="n">
        <f aca="false">P27</f>
        <v>70100</v>
      </c>
      <c r="R25" s="70" t="n">
        <f aca="false">Q27</f>
        <v>82100</v>
      </c>
      <c r="S25" s="70" t="n">
        <f aca="false">R27</f>
        <v>82100</v>
      </c>
      <c r="T25" s="70" t="n">
        <f aca="false">S27</f>
        <v>82100</v>
      </c>
      <c r="U25" s="70" t="n">
        <f aca="false">T27</f>
        <v>82100</v>
      </c>
      <c r="V25" s="70" t="n">
        <f aca="false">U27</f>
        <v>82100</v>
      </c>
      <c r="W25" s="70" t="n">
        <f aca="false">V27</f>
        <v>82100</v>
      </c>
      <c r="X25" s="70" t="n">
        <f aca="false">W27</f>
        <v>82100</v>
      </c>
      <c r="Y25" s="70" t="n">
        <f aca="false">X27</f>
        <v>82100</v>
      </c>
      <c r="Z25" s="70" t="n">
        <f aca="false">Y27</f>
        <v>82100</v>
      </c>
      <c r="AA25" s="70" t="n">
        <f aca="false">Z27</f>
        <v>82100</v>
      </c>
      <c r="AB25" s="70" t="n">
        <f aca="false">AA27</f>
        <v>82100</v>
      </c>
    </row>
    <row r="26" customFormat="false" ht="15" hidden="false" customHeight="false" outlineLevel="0" collapsed="false">
      <c r="A26" s="27" t="s">
        <v>1305</v>
      </c>
      <c r="B26" s="56" t="s">
        <v>1306</v>
      </c>
      <c r="C26" s="57" t="n">
        <f aca="false">SUM(E26:P26)</f>
        <v>6100</v>
      </c>
      <c r="D26" s="57" t="n">
        <f aca="false">SUM(Q26:AB26)</f>
        <v>12000</v>
      </c>
      <c r="E26" s="58" t="n">
        <f aca="false">IF(E$5="A",Inputs_Actuals!E112,IF(Assumptions!E$95=Assumptions!$C$88,Assumptions!$C$87,0))</f>
        <v>0</v>
      </c>
      <c r="F26" s="58" t="n">
        <f aca="false">IF(F$5="A",Inputs_Actuals!F112,IF(Assumptions!F$95=Assumptions!$C$88,Assumptions!$C$87,0))</f>
        <v>0</v>
      </c>
      <c r="G26" s="58" t="n">
        <f aca="false">IF(G$5="A",Inputs_Actuals!G112,IF(Assumptions!G$95=Assumptions!$C$88,Assumptions!$C$87,0))</f>
        <v>4200</v>
      </c>
      <c r="H26" s="58" t="n">
        <f aca="false">IF(H$5="A",Inputs_Actuals!H112,IF(Assumptions!H$95=Assumptions!$C$88,Assumptions!$C$87,0))</f>
        <v>0</v>
      </c>
      <c r="I26" s="58" t="n">
        <f aca="false">IF(I$5="A",Inputs_Actuals!I112,IF(Assumptions!I$95=Assumptions!$C$88,Assumptions!$C$87,0))</f>
        <v>0</v>
      </c>
      <c r="J26" s="58" t="n">
        <f aca="false">IF(J$5="A",Inputs_Actuals!J112,IF(Assumptions!J$95=Assumptions!$C$88,Assumptions!$C$87,0))</f>
        <v>0</v>
      </c>
      <c r="K26" s="58" t="n">
        <f aca="false">IF(K$5="A",Inputs_Actuals!K112,IF(Assumptions!K$95=Assumptions!$C$88,Assumptions!$C$87,0))</f>
        <v>0</v>
      </c>
      <c r="L26" s="58" t="n">
        <f aca="false">IF(L$5="A",Inputs_Actuals!L112,IF(Assumptions!L$95=Assumptions!$C$88,Assumptions!$C$87,0))</f>
        <v>1900</v>
      </c>
      <c r="M26" s="58" t="n">
        <f aca="false">IF(M$5="A",Inputs_Actuals!M112,IF(Assumptions!M$95=Assumptions!$C$88,Assumptions!$C$87,0))</f>
        <v>0</v>
      </c>
      <c r="N26" s="58" t="n">
        <f aca="false">IF(N$5="A",Inputs_Actuals!N112,IF(Assumptions!N$95=Assumptions!$C$88,Assumptions!$C$87,0))</f>
        <v>0</v>
      </c>
      <c r="O26" s="58" t="n">
        <f aca="false">IF(O$5="A",Inputs_Actuals!O112,IF(Assumptions!O$95=Assumptions!$C$88,Assumptions!$C$87,0))</f>
        <v>0</v>
      </c>
      <c r="P26" s="58" t="n">
        <f aca="false">IF(P$5="A",Inputs_Actuals!P112,IF(Assumptions!P$95=Assumptions!$C$88,Assumptions!$C$87,0))</f>
        <v>0</v>
      </c>
      <c r="Q26" s="58" t="n">
        <f aca="false">IF(Q$5="A",Inputs_Actuals!Q112,IF(Assumptions!Q$95=Assumptions!$C$88,Assumptions!$C$87,0))</f>
        <v>12000</v>
      </c>
      <c r="R26" s="58" t="n">
        <f aca="false">IF(R$5="A",Inputs_Actuals!R112,IF(Assumptions!R$95=Assumptions!$C$88,Assumptions!$C$87,0))</f>
        <v>0</v>
      </c>
      <c r="S26" s="58" t="n">
        <f aca="false">IF(S$5="A",Inputs_Actuals!S112,IF(Assumptions!S$95=Assumptions!$C$88,Assumptions!$C$87,0))</f>
        <v>0</v>
      </c>
      <c r="T26" s="58" t="n">
        <f aca="false">IF(T$5="A",Inputs_Actuals!T112,IF(Assumptions!T$95=Assumptions!$C$88,Assumptions!$C$87,0))</f>
        <v>0</v>
      </c>
      <c r="U26" s="58" t="n">
        <f aca="false">IF(U$5="A",Inputs_Actuals!U112,IF(Assumptions!U$95=Assumptions!$C$88,Assumptions!$C$87,0))</f>
        <v>0</v>
      </c>
      <c r="V26" s="58" t="n">
        <f aca="false">IF(V$5="A",Inputs_Actuals!V112,IF(Assumptions!V$95=Assumptions!$C$88,Assumptions!$C$87,0))</f>
        <v>0</v>
      </c>
      <c r="W26" s="58" t="n">
        <f aca="false">IF(W$5="A",Inputs_Actuals!W112,IF(Assumptions!W$95=Assumptions!$C$88,Assumptions!$C$87,0))</f>
        <v>0</v>
      </c>
      <c r="X26" s="58" t="n">
        <f aca="false">IF(X$5="A",Inputs_Actuals!X112,IF(Assumptions!X$95=Assumptions!$C$88,Assumptions!$C$87,0))</f>
        <v>0</v>
      </c>
      <c r="Y26" s="58" t="n">
        <f aca="false">IF(Y$5="A",Inputs_Actuals!Y112,IF(Assumptions!Y$95=Assumptions!$C$88,Assumptions!$C$87,0))</f>
        <v>0</v>
      </c>
      <c r="Z26" s="58" t="n">
        <f aca="false">IF(Z$5="A",Inputs_Actuals!Z112,IF(Assumptions!Z$95=Assumptions!$C$88,Assumptions!$C$87,0))</f>
        <v>0</v>
      </c>
      <c r="AA26" s="58" t="n">
        <f aca="false">IF(AA$5="A",Inputs_Actuals!AA112,IF(Assumptions!AA$95=Assumptions!$C$88,Assumptions!$C$87,0))</f>
        <v>0</v>
      </c>
      <c r="AB26" s="58" t="n">
        <f aca="false">IF(AB$5="A",Inputs_Actuals!AB112,IF(Assumptions!AB$95=Assumptions!$C$88,Assumptions!$C$87,0))</f>
        <v>0</v>
      </c>
    </row>
    <row r="27" customFormat="false" ht="15" hidden="false" customHeight="false" outlineLevel="0" collapsed="false">
      <c r="A27" s="27" t="s">
        <v>1307</v>
      </c>
      <c r="B27" s="56"/>
      <c r="C27" s="57" t="n">
        <f aca="false">P27</f>
        <v>70100</v>
      </c>
      <c r="D27" s="57" t="n">
        <f aca="false">AB27</f>
        <v>82100</v>
      </c>
      <c r="E27" s="70" t="n">
        <f aca="false">E25+E26</f>
        <v>64000</v>
      </c>
      <c r="F27" s="70" t="n">
        <f aca="false">F25+F26</f>
        <v>64000</v>
      </c>
      <c r="G27" s="70" t="n">
        <f aca="false">G25+G26</f>
        <v>68200</v>
      </c>
      <c r="H27" s="70" t="n">
        <f aca="false">H25+H26</f>
        <v>68200</v>
      </c>
      <c r="I27" s="70" t="n">
        <f aca="false">I25+I26</f>
        <v>68200</v>
      </c>
      <c r="J27" s="70" t="n">
        <f aca="false">J25+J26</f>
        <v>68200</v>
      </c>
      <c r="K27" s="70" t="n">
        <f aca="false">K25+K26</f>
        <v>68200</v>
      </c>
      <c r="L27" s="70" t="n">
        <f aca="false">L25+L26</f>
        <v>70100</v>
      </c>
      <c r="M27" s="70" t="n">
        <f aca="false">M25+M26</f>
        <v>70100</v>
      </c>
      <c r="N27" s="70" t="n">
        <f aca="false">N25+N26</f>
        <v>70100</v>
      </c>
      <c r="O27" s="70" t="n">
        <f aca="false">O25+O26</f>
        <v>70100</v>
      </c>
      <c r="P27" s="70" t="n">
        <f aca="false">P25+P26</f>
        <v>70100</v>
      </c>
      <c r="Q27" s="70" t="n">
        <f aca="false">Q25+Q26</f>
        <v>82100</v>
      </c>
      <c r="R27" s="70" t="n">
        <f aca="false">R25+R26</f>
        <v>82100</v>
      </c>
      <c r="S27" s="70" t="n">
        <f aca="false">S25+S26</f>
        <v>82100</v>
      </c>
      <c r="T27" s="70" t="n">
        <f aca="false">T25+T26</f>
        <v>82100</v>
      </c>
      <c r="U27" s="70" t="n">
        <f aca="false">U25+U26</f>
        <v>82100</v>
      </c>
      <c r="V27" s="70" t="n">
        <f aca="false">V25+V26</f>
        <v>82100</v>
      </c>
      <c r="W27" s="70" t="n">
        <f aca="false">W25+W26</f>
        <v>82100</v>
      </c>
      <c r="X27" s="70" t="n">
        <f aca="false">X25+X26</f>
        <v>82100</v>
      </c>
      <c r="Y27" s="70" t="n">
        <f aca="false">Y25+Y26</f>
        <v>82100</v>
      </c>
      <c r="Z27" s="70" t="n">
        <f aca="false">Z25+Z26</f>
        <v>82100</v>
      </c>
      <c r="AA27" s="70" t="n">
        <f aca="false">AA25+AA26</f>
        <v>82100</v>
      </c>
      <c r="AB27" s="70" t="n">
        <f aca="false">AB25+AB26</f>
        <v>82100</v>
      </c>
    </row>
    <row r="28" customFormat="false" ht="15" hidden="false" customHeight="false" outlineLevel="0" collapsed="false">
      <c r="A28" s="27" t="s">
        <v>1308</v>
      </c>
      <c r="B28" s="56"/>
      <c r="E28" s="58" t="n">
        <f aca="false">Inputs_Actuals!$C$134</f>
        <v>41000</v>
      </c>
      <c r="F28" s="70" t="n">
        <f aca="false">E30</f>
        <v>42777.7777777778</v>
      </c>
      <c r="G28" s="70" t="n">
        <f aca="false">F30</f>
        <v>44555.5555555556</v>
      </c>
      <c r="H28" s="70" t="n">
        <f aca="false">G30</f>
        <v>46450</v>
      </c>
      <c r="I28" s="70" t="n">
        <f aca="false">H30</f>
        <v>48344.4444444445</v>
      </c>
      <c r="J28" s="70" t="n">
        <f aca="false">I30</f>
        <v>50238.8888888889</v>
      </c>
      <c r="K28" s="70" t="n">
        <f aca="false">J30</f>
        <v>52133.3333333333</v>
      </c>
      <c r="L28" s="70" t="n">
        <f aca="false">K30</f>
        <v>54027.7777777778</v>
      </c>
      <c r="M28" s="70" t="n">
        <f aca="false">L30</f>
        <v>55975</v>
      </c>
      <c r="N28" s="70" t="n">
        <f aca="false">M30</f>
        <v>57922.2222222222</v>
      </c>
      <c r="O28" s="70" t="n">
        <f aca="false">N30</f>
        <v>59869.4444444444</v>
      </c>
      <c r="P28" s="70" t="n">
        <f aca="false">O30</f>
        <v>61816.6666666667</v>
      </c>
      <c r="Q28" s="70" t="n">
        <f aca="false">P30</f>
        <v>63763.8888888889</v>
      </c>
      <c r="R28" s="70" t="n">
        <f aca="false">Q30</f>
        <v>66044.4444444444</v>
      </c>
      <c r="S28" s="70" t="n">
        <f aca="false">R30</f>
        <v>68325</v>
      </c>
      <c r="T28" s="70" t="n">
        <f aca="false">S30</f>
        <v>70605.5555555556</v>
      </c>
      <c r="U28" s="70" t="n">
        <f aca="false">T30</f>
        <v>72886.1111111111</v>
      </c>
      <c r="V28" s="70" t="n">
        <f aca="false">U30</f>
        <v>75166.6666666667</v>
      </c>
      <c r="W28" s="70" t="n">
        <f aca="false">V30</f>
        <v>77447.2222222223</v>
      </c>
      <c r="X28" s="70" t="n">
        <f aca="false">W30</f>
        <v>79727.7777777778</v>
      </c>
      <c r="Y28" s="70" t="n">
        <f aca="false">X30</f>
        <v>82008.3333333334</v>
      </c>
      <c r="Z28" s="70" t="n">
        <f aca="false">Y30</f>
        <v>82100</v>
      </c>
      <c r="AA28" s="70" t="n">
        <f aca="false">Z30</f>
        <v>82100</v>
      </c>
      <c r="AB28" s="70" t="n">
        <f aca="false">AA30</f>
        <v>82100</v>
      </c>
    </row>
    <row r="29" customFormat="false" ht="15" hidden="false" customHeight="false" outlineLevel="0" collapsed="false">
      <c r="A29" s="27" t="s">
        <v>1309</v>
      </c>
      <c r="B29" s="56" t="s">
        <v>1310</v>
      </c>
      <c r="C29" s="57" t="n">
        <f aca="false">SUM(E29:P29)</f>
        <v>22763.8888888889</v>
      </c>
      <c r="D29" s="57" t="n">
        <f aca="false">SUM(Q29:AB29)</f>
        <v>18336.1111111111</v>
      </c>
      <c r="E29" s="58" t="n">
        <f aca="false">MIN(E27-E28,E27/(Assumptions!$C$91*12))</f>
        <v>1777.77777777778</v>
      </c>
      <c r="F29" s="58" t="n">
        <f aca="false">MIN(F27-F28,F27/(Assumptions!$C$91*12))</f>
        <v>1777.77777777778</v>
      </c>
      <c r="G29" s="58" t="n">
        <f aca="false">MIN(G27-G28,G27/(Assumptions!$C$91*12))</f>
        <v>1894.44444444444</v>
      </c>
      <c r="H29" s="58" t="n">
        <f aca="false">MIN(H27-H28,H27/(Assumptions!$C$91*12))</f>
        <v>1894.44444444444</v>
      </c>
      <c r="I29" s="58" t="n">
        <f aca="false">MIN(I27-I28,I27/(Assumptions!$C$91*12))</f>
        <v>1894.44444444444</v>
      </c>
      <c r="J29" s="58" t="n">
        <f aca="false">MIN(J27-J28,J27/(Assumptions!$C$91*12))</f>
        <v>1894.44444444444</v>
      </c>
      <c r="K29" s="58" t="n">
        <f aca="false">MIN(K27-K28,K27/(Assumptions!$C$91*12))</f>
        <v>1894.44444444444</v>
      </c>
      <c r="L29" s="58" t="n">
        <f aca="false">MIN(L27-L28,L27/(Assumptions!$C$91*12))</f>
        <v>1947.22222222222</v>
      </c>
      <c r="M29" s="58" t="n">
        <f aca="false">MIN(M27-M28,M27/(Assumptions!$C$91*12))</f>
        <v>1947.22222222222</v>
      </c>
      <c r="N29" s="58" t="n">
        <f aca="false">MIN(N27-N28,N27/(Assumptions!$C$91*12))</f>
        <v>1947.22222222222</v>
      </c>
      <c r="O29" s="58" t="n">
        <f aca="false">MIN(O27-O28,O27/(Assumptions!$C$91*12))</f>
        <v>1947.22222222222</v>
      </c>
      <c r="P29" s="58" t="n">
        <f aca="false">MIN(P27-P28,P27/(Assumptions!$C$91*12))</f>
        <v>1947.22222222222</v>
      </c>
      <c r="Q29" s="58" t="n">
        <f aca="false">MIN(Q27-Q28,Q27/(Assumptions!$C$91*12))</f>
        <v>2280.55555555556</v>
      </c>
      <c r="R29" s="58" t="n">
        <f aca="false">MIN(R27-R28,R27/(Assumptions!$C$91*12))</f>
        <v>2280.55555555556</v>
      </c>
      <c r="S29" s="58" t="n">
        <f aca="false">MIN(S27-S28,S27/(Assumptions!$C$91*12))</f>
        <v>2280.55555555556</v>
      </c>
      <c r="T29" s="58" t="n">
        <f aca="false">MIN(T27-T28,T27/(Assumptions!$C$91*12))</f>
        <v>2280.55555555556</v>
      </c>
      <c r="U29" s="58" t="n">
        <f aca="false">MIN(U27-U28,U27/(Assumptions!$C$91*12))</f>
        <v>2280.55555555556</v>
      </c>
      <c r="V29" s="58" t="n">
        <f aca="false">MIN(V27-V28,V27/(Assumptions!$C$91*12))</f>
        <v>2280.55555555556</v>
      </c>
      <c r="W29" s="58" t="n">
        <f aca="false">MIN(W27-W28,W27/(Assumptions!$C$91*12))</f>
        <v>2280.55555555556</v>
      </c>
      <c r="X29" s="58" t="n">
        <f aca="false">MIN(X27-X28,X27/(Assumptions!$C$91*12))</f>
        <v>2280.55555555556</v>
      </c>
      <c r="Y29" s="58" t="n">
        <f aca="false">MIN(Y27-Y28,Y27/(Assumptions!$C$91*12))</f>
        <v>91.6666666666279</v>
      </c>
      <c r="Z29" s="58" t="n">
        <f aca="false">MIN(Z27-Z28,Z27/(Assumptions!$C$91*12))</f>
        <v>0</v>
      </c>
      <c r="AA29" s="58" t="n">
        <f aca="false">MIN(AA27-AA28,AA27/(Assumptions!$C$91*12))</f>
        <v>0</v>
      </c>
      <c r="AB29" s="58" t="n">
        <f aca="false">MIN(AB27-AB28,AB27/(Assumptions!$C$91*12))</f>
        <v>0</v>
      </c>
    </row>
    <row r="30" customFormat="false" ht="15" hidden="false" customHeight="false" outlineLevel="0" collapsed="false">
      <c r="A30" s="27" t="s">
        <v>1311</v>
      </c>
      <c r="B30" s="56"/>
      <c r="C30" s="57" t="n">
        <f aca="false">P30</f>
        <v>63763.8888888889</v>
      </c>
      <c r="D30" s="57" t="n">
        <f aca="false">AB30</f>
        <v>82100</v>
      </c>
      <c r="E30" s="70" t="n">
        <f aca="false">E28+E29</f>
        <v>42777.7777777778</v>
      </c>
      <c r="F30" s="70" t="n">
        <f aca="false">F28+F29</f>
        <v>44555.5555555556</v>
      </c>
      <c r="G30" s="70" t="n">
        <f aca="false">G28+G29</f>
        <v>46450</v>
      </c>
      <c r="H30" s="70" t="n">
        <f aca="false">H28+H29</f>
        <v>48344.4444444445</v>
      </c>
      <c r="I30" s="70" t="n">
        <f aca="false">I28+I29</f>
        <v>50238.8888888889</v>
      </c>
      <c r="J30" s="70" t="n">
        <f aca="false">J28+J29</f>
        <v>52133.3333333333</v>
      </c>
      <c r="K30" s="70" t="n">
        <f aca="false">K28+K29</f>
        <v>54027.7777777778</v>
      </c>
      <c r="L30" s="70" t="n">
        <f aca="false">L28+L29</f>
        <v>55975</v>
      </c>
      <c r="M30" s="70" t="n">
        <f aca="false">M28+M29</f>
        <v>57922.2222222222</v>
      </c>
      <c r="N30" s="70" t="n">
        <f aca="false">N28+N29</f>
        <v>59869.4444444444</v>
      </c>
      <c r="O30" s="70" t="n">
        <f aca="false">O28+O29</f>
        <v>61816.6666666667</v>
      </c>
      <c r="P30" s="70" t="n">
        <f aca="false">P28+P29</f>
        <v>63763.8888888889</v>
      </c>
      <c r="Q30" s="70" t="n">
        <f aca="false">Q28+Q29</f>
        <v>66044.4444444444</v>
      </c>
      <c r="R30" s="70" t="n">
        <f aca="false">R28+R29</f>
        <v>68325</v>
      </c>
      <c r="S30" s="70" t="n">
        <f aca="false">S28+S29</f>
        <v>70605.5555555556</v>
      </c>
      <c r="T30" s="70" t="n">
        <f aca="false">T28+T29</f>
        <v>72886.1111111111</v>
      </c>
      <c r="U30" s="70" t="n">
        <f aca="false">U28+U29</f>
        <v>75166.6666666667</v>
      </c>
      <c r="V30" s="70" t="n">
        <f aca="false">V28+V29</f>
        <v>77447.2222222223</v>
      </c>
      <c r="W30" s="70" t="n">
        <f aca="false">W28+W29</f>
        <v>79727.7777777778</v>
      </c>
      <c r="X30" s="70" t="n">
        <f aca="false">X28+X29</f>
        <v>82008.3333333334</v>
      </c>
      <c r="Y30" s="70" t="n">
        <f aca="false">Y28+Y29</f>
        <v>82100</v>
      </c>
      <c r="Z30" s="70" t="n">
        <f aca="false">Z28+Z29</f>
        <v>82100</v>
      </c>
      <c r="AA30" s="70" t="n">
        <f aca="false">AA28+AA29</f>
        <v>82100</v>
      </c>
      <c r="AB30" s="70" t="n">
        <f aca="false">AB28+AB29</f>
        <v>82100</v>
      </c>
    </row>
    <row r="31" customFormat="false" ht="15" hidden="false" customHeight="false" outlineLevel="0" collapsed="false">
      <c r="A31" s="67" t="s">
        <v>1312</v>
      </c>
      <c r="B31" s="68"/>
      <c r="C31" s="69" t="n">
        <f aca="false">P31</f>
        <v>6336.11111111112</v>
      </c>
      <c r="D31" s="69" t="n">
        <f aca="false">AB31</f>
        <v>0</v>
      </c>
      <c r="E31" s="69" t="n">
        <f aca="false">E27-E30</f>
        <v>21222.2222222222</v>
      </c>
      <c r="F31" s="69" t="n">
        <f aca="false">F27-F30</f>
        <v>19444.4444444444</v>
      </c>
      <c r="G31" s="69" t="n">
        <f aca="false">G27-G30</f>
        <v>21750</v>
      </c>
      <c r="H31" s="69" t="n">
        <f aca="false">H27-H30</f>
        <v>19855.5555555555</v>
      </c>
      <c r="I31" s="69" t="n">
        <f aca="false">I27-I30</f>
        <v>17961.1111111111</v>
      </c>
      <c r="J31" s="69" t="n">
        <f aca="false">J27-J30</f>
        <v>16066.6666666667</v>
      </c>
      <c r="K31" s="69" t="n">
        <f aca="false">K27-K30</f>
        <v>14172.2222222222</v>
      </c>
      <c r="L31" s="69" t="n">
        <f aca="false">L27-L30</f>
        <v>14125</v>
      </c>
      <c r="M31" s="69" t="n">
        <f aca="false">M27-M30</f>
        <v>12177.7777777778</v>
      </c>
      <c r="N31" s="69" t="n">
        <f aca="false">N27-N30</f>
        <v>10230.5555555556</v>
      </c>
      <c r="O31" s="69" t="n">
        <f aca="false">O27-O30</f>
        <v>8283.33333333334</v>
      </c>
      <c r="P31" s="69" t="n">
        <f aca="false">P27-P30</f>
        <v>6336.11111111112</v>
      </c>
      <c r="Q31" s="69" t="n">
        <f aca="false">Q27-Q30</f>
        <v>16055.5555555556</v>
      </c>
      <c r="R31" s="69" t="n">
        <f aca="false">R27-R30</f>
        <v>13775</v>
      </c>
      <c r="S31" s="69" t="n">
        <f aca="false">S27-S30</f>
        <v>11494.4444444444</v>
      </c>
      <c r="T31" s="69" t="n">
        <f aca="false">T27-T30</f>
        <v>9213.88888888888</v>
      </c>
      <c r="U31" s="69" t="n">
        <f aca="false">U27-U30</f>
        <v>6933.33333333331</v>
      </c>
      <c r="V31" s="69" t="n">
        <f aca="false">V27-V30</f>
        <v>4652.77777777775</v>
      </c>
      <c r="W31" s="69" t="n">
        <f aca="false">W27-W30</f>
        <v>2372.22222222219</v>
      </c>
      <c r="X31" s="69" t="n">
        <f aca="false">X27-X30</f>
        <v>91.6666666666279</v>
      </c>
      <c r="Y31" s="69" t="n">
        <f aca="false">Y27-Y30</f>
        <v>0</v>
      </c>
      <c r="Z31" s="69" t="n">
        <f aca="false">Z27-Z30</f>
        <v>0</v>
      </c>
      <c r="AA31" s="69" t="n">
        <f aca="false">AA27-AA30</f>
        <v>0</v>
      </c>
      <c r="AB31" s="69" t="n">
        <f aca="false">AB27-AB30</f>
        <v>0</v>
      </c>
    </row>
    <row r="32" customFormat="false" ht="15" hidden="false" customHeight="false" outlineLevel="0" collapsed="false">
      <c r="A32" s="21" t="s">
        <v>524</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row>
    <row r="33" customFormat="false" ht="15" hidden="false" customHeight="false" outlineLevel="0" collapsed="false">
      <c r="A33" s="27" t="s">
        <v>1202</v>
      </c>
      <c r="B33" s="56"/>
      <c r="C33" s="57" t="n">
        <f aca="false">SUM(E33:P33)</f>
        <v>58800</v>
      </c>
      <c r="D33" s="57" t="n">
        <f aca="false">SUM(Q33:AB33)</f>
        <v>104904</v>
      </c>
      <c r="E33" s="70" t="n">
        <f aca="false">E10+E18+E26</f>
        <v>1800</v>
      </c>
      <c r="F33" s="70" t="n">
        <f aca="false">F10+F18+F26</f>
        <v>0</v>
      </c>
      <c r="G33" s="70" t="n">
        <f aca="false">G10+G18+G26</f>
        <v>6600</v>
      </c>
      <c r="H33" s="70" t="n">
        <f aca="false">H10+H18+H26</f>
        <v>39400</v>
      </c>
      <c r="I33" s="70" t="n">
        <f aca="false">I10+I18+I26</f>
        <v>0</v>
      </c>
      <c r="J33" s="70" t="n">
        <f aca="false">J10+J18+J26</f>
        <v>3100</v>
      </c>
      <c r="K33" s="70" t="n">
        <f aca="false">K10+K18+K26</f>
        <v>1200</v>
      </c>
      <c r="L33" s="70" t="n">
        <f aca="false">L10+L18+L26</f>
        <v>1900</v>
      </c>
      <c r="M33" s="70" t="n">
        <f aca="false">M10+M18+M26</f>
        <v>1200</v>
      </c>
      <c r="N33" s="70" t="n">
        <f aca="false">N10+N18+N26</f>
        <v>1200</v>
      </c>
      <c r="O33" s="70" t="n">
        <f aca="false">O10+O18+O26</f>
        <v>1200</v>
      </c>
      <c r="P33" s="70" t="n">
        <f aca="false">P10+P18+P26</f>
        <v>1200</v>
      </c>
      <c r="Q33" s="70" t="n">
        <f aca="false">Q10+Q18+Q26</f>
        <v>13242</v>
      </c>
      <c r="R33" s="70" t="n">
        <f aca="false">R10+R18+R26</f>
        <v>1242</v>
      </c>
      <c r="S33" s="70" t="n">
        <f aca="false">S10+S18+S26</f>
        <v>79242</v>
      </c>
      <c r="T33" s="70" t="n">
        <f aca="false">T10+T18+T26</f>
        <v>1242</v>
      </c>
      <c r="U33" s="70" t="n">
        <f aca="false">U10+U18+U26</f>
        <v>1242</v>
      </c>
      <c r="V33" s="70" t="n">
        <f aca="false">V10+V18+V26</f>
        <v>1242</v>
      </c>
      <c r="W33" s="70" t="n">
        <f aca="false">W10+W18+W26</f>
        <v>1242</v>
      </c>
      <c r="X33" s="70" t="n">
        <f aca="false">X10+X18+X26</f>
        <v>1242</v>
      </c>
      <c r="Y33" s="70" t="n">
        <f aca="false">Y10+Y18+Y26</f>
        <v>1242</v>
      </c>
      <c r="Z33" s="70" t="n">
        <f aca="false">Z10+Z18+Z26</f>
        <v>1242</v>
      </c>
      <c r="AA33" s="70" t="n">
        <f aca="false">AA10+AA18+AA26</f>
        <v>1242</v>
      </c>
      <c r="AB33" s="70" t="n">
        <f aca="false">AB10+AB18+AB26</f>
        <v>1242</v>
      </c>
    </row>
    <row r="34" customFormat="false" ht="15" hidden="false" customHeight="false" outlineLevel="0" collapsed="false">
      <c r="A34" s="27" t="s">
        <v>370</v>
      </c>
      <c r="B34" s="56"/>
      <c r="C34" s="57" t="n">
        <f aca="false">SUM(E34:P34)</f>
        <v>139009.722222222</v>
      </c>
      <c r="D34" s="57" t="n">
        <f aca="false">SUM(Q34:AB34)</f>
        <v>153104.361111111</v>
      </c>
      <c r="E34" s="70" t="n">
        <f aca="false">E13+E21+E29</f>
        <v>10856.9444444444</v>
      </c>
      <c r="F34" s="70" t="n">
        <f aca="false">F13+F21+F29</f>
        <v>10856.9444444444</v>
      </c>
      <c r="G34" s="70" t="n">
        <f aca="false">G13+G21+G29</f>
        <v>11023.6111111111</v>
      </c>
      <c r="H34" s="70" t="n">
        <f aca="false">H13+H21+H29</f>
        <v>11684.0277777778</v>
      </c>
      <c r="I34" s="70" t="n">
        <f aca="false">I13+I21+I29</f>
        <v>11684.0277777778</v>
      </c>
      <c r="J34" s="70" t="n">
        <f aca="false">J13+J21+J29</f>
        <v>11748.6111111111</v>
      </c>
      <c r="K34" s="70" t="n">
        <f aca="false">K13+K21+K29</f>
        <v>11773.6111111111</v>
      </c>
      <c r="L34" s="70" t="n">
        <f aca="false">L13+L21+L29</f>
        <v>11826.3888888889</v>
      </c>
      <c r="M34" s="70" t="n">
        <f aca="false">M13+M21+M29</f>
        <v>11851.3888888889</v>
      </c>
      <c r="N34" s="70" t="n">
        <f aca="false">N13+N21+N29</f>
        <v>11876.3888888889</v>
      </c>
      <c r="O34" s="70" t="n">
        <f aca="false">O13+O21+O29</f>
        <v>11901.3888888889</v>
      </c>
      <c r="P34" s="70" t="n">
        <f aca="false">P13+P21+P29</f>
        <v>11926.3888888889</v>
      </c>
      <c r="Q34" s="70" t="n">
        <f aca="false">Q13+Q21+Q29</f>
        <v>12285.5972222222</v>
      </c>
      <c r="R34" s="70" t="n">
        <f aca="false">R13+R21+R29</f>
        <v>12311.4722222222</v>
      </c>
      <c r="S34" s="70" t="n">
        <f aca="false">S13+S21+S29</f>
        <v>13637.3472222222</v>
      </c>
      <c r="T34" s="70" t="n">
        <f aca="false">T13+T21+T29</f>
        <v>13663.2222222222</v>
      </c>
      <c r="U34" s="70" t="n">
        <f aca="false">U13+U21+U29</f>
        <v>13689.0972222222</v>
      </c>
      <c r="V34" s="70" t="n">
        <f aca="false">V13+V21+V29</f>
        <v>13714.9722222222</v>
      </c>
      <c r="W34" s="70" t="n">
        <f aca="false">W13+W21+W29</f>
        <v>13740.8472222222</v>
      </c>
      <c r="X34" s="70" t="n">
        <f aca="false">X13+X21+X29</f>
        <v>13766.7222222222</v>
      </c>
      <c r="Y34" s="70" t="n">
        <f aca="false">Y13+Y21+Y29</f>
        <v>11603.7083333333</v>
      </c>
      <c r="Z34" s="70" t="n">
        <f aca="false">Z13+Z21+Z29</f>
        <v>11537.9166666667</v>
      </c>
      <c r="AA34" s="70" t="n">
        <f aca="false">AA13+AA21+AA29</f>
        <v>11563.7916666667</v>
      </c>
      <c r="AB34" s="70" t="n">
        <f aca="false">AB13+AB21+AB29</f>
        <v>11589.6666666667</v>
      </c>
    </row>
    <row r="35" customFormat="false" ht="15" hidden="false" customHeight="false" outlineLevel="0" collapsed="false">
      <c r="A35" s="67" t="s">
        <v>1315</v>
      </c>
      <c r="B35" s="68"/>
      <c r="C35" s="69" t="n">
        <f aca="false">P35</f>
        <v>216790.277777778</v>
      </c>
      <c r="D35" s="69" t="n">
        <f aca="false">AB35</f>
        <v>168589.916666667</v>
      </c>
      <c r="E35" s="69" t="n">
        <f aca="false">E15+E23+E31</f>
        <v>287943.055555556</v>
      </c>
      <c r="F35" s="69" t="n">
        <f aca="false">F15+F23+F31</f>
        <v>277086.111111111</v>
      </c>
      <c r="G35" s="69" t="n">
        <f aca="false">G15+G23+G31</f>
        <v>272662.5</v>
      </c>
      <c r="H35" s="69" t="n">
        <f aca="false">H15+H23+H31</f>
        <v>300378.472222222</v>
      </c>
      <c r="I35" s="69" t="n">
        <f aca="false">I15+I23+I31</f>
        <v>288694.444444444</v>
      </c>
      <c r="J35" s="69" t="n">
        <f aca="false">J15+J23+J31</f>
        <v>280045.833333333</v>
      </c>
      <c r="K35" s="69" t="n">
        <f aca="false">K15+K23+K31</f>
        <v>269472.222222222</v>
      </c>
      <c r="L35" s="69" t="n">
        <f aca="false">L15+L23+L31</f>
        <v>259545.833333333</v>
      </c>
      <c r="M35" s="69" t="n">
        <f aca="false">M15+M23+M31</f>
        <v>248894.444444444</v>
      </c>
      <c r="N35" s="69" t="n">
        <f aca="false">N15+N23+N31</f>
        <v>238218.055555556</v>
      </c>
      <c r="O35" s="69" t="n">
        <f aca="false">O15+O23+O31</f>
        <v>227516.666666667</v>
      </c>
      <c r="P35" s="69" t="n">
        <f aca="false">P15+P23+P31</f>
        <v>216790.277777778</v>
      </c>
      <c r="Q35" s="69" t="n">
        <f aca="false">Q15+Q23+Q31</f>
        <v>217746.680555556</v>
      </c>
      <c r="R35" s="69" t="n">
        <f aca="false">R15+R23+R31</f>
        <v>206677.208333333</v>
      </c>
      <c r="S35" s="69" t="n">
        <f aca="false">S15+S23+S31</f>
        <v>272281.861111111</v>
      </c>
      <c r="T35" s="69" t="n">
        <f aca="false">T15+T23+T31</f>
        <v>259860.638888889</v>
      </c>
      <c r="U35" s="69" t="n">
        <f aca="false">U15+U23+U31</f>
        <v>247413.541666667</v>
      </c>
      <c r="V35" s="69" t="n">
        <f aca="false">V15+V23+V31</f>
        <v>234940.569444444</v>
      </c>
      <c r="W35" s="69" t="n">
        <f aca="false">W15+W23+W31</f>
        <v>222441.722222222</v>
      </c>
      <c r="X35" s="69" t="n">
        <f aca="false">X15+X23+X31</f>
        <v>209917</v>
      </c>
      <c r="Y35" s="69" t="n">
        <f aca="false">Y15+Y23+Y31</f>
        <v>199555.291666667</v>
      </c>
      <c r="Z35" s="69" t="n">
        <f aca="false">Z15+Z23+Z31</f>
        <v>189259.375</v>
      </c>
      <c r="AA35" s="69" t="n">
        <f aca="false">AA15+AA23+AA31</f>
        <v>178937.583333333</v>
      </c>
      <c r="AB35" s="69" t="n">
        <f aca="false">AB15+AB23+AB31</f>
        <v>168589.916666667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1316</v>
      </c>
    </row>
    <row r="3" customFormat="false" ht="15" hidden="false" customHeight="false" outlineLevel="0" collapsed="false">
      <c r="A3" s="47" t="s">
        <v>1317</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1318</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1174</v>
      </c>
      <c r="B9" s="56"/>
      <c r="E9" s="58" t="n">
        <f aca="false">Inputs_Actuals!$C$143</f>
        <v>140000</v>
      </c>
      <c r="F9" s="70" t="n">
        <f aca="false">E11</f>
        <v>136100</v>
      </c>
      <c r="G9" s="70" t="n">
        <f aca="false">F11</f>
        <v>132200</v>
      </c>
      <c r="H9" s="70" t="n">
        <f aca="false">G11</f>
        <v>128300</v>
      </c>
      <c r="I9" s="70" t="n">
        <f aca="false">H11</f>
        <v>124400</v>
      </c>
      <c r="J9" s="70" t="n">
        <f aca="false">I11</f>
        <v>120500</v>
      </c>
      <c r="K9" s="70" t="n">
        <f aca="false">J11</f>
        <v>116600</v>
      </c>
      <c r="L9" s="70" t="n">
        <f aca="false">K11</f>
        <v>112700</v>
      </c>
      <c r="M9" s="70" t="n">
        <f aca="false">L11</f>
        <v>108800</v>
      </c>
      <c r="N9" s="70" t="n">
        <f aca="false">M11</f>
        <v>104900</v>
      </c>
      <c r="O9" s="70" t="n">
        <f aca="false">N11</f>
        <v>101000</v>
      </c>
      <c r="P9" s="70" t="n">
        <f aca="false">O11</f>
        <v>97100</v>
      </c>
      <c r="Q9" s="70" t="n">
        <f aca="false">P11</f>
        <v>93200</v>
      </c>
      <c r="R9" s="70" t="n">
        <f aca="false">Q11</f>
        <v>89300</v>
      </c>
      <c r="S9" s="70" t="n">
        <f aca="false">R11</f>
        <v>85400</v>
      </c>
      <c r="T9" s="70" t="n">
        <f aca="false">S11</f>
        <v>81500</v>
      </c>
      <c r="U9" s="70" t="n">
        <f aca="false">T11</f>
        <v>77600</v>
      </c>
      <c r="V9" s="70" t="n">
        <f aca="false">U11</f>
        <v>73700</v>
      </c>
      <c r="W9" s="70" t="n">
        <f aca="false">V11</f>
        <v>69800</v>
      </c>
      <c r="X9" s="70" t="n">
        <f aca="false">W11</f>
        <v>65900</v>
      </c>
      <c r="Y9" s="70" t="n">
        <f aca="false">X11</f>
        <v>62000</v>
      </c>
      <c r="Z9" s="70" t="n">
        <f aca="false">Y11</f>
        <v>58100</v>
      </c>
      <c r="AA9" s="70" t="n">
        <f aca="false">Z11</f>
        <v>54200</v>
      </c>
      <c r="AB9" s="70" t="n">
        <f aca="false">AA11</f>
        <v>50300</v>
      </c>
    </row>
    <row r="10" customFormat="false" ht="15" hidden="false" customHeight="false" outlineLevel="0" collapsed="false">
      <c r="A10" s="27" t="s">
        <v>1319</v>
      </c>
      <c r="B10" s="56" t="s">
        <v>1320</v>
      </c>
      <c r="C10" s="57" t="n">
        <f aca="false">SUM(E10:P10)</f>
        <v>-46800</v>
      </c>
      <c r="D10" s="57" t="n">
        <f aca="false">SUM(Q10:AB10)</f>
        <v>-46800</v>
      </c>
      <c r="E10" s="58" t="n">
        <f aca="false">-MIN(E9,Assumptions!$C$82)</f>
        <v>-3900</v>
      </c>
      <c r="F10" s="58" t="n">
        <f aca="false">-MIN(F9,Assumptions!$C$82)</f>
        <v>-3900</v>
      </c>
      <c r="G10" s="58" t="n">
        <f aca="false">-MIN(G9,Assumptions!$C$82)</f>
        <v>-3900</v>
      </c>
      <c r="H10" s="58" t="n">
        <f aca="false">-MIN(H9,Assumptions!$C$82)</f>
        <v>-3900</v>
      </c>
      <c r="I10" s="58" t="n">
        <f aca="false">-MIN(I9,Assumptions!$C$82)</f>
        <v>-3900</v>
      </c>
      <c r="J10" s="58" t="n">
        <f aca="false">-MIN(J9,Assumptions!$C$82)</f>
        <v>-3900</v>
      </c>
      <c r="K10" s="58" t="n">
        <f aca="false">-MIN(K9,Assumptions!$C$82)</f>
        <v>-3900</v>
      </c>
      <c r="L10" s="58" t="n">
        <f aca="false">-MIN(L9,Assumptions!$C$82)</f>
        <v>-3900</v>
      </c>
      <c r="M10" s="58" t="n">
        <f aca="false">-MIN(M9,Assumptions!$C$82)</f>
        <v>-3900</v>
      </c>
      <c r="N10" s="58" t="n">
        <f aca="false">-MIN(N9,Assumptions!$C$82)</f>
        <v>-3900</v>
      </c>
      <c r="O10" s="58" t="n">
        <f aca="false">-MIN(O9,Assumptions!$C$82)</f>
        <v>-3900</v>
      </c>
      <c r="P10" s="58" t="n">
        <f aca="false">-MIN(P9,Assumptions!$C$82)</f>
        <v>-3900</v>
      </c>
      <c r="Q10" s="58" t="n">
        <f aca="false">-MIN(Q9,Assumptions!$C$82)</f>
        <v>-3900</v>
      </c>
      <c r="R10" s="58" t="n">
        <f aca="false">-MIN(R9,Assumptions!$C$82)</f>
        <v>-3900</v>
      </c>
      <c r="S10" s="58" t="n">
        <f aca="false">-MIN(S9,Assumptions!$C$82)</f>
        <v>-3900</v>
      </c>
      <c r="T10" s="58" t="n">
        <f aca="false">-MIN(T9,Assumptions!$C$82)</f>
        <v>-3900</v>
      </c>
      <c r="U10" s="58" t="n">
        <f aca="false">-MIN(U9,Assumptions!$C$82)</f>
        <v>-3900</v>
      </c>
      <c r="V10" s="58" t="n">
        <f aca="false">-MIN(V9,Assumptions!$C$82)</f>
        <v>-3900</v>
      </c>
      <c r="W10" s="58" t="n">
        <f aca="false">-MIN(W9,Assumptions!$C$82)</f>
        <v>-3900</v>
      </c>
      <c r="X10" s="58" t="n">
        <f aca="false">-MIN(X9,Assumptions!$C$82)</f>
        <v>-3900</v>
      </c>
      <c r="Y10" s="58" t="n">
        <f aca="false">-MIN(Y9,Assumptions!$C$82)</f>
        <v>-3900</v>
      </c>
      <c r="Z10" s="58" t="n">
        <f aca="false">-MIN(Z9,Assumptions!$C$82)</f>
        <v>-3900</v>
      </c>
      <c r="AA10" s="58" t="n">
        <f aca="false">-MIN(AA9,Assumptions!$C$82)</f>
        <v>-3900</v>
      </c>
      <c r="AB10" s="58" t="n">
        <f aca="false">-MIN(AB9,Assumptions!$C$82)</f>
        <v>-3900</v>
      </c>
    </row>
    <row r="11" customFormat="false" ht="15" hidden="false" customHeight="false" outlineLevel="0" collapsed="false">
      <c r="A11" s="27" t="s">
        <v>1321</v>
      </c>
      <c r="B11" s="56"/>
      <c r="C11" s="57" t="n">
        <f aca="false">P11</f>
        <v>93200</v>
      </c>
      <c r="D11" s="57" t="n">
        <f aca="false">AB11</f>
        <v>46400</v>
      </c>
      <c r="E11" s="70" t="n">
        <f aca="false">E9+E10</f>
        <v>136100</v>
      </c>
      <c r="F11" s="70" t="n">
        <f aca="false">F9+F10</f>
        <v>132200</v>
      </c>
      <c r="G11" s="70" t="n">
        <f aca="false">G9+G10</f>
        <v>128300</v>
      </c>
      <c r="H11" s="70" t="n">
        <f aca="false">H9+H10</f>
        <v>124400</v>
      </c>
      <c r="I11" s="70" t="n">
        <f aca="false">I9+I10</f>
        <v>120500</v>
      </c>
      <c r="J11" s="70" t="n">
        <f aca="false">J9+J10</f>
        <v>116600</v>
      </c>
      <c r="K11" s="70" t="n">
        <f aca="false">K9+K10</f>
        <v>112700</v>
      </c>
      <c r="L11" s="70" t="n">
        <f aca="false">L9+L10</f>
        <v>108800</v>
      </c>
      <c r="M11" s="70" t="n">
        <f aca="false">M9+M10</f>
        <v>104900</v>
      </c>
      <c r="N11" s="70" t="n">
        <f aca="false">N9+N10</f>
        <v>101000</v>
      </c>
      <c r="O11" s="70" t="n">
        <f aca="false">O9+O10</f>
        <v>97100</v>
      </c>
      <c r="P11" s="70" t="n">
        <f aca="false">P9+P10</f>
        <v>93200</v>
      </c>
      <c r="Q11" s="70" t="n">
        <f aca="false">Q9+Q10</f>
        <v>89300</v>
      </c>
      <c r="R11" s="70" t="n">
        <f aca="false">R9+R10</f>
        <v>85400</v>
      </c>
      <c r="S11" s="70" t="n">
        <f aca="false">S9+S10</f>
        <v>81500</v>
      </c>
      <c r="T11" s="70" t="n">
        <f aca="false">T9+T10</f>
        <v>77600</v>
      </c>
      <c r="U11" s="70" t="n">
        <f aca="false">U9+U10</f>
        <v>73700</v>
      </c>
      <c r="V11" s="70" t="n">
        <f aca="false">V9+V10</f>
        <v>69800</v>
      </c>
      <c r="W11" s="70" t="n">
        <f aca="false">W9+W10</f>
        <v>65900</v>
      </c>
      <c r="X11" s="70" t="n">
        <f aca="false">X9+X10</f>
        <v>62000</v>
      </c>
      <c r="Y11" s="70" t="n">
        <f aca="false">Y9+Y10</f>
        <v>58100</v>
      </c>
      <c r="Z11" s="70" t="n">
        <f aca="false">Z9+Z10</f>
        <v>54200</v>
      </c>
      <c r="AA11" s="70" t="n">
        <f aca="false">AA9+AA10</f>
        <v>50300</v>
      </c>
      <c r="AB11" s="70" t="n">
        <f aca="false">AB9+AB10</f>
        <v>46400</v>
      </c>
    </row>
    <row r="12" customFormat="false" ht="15" hidden="false" customHeight="false" outlineLevel="0" collapsed="false">
      <c r="A12" s="21" t="s">
        <v>1322</v>
      </c>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row>
    <row r="13" customFormat="false" ht="15" hidden="false" customHeight="false" outlineLevel="0" collapsed="false">
      <c r="A13" s="27" t="s">
        <v>1174</v>
      </c>
      <c r="B13" s="56"/>
      <c r="E13" s="70" t="n">
        <f aca="false">0</f>
        <v>0</v>
      </c>
      <c r="F13" s="70" t="n">
        <f aca="false">E16</f>
        <v>0</v>
      </c>
      <c r="G13" s="70" t="n">
        <f aca="false">F16</f>
        <v>0</v>
      </c>
      <c r="H13" s="70" t="n">
        <f aca="false">G16</f>
        <v>0</v>
      </c>
      <c r="I13" s="70" t="n">
        <f aca="false">H16</f>
        <v>34650</v>
      </c>
      <c r="J13" s="70" t="n">
        <f aca="false">I16</f>
        <v>33928.125</v>
      </c>
      <c r="K13" s="70" t="n">
        <f aca="false">J16</f>
        <v>33206.25</v>
      </c>
      <c r="L13" s="70" t="n">
        <f aca="false">K16</f>
        <v>32484.375</v>
      </c>
      <c r="M13" s="70" t="n">
        <f aca="false">L16</f>
        <v>31762.5</v>
      </c>
      <c r="N13" s="70" t="n">
        <f aca="false">M16</f>
        <v>31040.625</v>
      </c>
      <c r="O13" s="70" t="n">
        <f aca="false">N16</f>
        <v>30318.75</v>
      </c>
      <c r="P13" s="70" t="n">
        <f aca="false">O16</f>
        <v>29596.875</v>
      </c>
      <c r="Q13" s="70" t="n">
        <f aca="false">P16</f>
        <v>28875</v>
      </c>
      <c r="R13" s="70" t="n">
        <f aca="false">Q16</f>
        <v>28153.125</v>
      </c>
      <c r="S13" s="70" t="n">
        <f aca="false">R16</f>
        <v>27431.25</v>
      </c>
      <c r="T13" s="70" t="n">
        <f aca="false">S16</f>
        <v>96909.375</v>
      </c>
      <c r="U13" s="70" t="n">
        <f aca="false">T16</f>
        <v>94725</v>
      </c>
      <c r="V13" s="70" t="n">
        <f aca="false">U16</f>
        <v>92540.625</v>
      </c>
      <c r="W13" s="70" t="n">
        <f aca="false">V16</f>
        <v>90356.25</v>
      </c>
      <c r="X13" s="70" t="n">
        <f aca="false">W16</f>
        <v>88171.875</v>
      </c>
      <c r="Y13" s="70" t="n">
        <f aca="false">X16</f>
        <v>85987.5</v>
      </c>
      <c r="Z13" s="70" t="n">
        <f aca="false">Y16</f>
        <v>83803.125</v>
      </c>
      <c r="AA13" s="70" t="n">
        <f aca="false">Z16</f>
        <v>81618.75</v>
      </c>
      <c r="AB13" s="70" t="n">
        <f aca="false">AA16</f>
        <v>79434.375</v>
      </c>
    </row>
    <row r="14" customFormat="false" ht="15" hidden="false" customHeight="false" outlineLevel="0" collapsed="false">
      <c r="A14" s="27" t="s">
        <v>1323</v>
      </c>
      <c r="B14" s="56" t="s">
        <v>1324</v>
      </c>
      <c r="C14" s="57" t="n">
        <f aca="false">SUM(E14:P14)</f>
        <v>34650</v>
      </c>
      <c r="D14" s="57" t="n">
        <f aca="false">SUM(Q14:AB14)</f>
        <v>70200</v>
      </c>
      <c r="E14" s="58" t="n">
        <f aca="false">IF(E$5="A",Inputs_Actuals!E113,Fixed_Assets!E10*Assumptions!$C$83)</f>
        <v>0</v>
      </c>
      <c r="F14" s="58" t="n">
        <f aca="false">IF(F$5="A",Inputs_Actuals!F113,Fixed_Assets!F10*Assumptions!$C$83)</f>
        <v>0</v>
      </c>
      <c r="G14" s="58" t="n">
        <f aca="false">IF(G$5="A",Inputs_Actuals!G113,Fixed_Assets!G10*Assumptions!$C$83)</f>
        <v>0</v>
      </c>
      <c r="H14" s="58" t="n">
        <f aca="false">IF(H$5="A",Inputs_Actuals!H113,Fixed_Assets!H10*Assumptions!$C$83)</f>
        <v>34650</v>
      </c>
      <c r="I14" s="58" t="n">
        <f aca="false">IF(I$5="A",Inputs_Actuals!I113,Fixed_Assets!I10*Assumptions!$C$83)</f>
        <v>0</v>
      </c>
      <c r="J14" s="58" t="n">
        <f aca="false">IF(J$5="A",Inputs_Actuals!J113,Fixed_Assets!J10*Assumptions!$C$83)</f>
        <v>0</v>
      </c>
      <c r="K14" s="58" t="n">
        <f aca="false">IF(K$5="A",Inputs_Actuals!K113,Fixed_Assets!K10*Assumptions!$C$83)</f>
        <v>0</v>
      </c>
      <c r="L14" s="58" t="n">
        <f aca="false">IF(L$5="A",Inputs_Actuals!L113,Fixed_Assets!L10*Assumptions!$C$83)</f>
        <v>0</v>
      </c>
      <c r="M14" s="58" t="n">
        <f aca="false">IF(M$5="A",Inputs_Actuals!M113,Fixed_Assets!M10*Assumptions!$C$83)</f>
        <v>0</v>
      </c>
      <c r="N14" s="58" t="n">
        <f aca="false">IF(N$5="A",Inputs_Actuals!N113,Fixed_Assets!N10*Assumptions!$C$83)</f>
        <v>0</v>
      </c>
      <c r="O14" s="58" t="n">
        <f aca="false">IF(O$5="A",Inputs_Actuals!O113,Fixed_Assets!O10*Assumptions!$C$83)</f>
        <v>0</v>
      </c>
      <c r="P14" s="58" t="n">
        <f aca="false">IF(P$5="A",Inputs_Actuals!P113,Fixed_Assets!P10*Assumptions!$C$83)</f>
        <v>0</v>
      </c>
      <c r="Q14" s="58" t="n">
        <f aca="false">IF(Q$5="A",Inputs_Actuals!Q113,Fixed_Assets!Q10*Assumptions!$C$83)</f>
        <v>0</v>
      </c>
      <c r="R14" s="58" t="n">
        <f aca="false">IF(R$5="A",Inputs_Actuals!R113,Fixed_Assets!R10*Assumptions!$C$83)</f>
        <v>0</v>
      </c>
      <c r="S14" s="58" t="n">
        <f aca="false">IF(S$5="A",Inputs_Actuals!S113,Fixed_Assets!S10*Assumptions!$C$83)</f>
        <v>70200</v>
      </c>
      <c r="T14" s="58" t="n">
        <f aca="false">IF(T$5="A",Inputs_Actuals!T113,Fixed_Assets!T10*Assumptions!$C$83)</f>
        <v>0</v>
      </c>
      <c r="U14" s="58" t="n">
        <f aca="false">IF(U$5="A",Inputs_Actuals!U113,Fixed_Assets!U10*Assumptions!$C$83)</f>
        <v>0</v>
      </c>
      <c r="V14" s="58" t="n">
        <f aca="false">IF(V$5="A",Inputs_Actuals!V113,Fixed_Assets!V10*Assumptions!$C$83)</f>
        <v>0</v>
      </c>
      <c r="W14" s="58" t="n">
        <f aca="false">IF(W$5="A",Inputs_Actuals!W113,Fixed_Assets!W10*Assumptions!$C$83)</f>
        <v>0</v>
      </c>
      <c r="X14" s="58" t="n">
        <f aca="false">IF(X$5="A",Inputs_Actuals!X113,Fixed_Assets!X10*Assumptions!$C$83)</f>
        <v>0</v>
      </c>
      <c r="Y14" s="58" t="n">
        <f aca="false">IF(Y$5="A",Inputs_Actuals!Y113,Fixed_Assets!Y10*Assumptions!$C$83)</f>
        <v>0</v>
      </c>
      <c r="Z14" s="58" t="n">
        <f aca="false">IF(Z$5="A",Inputs_Actuals!Z113,Fixed_Assets!Z10*Assumptions!$C$83)</f>
        <v>0</v>
      </c>
      <c r="AA14" s="58" t="n">
        <f aca="false">IF(AA$5="A",Inputs_Actuals!AA113,Fixed_Assets!AA10*Assumptions!$C$83)</f>
        <v>0</v>
      </c>
      <c r="AB14" s="58" t="n">
        <f aca="false">IF(AB$5="A",Inputs_Actuals!AB113,Fixed_Assets!AB10*Assumptions!$C$83)</f>
        <v>0</v>
      </c>
    </row>
    <row r="15" customFormat="false" ht="15" hidden="false" customHeight="false" outlineLevel="0" collapsed="false">
      <c r="A15" s="27" t="s">
        <v>1319</v>
      </c>
      <c r="B15" s="56" t="s">
        <v>1325</v>
      </c>
      <c r="C15" s="57" t="n">
        <f aca="false">SUM(E15:P15)</f>
        <v>-5775</v>
      </c>
      <c r="D15" s="57" t="n">
        <f aca="false">SUM(Q15:AB15)</f>
        <v>-21825</v>
      </c>
      <c r="E15" s="58" t="n">
        <f aca="false">-MIN(E13,SUMIFS(Debt!$E$14:$AB$14,Assumptions!$E$96:$AB$96,"&gt;="&amp;(Assumptions!E$96-Assumptions!$C$81),Assumptions!$E$96:$AB$96,"&lt;="&amp;(Assumptions!E$96-1))/Assumptions!$C$81)</f>
        <v>-0</v>
      </c>
      <c r="F15" s="58" t="n">
        <f aca="false">-MIN(F13,SUMIFS(Debt!$E$14:$AB$14,Assumptions!$E$96:$AB$96,"&gt;="&amp;(Assumptions!F$96-Assumptions!$C$81),Assumptions!$E$96:$AB$96,"&lt;="&amp;(Assumptions!F$96-1))/Assumptions!$C$81)</f>
        <v>-0</v>
      </c>
      <c r="G15" s="58" t="n">
        <f aca="false">-MIN(G13,SUMIFS(Debt!$E$14:$AB$14,Assumptions!$E$96:$AB$96,"&gt;="&amp;(Assumptions!G$96-Assumptions!$C$81),Assumptions!$E$96:$AB$96,"&lt;="&amp;(Assumptions!G$96-1))/Assumptions!$C$81)</f>
        <v>-0</v>
      </c>
      <c r="H15" s="58" t="n">
        <f aca="false">-MIN(H13,SUMIFS(Debt!$E$14:$AB$14,Assumptions!$E$96:$AB$96,"&gt;="&amp;(Assumptions!H$96-Assumptions!$C$81),Assumptions!$E$96:$AB$96,"&lt;="&amp;(Assumptions!H$96-1))/Assumptions!$C$81)</f>
        <v>-0</v>
      </c>
      <c r="I15" s="58" t="n">
        <f aca="false">-MIN(I13,SUMIFS(Debt!$E$14:$AB$14,Assumptions!$E$96:$AB$96,"&gt;="&amp;(Assumptions!I$96-Assumptions!$C$81),Assumptions!$E$96:$AB$96,"&lt;="&amp;(Assumptions!I$96-1))/Assumptions!$C$81)</f>
        <v>-721.875</v>
      </c>
      <c r="J15" s="58" t="n">
        <f aca="false">-MIN(J13,SUMIFS(Debt!$E$14:$AB$14,Assumptions!$E$96:$AB$96,"&gt;="&amp;(Assumptions!J$96-Assumptions!$C$81),Assumptions!$E$96:$AB$96,"&lt;="&amp;(Assumptions!J$96-1))/Assumptions!$C$81)</f>
        <v>-721.875</v>
      </c>
      <c r="K15" s="58" t="n">
        <f aca="false">-MIN(K13,SUMIFS(Debt!$E$14:$AB$14,Assumptions!$E$96:$AB$96,"&gt;="&amp;(Assumptions!K$96-Assumptions!$C$81),Assumptions!$E$96:$AB$96,"&lt;="&amp;(Assumptions!K$96-1))/Assumptions!$C$81)</f>
        <v>-721.875</v>
      </c>
      <c r="L15" s="58" t="n">
        <f aca="false">-MIN(L13,SUMIFS(Debt!$E$14:$AB$14,Assumptions!$E$96:$AB$96,"&gt;="&amp;(Assumptions!L$96-Assumptions!$C$81),Assumptions!$E$96:$AB$96,"&lt;="&amp;(Assumptions!L$96-1))/Assumptions!$C$81)</f>
        <v>-721.875</v>
      </c>
      <c r="M15" s="58" t="n">
        <f aca="false">-MIN(M13,SUMIFS(Debt!$E$14:$AB$14,Assumptions!$E$96:$AB$96,"&gt;="&amp;(Assumptions!M$96-Assumptions!$C$81),Assumptions!$E$96:$AB$96,"&lt;="&amp;(Assumptions!M$96-1))/Assumptions!$C$81)</f>
        <v>-721.875</v>
      </c>
      <c r="N15" s="58" t="n">
        <f aca="false">-MIN(N13,SUMIFS(Debt!$E$14:$AB$14,Assumptions!$E$96:$AB$96,"&gt;="&amp;(Assumptions!N$96-Assumptions!$C$81),Assumptions!$E$96:$AB$96,"&lt;="&amp;(Assumptions!N$96-1))/Assumptions!$C$81)</f>
        <v>-721.875</v>
      </c>
      <c r="O15" s="58" t="n">
        <f aca="false">-MIN(O13,SUMIFS(Debt!$E$14:$AB$14,Assumptions!$E$96:$AB$96,"&gt;="&amp;(Assumptions!O$96-Assumptions!$C$81),Assumptions!$E$96:$AB$96,"&lt;="&amp;(Assumptions!O$96-1))/Assumptions!$C$81)</f>
        <v>-721.875</v>
      </c>
      <c r="P15" s="58" t="n">
        <f aca="false">-MIN(P13,SUMIFS(Debt!$E$14:$AB$14,Assumptions!$E$96:$AB$96,"&gt;="&amp;(Assumptions!P$96-Assumptions!$C$81),Assumptions!$E$96:$AB$96,"&lt;="&amp;(Assumptions!P$96-1))/Assumptions!$C$81)</f>
        <v>-721.875</v>
      </c>
      <c r="Q15" s="58" t="n">
        <f aca="false">-MIN(Q13,SUMIFS(Debt!$E$14:$AB$14,Assumptions!$E$96:$AB$96,"&gt;="&amp;(Assumptions!Q$96-Assumptions!$C$81),Assumptions!$E$96:$AB$96,"&lt;="&amp;(Assumptions!Q$96-1))/Assumptions!$C$81)</f>
        <v>-721.875</v>
      </c>
      <c r="R15" s="58" t="n">
        <f aca="false">-MIN(R13,SUMIFS(Debt!$E$14:$AB$14,Assumptions!$E$96:$AB$96,"&gt;="&amp;(Assumptions!R$96-Assumptions!$C$81),Assumptions!$E$96:$AB$96,"&lt;="&amp;(Assumptions!R$96-1))/Assumptions!$C$81)</f>
        <v>-721.875</v>
      </c>
      <c r="S15" s="58" t="n">
        <f aca="false">-MIN(S13,SUMIFS(Debt!$E$14:$AB$14,Assumptions!$E$96:$AB$96,"&gt;="&amp;(Assumptions!S$96-Assumptions!$C$81),Assumptions!$E$96:$AB$96,"&lt;="&amp;(Assumptions!S$96-1))/Assumptions!$C$81)</f>
        <v>-721.875</v>
      </c>
      <c r="T15" s="58" t="n">
        <f aca="false">-MIN(T13,SUMIFS(Debt!$E$14:$AB$14,Assumptions!$E$96:$AB$96,"&gt;="&amp;(Assumptions!T$96-Assumptions!$C$81),Assumptions!$E$96:$AB$96,"&lt;="&amp;(Assumptions!T$96-1))/Assumptions!$C$81)</f>
        <v>-2184.375</v>
      </c>
      <c r="U15" s="58" t="n">
        <f aca="false">-MIN(U13,SUMIFS(Debt!$E$14:$AB$14,Assumptions!$E$96:$AB$96,"&gt;="&amp;(Assumptions!U$96-Assumptions!$C$81),Assumptions!$E$96:$AB$96,"&lt;="&amp;(Assumptions!U$96-1))/Assumptions!$C$81)</f>
        <v>-2184.375</v>
      </c>
      <c r="V15" s="58" t="n">
        <f aca="false">-MIN(V13,SUMIFS(Debt!$E$14:$AB$14,Assumptions!$E$96:$AB$96,"&gt;="&amp;(Assumptions!V$96-Assumptions!$C$81),Assumptions!$E$96:$AB$96,"&lt;="&amp;(Assumptions!V$96-1))/Assumptions!$C$81)</f>
        <v>-2184.375</v>
      </c>
      <c r="W15" s="58" t="n">
        <f aca="false">-MIN(W13,SUMIFS(Debt!$E$14:$AB$14,Assumptions!$E$96:$AB$96,"&gt;="&amp;(Assumptions!W$96-Assumptions!$C$81),Assumptions!$E$96:$AB$96,"&lt;="&amp;(Assumptions!W$96-1))/Assumptions!$C$81)</f>
        <v>-2184.375</v>
      </c>
      <c r="X15" s="58" t="n">
        <f aca="false">-MIN(X13,SUMIFS(Debt!$E$14:$AB$14,Assumptions!$E$96:$AB$96,"&gt;="&amp;(Assumptions!X$96-Assumptions!$C$81),Assumptions!$E$96:$AB$96,"&lt;="&amp;(Assumptions!X$96-1))/Assumptions!$C$81)</f>
        <v>-2184.375</v>
      </c>
      <c r="Y15" s="58" t="n">
        <f aca="false">-MIN(Y13,SUMIFS(Debt!$E$14:$AB$14,Assumptions!$E$96:$AB$96,"&gt;="&amp;(Assumptions!Y$96-Assumptions!$C$81),Assumptions!$E$96:$AB$96,"&lt;="&amp;(Assumptions!Y$96-1))/Assumptions!$C$81)</f>
        <v>-2184.375</v>
      </c>
      <c r="Z15" s="58" t="n">
        <f aca="false">-MIN(Z13,SUMIFS(Debt!$E$14:$AB$14,Assumptions!$E$96:$AB$96,"&gt;="&amp;(Assumptions!Z$96-Assumptions!$C$81),Assumptions!$E$96:$AB$96,"&lt;="&amp;(Assumptions!Z$96-1))/Assumptions!$C$81)</f>
        <v>-2184.375</v>
      </c>
      <c r="AA15" s="58" t="n">
        <f aca="false">-MIN(AA13,SUMIFS(Debt!$E$14:$AB$14,Assumptions!$E$96:$AB$96,"&gt;="&amp;(Assumptions!AA$96-Assumptions!$C$81),Assumptions!$E$96:$AB$96,"&lt;="&amp;(Assumptions!AA$96-1))/Assumptions!$C$81)</f>
        <v>-2184.375</v>
      </c>
      <c r="AB15" s="58" t="n">
        <f aca="false">-MIN(AB13,SUMIFS(Debt!$E$14:$AB$14,Assumptions!$E$96:$AB$96,"&gt;="&amp;(Assumptions!AB$96-Assumptions!$C$81),Assumptions!$E$96:$AB$96,"&lt;="&amp;(Assumptions!AB$96-1))/Assumptions!$C$81)</f>
        <v>-2184.375</v>
      </c>
    </row>
    <row r="16" customFormat="false" ht="15" hidden="false" customHeight="false" outlineLevel="0" collapsed="false">
      <c r="A16" s="27" t="s">
        <v>1321</v>
      </c>
      <c r="B16" s="56"/>
      <c r="C16" s="57" t="n">
        <f aca="false">P16</f>
        <v>28875</v>
      </c>
      <c r="D16" s="57" t="n">
        <f aca="false">AB16</f>
        <v>77250</v>
      </c>
      <c r="E16" s="70" t="n">
        <f aca="false">E13+E14+E15</f>
        <v>0</v>
      </c>
      <c r="F16" s="70" t="n">
        <f aca="false">F13+F14+F15</f>
        <v>0</v>
      </c>
      <c r="G16" s="70" t="n">
        <f aca="false">G13+G14+G15</f>
        <v>0</v>
      </c>
      <c r="H16" s="70" t="n">
        <f aca="false">H13+H14+H15</f>
        <v>34650</v>
      </c>
      <c r="I16" s="70" t="n">
        <f aca="false">I13+I14+I15</f>
        <v>33928.125</v>
      </c>
      <c r="J16" s="70" t="n">
        <f aca="false">J13+J14+J15</f>
        <v>33206.25</v>
      </c>
      <c r="K16" s="70" t="n">
        <f aca="false">K13+K14+K15</f>
        <v>32484.375</v>
      </c>
      <c r="L16" s="70" t="n">
        <f aca="false">L13+L14+L15</f>
        <v>31762.5</v>
      </c>
      <c r="M16" s="70" t="n">
        <f aca="false">M13+M14+M15</f>
        <v>31040.625</v>
      </c>
      <c r="N16" s="70" t="n">
        <f aca="false">N13+N14+N15</f>
        <v>30318.75</v>
      </c>
      <c r="O16" s="70" t="n">
        <f aca="false">O13+O14+O15</f>
        <v>29596.875</v>
      </c>
      <c r="P16" s="70" t="n">
        <f aca="false">P13+P14+P15</f>
        <v>28875</v>
      </c>
      <c r="Q16" s="70" t="n">
        <f aca="false">Q13+Q14+Q15</f>
        <v>28153.125</v>
      </c>
      <c r="R16" s="70" t="n">
        <f aca="false">R13+R14+R15</f>
        <v>27431.25</v>
      </c>
      <c r="S16" s="70" t="n">
        <f aca="false">S13+S14+S15</f>
        <v>96909.375</v>
      </c>
      <c r="T16" s="70" t="n">
        <f aca="false">T13+T14+T15</f>
        <v>94725</v>
      </c>
      <c r="U16" s="70" t="n">
        <f aca="false">U13+U14+U15</f>
        <v>92540.625</v>
      </c>
      <c r="V16" s="70" t="n">
        <f aca="false">V13+V14+V15</f>
        <v>90356.25</v>
      </c>
      <c r="W16" s="70" t="n">
        <f aca="false">W13+W14+W15</f>
        <v>88171.875</v>
      </c>
      <c r="X16" s="70" t="n">
        <f aca="false">X13+X14+X15</f>
        <v>85987.5</v>
      </c>
      <c r="Y16" s="70" t="n">
        <f aca="false">Y13+Y14+Y15</f>
        <v>83803.125</v>
      </c>
      <c r="Z16" s="70" t="n">
        <f aca="false">Z13+Z14+Z15</f>
        <v>81618.75</v>
      </c>
      <c r="AA16" s="70" t="n">
        <f aca="false">AA13+AA14+AA15</f>
        <v>79434.375</v>
      </c>
      <c r="AB16" s="70" t="n">
        <f aca="false">AB13+AB14+AB15</f>
        <v>77250</v>
      </c>
    </row>
    <row r="17" customFormat="false" ht="15" hidden="false" customHeight="false" outlineLevel="0" collapsed="false">
      <c r="A17" s="21" t="s">
        <v>1326</v>
      </c>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row>
    <row r="18" customFormat="false" ht="15" hidden="false" customHeight="false" outlineLevel="0" collapsed="false">
      <c r="A18" s="67" t="s">
        <v>1327</v>
      </c>
      <c r="B18" s="68"/>
      <c r="C18" s="69" t="n">
        <f aca="false">P18</f>
        <v>122075</v>
      </c>
      <c r="D18" s="69" t="n">
        <f aca="false">AB18</f>
        <v>123650</v>
      </c>
      <c r="E18" s="69" t="n">
        <f aca="false">E11+E16</f>
        <v>136100</v>
      </c>
      <c r="F18" s="69" t="n">
        <f aca="false">F11+F16</f>
        <v>132200</v>
      </c>
      <c r="G18" s="69" t="n">
        <f aca="false">G11+G16</f>
        <v>128300</v>
      </c>
      <c r="H18" s="69" t="n">
        <f aca="false">H11+H16</f>
        <v>159050</v>
      </c>
      <c r="I18" s="69" t="n">
        <f aca="false">I11+I16</f>
        <v>154428.125</v>
      </c>
      <c r="J18" s="69" t="n">
        <f aca="false">J11+J16</f>
        <v>149806.25</v>
      </c>
      <c r="K18" s="69" t="n">
        <f aca="false">K11+K16</f>
        <v>145184.375</v>
      </c>
      <c r="L18" s="69" t="n">
        <f aca="false">L11+L16</f>
        <v>140562.5</v>
      </c>
      <c r="M18" s="69" t="n">
        <f aca="false">M11+M16</f>
        <v>135940.625</v>
      </c>
      <c r="N18" s="69" t="n">
        <f aca="false">N11+N16</f>
        <v>131318.75</v>
      </c>
      <c r="O18" s="69" t="n">
        <f aca="false">O11+O16</f>
        <v>126696.875</v>
      </c>
      <c r="P18" s="69" t="n">
        <f aca="false">P11+P16</f>
        <v>122075</v>
      </c>
      <c r="Q18" s="69" t="n">
        <f aca="false">Q11+Q16</f>
        <v>117453.125</v>
      </c>
      <c r="R18" s="69" t="n">
        <f aca="false">R11+R16</f>
        <v>112831.25</v>
      </c>
      <c r="S18" s="69" t="n">
        <f aca="false">S11+S16</f>
        <v>178409.375</v>
      </c>
      <c r="T18" s="69" t="n">
        <f aca="false">T11+T16</f>
        <v>172325</v>
      </c>
      <c r="U18" s="69" t="n">
        <f aca="false">U11+U16</f>
        <v>166240.625</v>
      </c>
      <c r="V18" s="69" t="n">
        <f aca="false">V11+V16</f>
        <v>160156.25</v>
      </c>
      <c r="W18" s="69" t="n">
        <f aca="false">W11+W16</f>
        <v>154071.875</v>
      </c>
      <c r="X18" s="69" t="n">
        <f aca="false">X11+X16</f>
        <v>147987.5</v>
      </c>
      <c r="Y18" s="69" t="n">
        <f aca="false">Y11+Y16</f>
        <v>141903.125</v>
      </c>
      <c r="Z18" s="69" t="n">
        <f aca="false">Z11+Z16</f>
        <v>135818.75</v>
      </c>
      <c r="AA18" s="69" t="n">
        <f aca="false">AA11+AA16</f>
        <v>129734.375</v>
      </c>
      <c r="AB18" s="69" t="n">
        <f aca="false">AB11+AB16</f>
        <v>123650</v>
      </c>
    </row>
    <row r="19" customFormat="false" ht="15" hidden="false" customHeight="false" outlineLevel="0" collapsed="false">
      <c r="A19" s="27" t="s">
        <v>1328</v>
      </c>
      <c r="B19" s="56" t="s">
        <v>1329</v>
      </c>
      <c r="C19" s="57" t="n">
        <f aca="false">SUM(E19:P19)</f>
        <v>9657.628125</v>
      </c>
      <c r="D19" s="57" t="n">
        <f aca="false">SUM(Q19:AB19)</f>
        <v>9999.2859375</v>
      </c>
      <c r="E19" s="58" t="n">
        <f aca="false">(E9+E13)*Assumptions!$C$80/12</f>
        <v>805</v>
      </c>
      <c r="F19" s="58" t="n">
        <f aca="false">(F9+F13)*Assumptions!$C$80/12</f>
        <v>782.575</v>
      </c>
      <c r="G19" s="58" t="n">
        <f aca="false">(G9+G13)*Assumptions!$C$80/12</f>
        <v>760.15</v>
      </c>
      <c r="H19" s="58" t="n">
        <f aca="false">(H9+H13)*Assumptions!$C$80/12</f>
        <v>737.725</v>
      </c>
      <c r="I19" s="58" t="n">
        <f aca="false">(I9+I13)*Assumptions!$C$80/12</f>
        <v>914.5375</v>
      </c>
      <c r="J19" s="58" t="n">
        <f aca="false">(J9+J13)*Assumptions!$C$80/12</f>
        <v>887.96171875</v>
      </c>
      <c r="K19" s="58" t="n">
        <f aca="false">(K9+K13)*Assumptions!$C$80/12</f>
        <v>861.3859375</v>
      </c>
      <c r="L19" s="58" t="n">
        <f aca="false">(L9+L13)*Assumptions!$C$80/12</f>
        <v>834.81015625</v>
      </c>
      <c r="M19" s="58" t="n">
        <f aca="false">(M9+M13)*Assumptions!$C$80/12</f>
        <v>808.234375</v>
      </c>
      <c r="N19" s="58" t="n">
        <f aca="false">(N9+N13)*Assumptions!$C$80/12</f>
        <v>781.65859375</v>
      </c>
      <c r="O19" s="58" t="n">
        <f aca="false">(O9+O13)*Assumptions!$C$80/12</f>
        <v>755.0828125</v>
      </c>
      <c r="P19" s="58" t="n">
        <f aca="false">(P9+P13)*Assumptions!$C$80/12</f>
        <v>728.50703125</v>
      </c>
      <c r="Q19" s="58" t="n">
        <f aca="false">(Q9+Q13)*Assumptions!$C$80/12</f>
        <v>701.93125</v>
      </c>
      <c r="R19" s="58" t="n">
        <f aca="false">(R9+R13)*Assumptions!$C$80/12</f>
        <v>675.35546875</v>
      </c>
      <c r="S19" s="58" t="n">
        <f aca="false">(S9+S13)*Assumptions!$C$80/12</f>
        <v>648.7796875</v>
      </c>
      <c r="T19" s="58" t="n">
        <f aca="false">(T9+T13)*Assumptions!$C$80/12</f>
        <v>1025.85390625</v>
      </c>
      <c r="U19" s="58" t="n">
        <f aca="false">(U9+U13)*Assumptions!$C$80/12</f>
        <v>990.86875</v>
      </c>
      <c r="V19" s="58" t="n">
        <f aca="false">(V9+V13)*Assumptions!$C$80/12</f>
        <v>955.88359375</v>
      </c>
      <c r="W19" s="58" t="n">
        <f aca="false">(W9+W13)*Assumptions!$C$80/12</f>
        <v>920.8984375</v>
      </c>
      <c r="X19" s="58" t="n">
        <f aca="false">(X9+X13)*Assumptions!$C$80/12</f>
        <v>885.91328125</v>
      </c>
      <c r="Y19" s="58" t="n">
        <f aca="false">(Y9+Y13)*Assumptions!$C$80/12</f>
        <v>850.928125</v>
      </c>
      <c r="Z19" s="58" t="n">
        <f aca="false">(Z9+Z13)*Assumptions!$C$80/12</f>
        <v>815.94296875</v>
      </c>
      <c r="AA19" s="58" t="n">
        <f aca="false">(AA9+AA13)*Assumptions!$C$80/12</f>
        <v>780.9578125</v>
      </c>
      <c r="AB19" s="58" t="n">
        <f aca="false">(AB9+AB13)*Assumptions!$C$80/12</f>
        <v>745.97265625</v>
      </c>
    </row>
    <row r="20" customFormat="false" ht="15" hidden="false" customHeight="false" outlineLevel="0" collapsed="false">
      <c r="A20" s="27" t="s">
        <v>1319</v>
      </c>
      <c r="B20" s="56"/>
      <c r="C20" s="57" t="n">
        <f aca="false">SUM(E20:P20)</f>
        <v>-52575</v>
      </c>
      <c r="D20" s="57" t="n">
        <f aca="false">SUM(Q20:AB20)</f>
        <v>-68625</v>
      </c>
      <c r="E20" s="70" t="n">
        <f aca="false">E10+E15</f>
        <v>-3900</v>
      </c>
      <c r="F20" s="70" t="n">
        <f aca="false">F10+F15</f>
        <v>-3900</v>
      </c>
      <c r="G20" s="70" t="n">
        <f aca="false">G10+G15</f>
        <v>-3900</v>
      </c>
      <c r="H20" s="70" t="n">
        <f aca="false">H10+H15</f>
        <v>-3900</v>
      </c>
      <c r="I20" s="70" t="n">
        <f aca="false">I10+I15</f>
        <v>-4621.875</v>
      </c>
      <c r="J20" s="70" t="n">
        <f aca="false">J10+J15</f>
        <v>-4621.875</v>
      </c>
      <c r="K20" s="70" t="n">
        <f aca="false">K10+K15</f>
        <v>-4621.875</v>
      </c>
      <c r="L20" s="70" t="n">
        <f aca="false">L10+L15</f>
        <v>-4621.875</v>
      </c>
      <c r="M20" s="70" t="n">
        <f aca="false">M10+M15</f>
        <v>-4621.875</v>
      </c>
      <c r="N20" s="70" t="n">
        <f aca="false">N10+N15</f>
        <v>-4621.875</v>
      </c>
      <c r="O20" s="70" t="n">
        <f aca="false">O10+O15</f>
        <v>-4621.875</v>
      </c>
      <c r="P20" s="70" t="n">
        <f aca="false">P10+P15</f>
        <v>-4621.875</v>
      </c>
      <c r="Q20" s="70" t="n">
        <f aca="false">Q10+Q15</f>
        <v>-4621.875</v>
      </c>
      <c r="R20" s="70" t="n">
        <f aca="false">R10+R15</f>
        <v>-4621.875</v>
      </c>
      <c r="S20" s="70" t="n">
        <f aca="false">S10+S15</f>
        <v>-4621.875</v>
      </c>
      <c r="T20" s="70" t="n">
        <f aca="false">T10+T15</f>
        <v>-6084.375</v>
      </c>
      <c r="U20" s="70" t="n">
        <f aca="false">U10+U15</f>
        <v>-6084.375</v>
      </c>
      <c r="V20" s="70" t="n">
        <f aca="false">V10+V15</f>
        <v>-6084.375</v>
      </c>
      <c r="W20" s="70" t="n">
        <f aca="false">W10+W15</f>
        <v>-6084.375</v>
      </c>
      <c r="X20" s="70" t="n">
        <f aca="false">X10+X15</f>
        <v>-6084.375</v>
      </c>
      <c r="Y20" s="70" t="n">
        <f aca="false">Y10+Y15</f>
        <v>-6084.375</v>
      </c>
      <c r="Z20" s="70" t="n">
        <f aca="false">Z10+Z15</f>
        <v>-6084.375</v>
      </c>
      <c r="AA20" s="70" t="n">
        <f aca="false">AA10+AA15</f>
        <v>-6084.375</v>
      </c>
      <c r="AB20" s="70" t="n">
        <f aca="false">AB10+AB15</f>
        <v>-6084.375</v>
      </c>
    </row>
    <row r="21" customFormat="false" ht="15" hidden="false" customHeight="false" outlineLevel="0" collapsed="false">
      <c r="A21" s="27" t="s">
        <v>1330</v>
      </c>
      <c r="B21" s="56"/>
      <c r="C21" s="57" t="n">
        <f aca="false">P21</f>
        <v>55462.5</v>
      </c>
      <c r="D21" s="57" t="n">
        <f aca="false">AB21</f>
        <v>73012.5</v>
      </c>
      <c r="E21" s="70" t="n">
        <f aca="false">MIN(E18,-12*E20)</f>
        <v>46800</v>
      </c>
      <c r="F21" s="70" t="n">
        <f aca="false">MIN(F18,-12*F20)</f>
        <v>46800</v>
      </c>
      <c r="G21" s="70" t="n">
        <f aca="false">MIN(G18,-12*G20)</f>
        <v>46800</v>
      </c>
      <c r="H21" s="70" t="n">
        <f aca="false">MIN(H18,-12*H20)</f>
        <v>46800</v>
      </c>
      <c r="I21" s="70" t="n">
        <f aca="false">MIN(I18,-12*I20)</f>
        <v>55462.5</v>
      </c>
      <c r="J21" s="70" t="n">
        <f aca="false">MIN(J18,-12*J20)</f>
        <v>55462.5</v>
      </c>
      <c r="K21" s="70" t="n">
        <f aca="false">MIN(K18,-12*K20)</f>
        <v>55462.5</v>
      </c>
      <c r="L21" s="70" t="n">
        <f aca="false">MIN(L18,-12*L20)</f>
        <v>55462.5</v>
      </c>
      <c r="M21" s="70" t="n">
        <f aca="false">MIN(M18,-12*M20)</f>
        <v>55462.5</v>
      </c>
      <c r="N21" s="70" t="n">
        <f aca="false">MIN(N18,-12*N20)</f>
        <v>55462.5</v>
      </c>
      <c r="O21" s="70" t="n">
        <f aca="false">MIN(O18,-12*O20)</f>
        <v>55462.5</v>
      </c>
      <c r="P21" s="70" t="n">
        <f aca="false">MIN(P18,-12*P20)</f>
        <v>55462.5</v>
      </c>
      <c r="Q21" s="70" t="n">
        <f aca="false">MIN(Q18,-12*Q20)</f>
        <v>55462.5</v>
      </c>
      <c r="R21" s="70" t="n">
        <f aca="false">MIN(R18,-12*R20)</f>
        <v>55462.5</v>
      </c>
      <c r="S21" s="70" t="n">
        <f aca="false">MIN(S18,-12*S20)</f>
        <v>55462.5</v>
      </c>
      <c r="T21" s="70" t="n">
        <f aca="false">MIN(T18,-12*T20)</f>
        <v>73012.5</v>
      </c>
      <c r="U21" s="70" t="n">
        <f aca="false">MIN(U18,-12*U20)</f>
        <v>73012.5</v>
      </c>
      <c r="V21" s="70" t="n">
        <f aca="false">MIN(V18,-12*V20)</f>
        <v>73012.5</v>
      </c>
      <c r="W21" s="70" t="n">
        <f aca="false">MIN(W18,-12*W20)</f>
        <v>73012.5</v>
      </c>
      <c r="X21" s="70" t="n">
        <f aca="false">MIN(X18,-12*X20)</f>
        <v>73012.5</v>
      </c>
      <c r="Y21" s="70" t="n">
        <f aca="false">MIN(Y18,-12*Y20)</f>
        <v>73012.5</v>
      </c>
      <c r="Z21" s="70" t="n">
        <f aca="false">MIN(Z18,-12*Z20)</f>
        <v>73012.5</v>
      </c>
      <c r="AA21" s="70" t="n">
        <f aca="false">MIN(AA18,-12*AA20)</f>
        <v>73012.5</v>
      </c>
      <c r="AB21" s="70" t="n">
        <f aca="false">MIN(AB18,-12*AB20)</f>
        <v>73012.5</v>
      </c>
    </row>
    <row r="22" customFormat="false" ht="15" hidden="false" customHeight="false" outlineLevel="0" collapsed="false">
      <c r="A22" s="27" t="s">
        <v>1331</v>
      </c>
      <c r="B22" s="56"/>
      <c r="C22" s="57" t="n">
        <f aca="false">P22</f>
        <v>66612.5</v>
      </c>
      <c r="D22" s="57" t="n">
        <f aca="false">AB22</f>
        <v>50637.5</v>
      </c>
      <c r="E22" s="70" t="n">
        <f aca="false">E18-E21</f>
        <v>89300</v>
      </c>
      <c r="F22" s="70" t="n">
        <f aca="false">F18-F21</f>
        <v>85400</v>
      </c>
      <c r="G22" s="70" t="n">
        <f aca="false">G18-G21</f>
        <v>81500</v>
      </c>
      <c r="H22" s="70" t="n">
        <f aca="false">H18-H21</f>
        <v>112250</v>
      </c>
      <c r="I22" s="70" t="n">
        <f aca="false">I18-I21</f>
        <v>98965.625</v>
      </c>
      <c r="J22" s="70" t="n">
        <f aca="false">J18-J21</f>
        <v>94343.75</v>
      </c>
      <c r="K22" s="70" t="n">
        <f aca="false">K18-K21</f>
        <v>89721.875</v>
      </c>
      <c r="L22" s="70" t="n">
        <f aca="false">L18-L21</f>
        <v>85100</v>
      </c>
      <c r="M22" s="70" t="n">
        <f aca="false">M18-M21</f>
        <v>80478.125</v>
      </c>
      <c r="N22" s="70" t="n">
        <f aca="false">N18-N21</f>
        <v>75856.25</v>
      </c>
      <c r="O22" s="70" t="n">
        <f aca="false">O18-O21</f>
        <v>71234.375</v>
      </c>
      <c r="P22" s="70" t="n">
        <f aca="false">P18-P21</f>
        <v>66612.5</v>
      </c>
      <c r="Q22" s="70" t="n">
        <f aca="false">Q18-Q21</f>
        <v>61990.625</v>
      </c>
      <c r="R22" s="70" t="n">
        <f aca="false">R18-R21</f>
        <v>57368.75</v>
      </c>
      <c r="S22" s="70" t="n">
        <f aca="false">S18-S21</f>
        <v>122946.875</v>
      </c>
      <c r="T22" s="70" t="n">
        <f aca="false">T18-T21</f>
        <v>99312.5</v>
      </c>
      <c r="U22" s="70" t="n">
        <f aca="false">U18-U21</f>
        <v>93228.125</v>
      </c>
      <c r="V22" s="70" t="n">
        <f aca="false">V18-V21</f>
        <v>87143.75</v>
      </c>
      <c r="W22" s="70" t="n">
        <f aca="false">W18-W21</f>
        <v>81059.375</v>
      </c>
      <c r="X22" s="70" t="n">
        <f aca="false">X18-X21</f>
        <v>74975</v>
      </c>
      <c r="Y22" s="70" t="n">
        <f aca="false">Y18-Y21</f>
        <v>68890.625</v>
      </c>
      <c r="Z22" s="70" t="n">
        <f aca="false">Z18-Z21</f>
        <v>62806.25</v>
      </c>
      <c r="AA22" s="70" t="n">
        <f aca="false">AA18-AA21</f>
        <v>56721.875</v>
      </c>
      <c r="AB22" s="70" t="n">
        <f aca="false">AB18-AB21</f>
        <v>50637.5</v>
      </c>
    </row>
    <row r="23" customFormat="false" ht="15" hidden="false" customHeight="false" outlineLevel="0" collapsed="false">
      <c r="A23" s="21" t="s">
        <v>1332</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row>
    <row r="24" customFormat="false" ht="15" hidden="false" customHeight="false" outlineLevel="0" collapsed="false">
      <c r="A24" s="27" t="s">
        <v>1333</v>
      </c>
      <c r="B24" s="56" t="s">
        <v>80</v>
      </c>
      <c r="C24" s="57" t="n">
        <f aca="false">P24</f>
        <v>250000</v>
      </c>
      <c r="D24" s="57" t="n">
        <f aca="false">AB24</f>
        <v>250000</v>
      </c>
      <c r="E24" s="58" t="n">
        <f aca="false">Assumptions!$C$14</f>
        <v>250000</v>
      </c>
      <c r="F24" s="58" t="n">
        <f aca="false">Assumptions!$C$14</f>
        <v>250000</v>
      </c>
      <c r="G24" s="58" t="n">
        <f aca="false">Assumptions!$C$14</f>
        <v>250000</v>
      </c>
      <c r="H24" s="58" t="n">
        <f aca="false">Assumptions!$C$14</f>
        <v>250000</v>
      </c>
      <c r="I24" s="58" t="n">
        <f aca="false">Assumptions!$C$14</f>
        <v>250000</v>
      </c>
      <c r="J24" s="58" t="n">
        <f aca="false">Assumptions!$C$14</f>
        <v>250000</v>
      </c>
      <c r="K24" s="58" t="n">
        <f aca="false">Assumptions!$C$14</f>
        <v>250000</v>
      </c>
      <c r="L24" s="58" t="n">
        <f aca="false">Assumptions!$C$14</f>
        <v>250000</v>
      </c>
      <c r="M24" s="58" t="n">
        <f aca="false">Assumptions!$C$14</f>
        <v>250000</v>
      </c>
      <c r="N24" s="58" t="n">
        <f aca="false">Assumptions!$C$14</f>
        <v>250000</v>
      </c>
      <c r="O24" s="58" t="n">
        <f aca="false">Assumptions!$C$14</f>
        <v>250000</v>
      </c>
      <c r="P24" s="58" t="n">
        <f aca="false">Assumptions!$C$14</f>
        <v>250000</v>
      </c>
      <c r="Q24" s="58" t="n">
        <f aca="false">Assumptions!$C$14</f>
        <v>250000</v>
      </c>
      <c r="R24" s="58" t="n">
        <f aca="false">Assumptions!$C$14</f>
        <v>250000</v>
      </c>
      <c r="S24" s="58" t="n">
        <f aca="false">Assumptions!$C$14</f>
        <v>250000</v>
      </c>
      <c r="T24" s="58" t="n">
        <f aca="false">Assumptions!$C$14</f>
        <v>250000</v>
      </c>
      <c r="U24" s="58" t="n">
        <f aca="false">Assumptions!$C$14</f>
        <v>250000</v>
      </c>
      <c r="V24" s="58" t="n">
        <f aca="false">Assumptions!$C$14</f>
        <v>250000</v>
      </c>
      <c r="W24" s="58" t="n">
        <f aca="false">Assumptions!$C$14</f>
        <v>250000</v>
      </c>
      <c r="X24" s="58" t="n">
        <f aca="false">Assumptions!$C$14</f>
        <v>250000</v>
      </c>
      <c r="Y24" s="58" t="n">
        <f aca="false">Assumptions!$C$14</f>
        <v>250000</v>
      </c>
      <c r="Z24" s="58" t="n">
        <f aca="false">Assumptions!$C$14</f>
        <v>250000</v>
      </c>
      <c r="AA24" s="58" t="n">
        <f aca="false">Assumptions!$C$14</f>
        <v>250000</v>
      </c>
      <c r="AB24" s="58" t="n">
        <f aca="false">Assumptions!$C$14</f>
        <v>250000</v>
      </c>
    </row>
    <row r="25" customFormat="false" ht="15" hidden="false" customHeight="false" outlineLevel="0" collapsed="false">
      <c r="A25" s="27" t="s">
        <v>810</v>
      </c>
      <c r="B25" s="56" t="s">
        <v>46</v>
      </c>
      <c r="C25" s="57" t="n">
        <f aca="false">P25</f>
        <v>544000</v>
      </c>
      <c r="D25" s="57" t="n">
        <f aca="false">AB25</f>
        <v>156000</v>
      </c>
      <c r="E25" s="58" t="n">
        <f aca="false">WIP!E716</f>
        <v>206000</v>
      </c>
      <c r="F25" s="58" t="n">
        <f aca="false">WIP!F716</f>
        <v>324000</v>
      </c>
      <c r="G25" s="58" t="n">
        <f aca="false">WIP!G716</f>
        <v>324000</v>
      </c>
      <c r="H25" s="58" t="n">
        <f aca="false">WIP!H716</f>
        <v>358000</v>
      </c>
      <c r="I25" s="58" t="n">
        <f aca="false">WIP!I716</f>
        <v>344000</v>
      </c>
      <c r="J25" s="58" t="n">
        <f aca="false">WIP!J716</f>
        <v>344000</v>
      </c>
      <c r="K25" s="58" t="n">
        <f aca="false">WIP!K716</f>
        <v>383000</v>
      </c>
      <c r="L25" s="58" t="n">
        <f aca="false">WIP!L716</f>
        <v>623000</v>
      </c>
      <c r="M25" s="58" t="n">
        <f aca="false">WIP!M716</f>
        <v>623000</v>
      </c>
      <c r="N25" s="58" t="n">
        <f aca="false">WIP!N716</f>
        <v>623000</v>
      </c>
      <c r="O25" s="58" t="n">
        <f aca="false">WIP!O716</f>
        <v>662000</v>
      </c>
      <c r="P25" s="58" t="n">
        <f aca="false">WIP!P716</f>
        <v>544000</v>
      </c>
      <c r="Q25" s="58" t="n">
        <f aca="false">WIP!Q716</f>
        <v>569750</v>
      </c>
      <c r="R25" s="58" t="n">
        <f aca="false">WIP!R716</f>
        <v>569750</v>
      </c>
      <c r="S25" s="58" t="n">
        <f aca="false">WIP!S716</f>
        <v>382750</v>
      </c>
      <c r="T25" s="58" t="n">
        <f aca="false">WIP!T716</f>
        <v>279750</v>
      </c>
      <c r="U25" s="58" t="n">
        <f aca="false">WIP!U716</f>
        <v>297750</v>
      </c>
      <c r="V25" s="58" t="n">
        <f aca="false">WIP!V716</f>
        <v>297750</v>
      </c>
      <c r="W25" s="58" t="n">
        <f aca="false">WIP!W716</f>
        <v>336150</v>
      </c>
      <c r="X25" s="58" t="n">
        <f aca="false">WIP!X716</f>
        <v>368550</v>
      </c>
      <c r="Y25" s="58" t="n">
        <f aca="false">WIP!Y716</f>
        <v>453750</v>
      </c>
      <c r="Z25" s="58" t="n">
        <f aca="false">WIP!Z716</f>
        <v>350000</v>
      </c>
      <c r="AA25" s="58" t="n">
        <f aca="false">WIP!AA716</f>
        <v>332000</v>
      </c>
      <c r="AB25" s="58" t="n">
        <f aca="false">WIP!AB716</f>
        <v>156000</v>
      </c>
    </row>
    <row r="26" customFormat="false" ht="15" hidden="false" customHeight="false" outlineLevel="0" collapsed="false">
      <c r="A26" s="27" t="s">
        <v>1334</v>
      </c>
      <c r="B26" s="56" t="s">
        <v>80</v>
      </c>
      <c r="C26" s="57" t="n">
        <f aca="false">P26</f>
        <v>750000</v>
      </c>
      <c r="D26" s="57" t="n">
        <f aca="false">AB26</f>
        <v>750000</v>
      </c>
      <c r="E26" s="58" t="n">
        <f aca="false">Assumptions!$C$15</f>
        <v>750000</v>
      </c>
      <c r="F26" s="58" t="n">
        <f aca="false">Assumptions!$C$15</f>
        <v>750000</v>
      </c>
      <c r="G26" s="58" t="n">
        <f aca="false">Assumptions!$C$15</f>
        <v>750000</v>
      </c>
      <c r="H26" s="58" t="n">
        <f aca="false">Assumptions!$C$15</f>
        <v>750000</v>
      </c>
      <c r="I26" s="58" t="n">
        <f aca="false">Assumptions!$C$15</f>
        <v>750000</v>
      </c>
      <c r="J26" s="58" t="n">
        <f aca="false">Assumptions!$C$15</f>
        <v>750000</v>
      </c>
      <c r="K26" s="58" t="n">
        <f aca="false">Assumptions!$C$15</f>
        <v>750000</v>
      </c>
      <c r="L26" s="58" t="n">
        <f aca="false">Assumptions!$C$15</f>
        <v>750000</v>
      </c>
      <c r="M26" s="58" t="n">
        <f aca="false">Assumptions!$C$15</f>
        <v>750000</v>
      </c>
      <c r="N26" s="58" t="n">
        <f aca="false">Assumptions!$C$15</f>
        <v>750000</v>
      </c>
      <c r="O26" s="58" t="n">
        <f aca="false">Assumptions!$C$15</f>
        <v>750000</v>
      </c>
      <c r="P26" s="58" t="n">
        <f aca="false">Assumptions!$C$15</f>
        <v>750000</v>
      </c>
      <c r="Q26" s="58" t="n">
        <f aca="false">Assumptions!$C$15</f>
        <v>750000</v>
      </c>
      <c r="R26" s="58" t="n">
        <f aca="false">Assumptions!$C$15</f>
        <v>750000</v>
      </c>
      <c r="S26" s="58" t="n">
        <f aca="false">Assumptions!$C$15</f>
        <v>750000</v>
      </c>
      <c r="T26" s="58" t="n">
        <f aca="false">Assumptions!$C$15</f>
        <v>750000</v>
      </c>
      <c r="U26" s="58" t="n">
        <f aca="false">Assumptions!$C$15</f>
        <v>750000</v>
      </c>
      <c r="V26" s="58" t="n">
        <f aca="false">Assumptions!$C$15</f>
        <v>750000</v>
      </c>
      <c r="W26" s="58" t="n">
        <f aca="false">Assumptions!$C$15</f>
        <v>750000</v>
      </c>
      <c r="X26" s="58" t="n">
        <f aca="false">Assumptions!$C$15</f>
        <v>750000</v>
      </c>
      <c r="Y26" s="58" t="n">
        <f aca="false">Assumptions!$C$15</f>
        <v>750000</v>
      </c>
      <c r="Z26" s="58" t="n">
        <f aca="false">Assumptions!$C$15</f>
        <v>750000</v>
      </c>
      <c r="AA26" s="58" t="n">
        <f aca="false">Assumptions!$C$15</f>
        <v>750000</v>
      </c>
      <c r="AB26" s="58" t="n">
        <f aca="false">Assumptions!$C$15</f>
        <v>750000</v>
      </c>
    </row>
    <row r="27" customFormat="false" ht="15" hidden="false" customHeight="false" outlineLevel="0" collapsed="false">
      <c r="A27" s="27" t="s">
        <v>1335</v>
      </c>
      <c r="B27" s="56"/>
      <c r="C27" s="57" t="n">
        <f aca="false">P27</f>
        <v>206000</v>
      </c>
      <c r="D27" s="57" t="n">
        <f aca="false">AB27</f>
        <v>594000</v>
      </c>
      <c r="E27" s="70" t="n">
        <f aca="false">E26-E25</f>
        <v>544000</v>
      </c>
      <c r="F27" s="70" t="n">
        <f aca="false">F26-F25</f>
        <v>426000</v>
      </c>
      <c r="G27" s="70" t="n">
        <f aca="false">G26-G25</f>
        <v>426000</v>
      </c>
      <c r="H27" s="70" t="n">
        <f aca="false">H26-H25</f>
        <v>392000</v>
      </c>
      <c r="I27" s="70" t="n">
        <f aca="false">I26-I25</f>
        <v>406000</v>
      </c>
      <c r="J27" s="70" t="n">
        <f aca="false">J26-J25</f>
        <v>406000</v>
      </c>
      <c r="K27" s="70" t="n">
        <f aca="false">K26-K25</f>
        <v>367000</v>
      </c>
      <c r="L27" s="70" t="n">
        <f aca="false">L26-L25</f>
        <v>127000</v>
      </c>
      <c r="M27" s="70" t="n">
        <f aca="false">M26-M25</f>
        <v>127000</v>
      </c>
      <c r="N27" s="70" t="n">
        <f aca="false">N26-N25</f>
        <v>127000</v>
      </c>
      <c r="O27" s="70" t="n">
        <f aca="false">O26-O25</f>
        <v>88000</v>
      </c>
      <c r="P27" s="70" t="n">
        <f aca="false">P26-P25</f>
        <v>206000</v>
      </c>
      <c r="Q27" s="70" t="n">
        <f aca="false">Q26-Q25</f>
        <v>180250</v>
      </c>
      <c r="R27" s="70" t="n">
        <f aca="false">R26-R25</f>
        <v>180250</v>
      </c>
      <c r="S27" s="70" t="n">
        <f aca="false">S26-S25</f>
        <v>367250</v>
      </c>
      <c r="T27" s="70" t="n">
        <f aca="false">T26-T25</f>
        <v>470250</v>
      </c>
      <c r="U27" s="70" t="n">
        <f aca="false">U26-U25</f>
        <v>452250</v>
      </c>
      <c r="V27" s="70" t="n">
        <f aca="false">V26-V25</f>
        <v>452250</v>
      </c>
      <c r="W27" s="70" t="n">
        <f aca="false">W26-W25</f>
        <v>413850</v>
      </c>
      <c r="X27" s="70" t="n">
        <f aca="false">X26-X25</f>
        <v>381450</v>
      </c>
      <c r="Y27" s="70" t="n">
        <f aca="false">Y26-Y25</f>
        <v>296250</v>
      </c>
      <c r="Z27" s="70" t="n">
        <f aca="false">Z26-Z25</f>
        <v>400000</v>
      </c>
      <c r="AA27" s="70" t="n">
        <f aca="false">AA26-AA25</f>
        <v>418000</v>
      </c>
      <c r="AB27" s="70" t="n">
        <f aca="false">AB26-AB25</f>
        <v>594000</v>
      </c>
    </row>
    <row r="28" customFormat="false" ht="15" hidden="false" customHeight="false" outlineLevel="0" collapsed="false">
      <c r="A28" s="27" t="s">
        <v>328</v>
      </c>
      <c r="B28" s="56"/>
      <c r="C28" s="59" t="n">
        <f aca="false">P28</f>
        <v>0.725333333333333</v>
      </c>
      <c r="D28" s="59" t="n">
        <f aca="false">AB28</f>
        <v>0.208</v>
      </c>
      <c r="E28" s="60" t="n">
        <f aca="false">IF(E26=0,0,E25/E26)</f>
        <v>0.274666666666667</v>
      </c>
      <c r="F28" s="60" t="n">
        <f aca="false">IF(F26=0,0,F25/F26)</f>
        <v>0.432</v>
      </c>
      <c r="G28" s="60" t="n">
        <f aca="false">IF(G26=0,0,G25/G26)</f>
        <v>0.432</v>
      </c>
      <c r="H28" s="60" t="n">
        <f aca="false">IF(H26=0,0,H25/H26)</f>
        <v>0.477333333333333</v>
      </c>
      <c r="I28" s="60" t="n">
        <f aca="false">IF(I26=0,0,I25/I26)</f>
        <v>0.458666666666667</v>
      </c>
      <c r="J28" s="60" t="n">
        <f aca="false">IF(J26=0,0,J25/J26)</f>
        <v>0.458666666666667</v>
      </c>
      <c r="K28" s="60" t="n">
        <f aca="false">IF(K26=0,0,K25/K26)</f>
        <v>0.510666666666667</v>
      </c>
      <c r="L28" s="60" t="n">
        <f aca="false">IF(L26=0,0,L25/L26)</f>
        <v>0.830666666666667</v>
      </c>
      <c r="M28" s="60" t="n">
        <f aca="false">IF(M26=0,0,M25/M26)</f>
        <v>0.830666666666667</v>
      </c>
      <c r="N28" s="60" t="n">
        <f aca="false">IF(N26=0,0,N25/N26)</f>
        <v>0.830666666666667</v>
      </c>
      <c r="O28" s="60" t="n">
        <f aca="false">IF(O26=0,0,O25/O26)</f>
        <v>0.882666666666667</v>
      </c>
      <c r="P28" s="60" t="n">
        <f aca="false">IF(P26=0,0,P25/P26)</f>
        <v>0.725333333333333</v>
      </c>
      <c r="Q28" s="60" t="n">
        <f aca="false">IF(Q26=0,0,Q25/Q26)</f>
        <v>0.759666666666667</v>
      </c>
      <c r="R28" s="60" t="n">
        <f aca="false">IF(R26=0,0,R25/R26)</f>
        <v>0.759666666666667</v>
      </c>
      <c r="S28" s="60" t="n">
        <f aca="false">IF(S26=0,0,S25/S26)</f>
        <v>0.510333333333333</v>
      </c>
      <c r="T28" s="60" t="n">
        <f aca="false">IF(T26=0,0,T25/T26)</f>
        <v>0.373</v>
      </c>
      <c r="U28" s="60" t="n">
        <f aca="false">IF(U26=0,0,U25/U26)</f>
        <v>0.397</v>
      </c>
      <c r="V28" s="60" t="n">
        <f aca="false">IF(V26=0,0,V25/V26)</f>
        <v>0.397</v>
      </c>
      <c r="W28" s="60" t="n">
        <f aca="false">IF(W26=0,0,W25/W26)</f>
        <v>0.4482</v>
      </c>
      <c r="X28" s="60" t="n">
        <f aca="false">IF(X26=0,0,X25/X26)</f>
        <v>0.4914</v>
      </c>
      <c r="Y28" s="60" t="n">
        <f aca="false">IF(Y26=0,0,Y25/Y26)</f>
        <v>0.605</v>
      </c>
      <c r="Z28" s="60" t="n">
        <f aca="false">IF(Z26=0,0,Z25/Z26)</f>
        <v>0.466666666666667</v>
      </c>
      <c r="AA28" s="60" t="n">
        <f aca="false">IF(AA26=0,0,AA25/AA26)</f>
        <v>0.442666666666667</v>
      </c>
      <c r="AB28" s="60" t="n">
        <f aca="false">IF(AB26=0,0,AB25/AB26)</f>
        <v>0.208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Z24"/>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8"/>
    <col collapsed="false" customWidth="true" hidden="false" outlineLevel="0" max="3" min="3" style="0" width="28"/>
    <col collapsed="false" customWidth="true" hidden="false" outlineLevel="0" max="4" min="4" style="0" width="8"/>
    <col collapsed="false" customWidth="true" hidden="false" outlineLevel="0" max="5" min="5" style="0" width="13"/>
    <col collapsed="false" customWidth="true" hidden="false" outlineLevel="0" max="6" min="6" style="0" width="20"/>
    <col collapsed="false" customWidth="true" hidden="false" outlineLevel="0" max="7" min="7" style="0" width="10"/>
    <col collapsed="false" customWidth="true" hidden="false" outlineLevel="0" max="8" min="8" style="0" width="8"/>
    <col collapsed="false" customWidth="true" hidden="false" outlineLevel="0" max="9" min="9" style="0" width="9"/>
    <col collapsed="false" customWidth="true" hidden="false" outlineLevel="0" max="10" min="10" style="0" width="8"/>
    <col collapsed="false" customWidth="true" hidden="false" outlineLevel="0" max="11" min="11" style="0" width="9"/>
    <col collapsed="false" customWidth="true" hidden="false" outlineLevel="0" max="12" min="12" style="0" width="10"/>
    <col collapsed="false" customWidth="true" hidden="false" outlineLevel="0" max="13" min="13" style="0" width="11"/>
    <col collapsed="false" customWidth="true" hidden="false" outlineLevel="0" max="15" min="14" style="0" width="13"/>
    <col collapsed="false" customWidth="true" hidden="false" outlineLevel="0" max="16" min="16" style="0" width="9"/>
    <col collapsed="false" customWidth="true" hidden="false" outlineLevel="0" max="17" min="17" style="0" width="8"/>
    <col collapsed="false" customWidth="true" hidden="false" outlineLevel="0" max="18" min="18" style="0" width="10"/>
    <col collapsed="false" customWidth="true" hidden="false" outlineLevel="0" max="20" min="19" style="0" width="9"/>
    <col collapsed="false" customWidth="true" hidden="false" outlineLevel="0" max="21" min="21" style="0" width="10"/>
    <col collapsed="false" customWidth="true" hidden="false" outlineLevel="0" max="23" min="22" style="0" width="9"/>
    <col collapsed="false" customWidth="true" hidden="false" outlineLevel="0" max="24" min="24" style="0" width="8"/>
    <col collapsed="false" customWidth="true" hidden="false" outlineLevel="0" max="26" min="25" style="0" width="9"/>
    <col collapsed="false" customWidth="true" hidden="false" outlineLevel="0" max="27" min="27" style="0" width="8"/>
    <col collapsed="false" customWidth="true" hidden="false" outlineLevel="0" max="28" min="28" style="0" width="10"/>
    <col collapsed="false" customWidth="true" hidden="false" outlineLevel="0" max="33" min="29" style="0" width="12"/>
    <col collapsed="false" customWidth="true" hidden="false" outlineLevel="0" max="34" min="34" style="0" width="9"/>
    <col collapsed="false" customWidth="true" hidden="false" outlineLevel="0" max="35" min="35" style="0" width="10"/>
    <col collapsed="false" customWidth="true" hidden="false" outlineLevel="0" max="36" min="36" style="0" width="9"/>
    <col collapsed="false" customWidth="true" hidden="false" outlineLevel="0" max="37" min="37" style="0" width="11"/>
    <col collapsed="false" customWidth="true" hidden="false" outlineLevel="0" max="39" min="38" style="0" width="9"/>
    <col collapsed="false" customWidth="true" hidden="false" outlineLevel="0" max="40" min="40" style="0" width="10"/>
    <col collapsed="false" customWidth="true" hidden="false" outlineLevel="0" max="44" min="41" style="0" width="13"/>
    <col collapsed="false" customWidth="true" hidden="false" outlineLevel="0" max="45" min="45" style="0" width="10"/>
    <col collapsed="false" customWidth="true" hidden="false" outlineLevel="0" max="46" min="46" style="0" width="13"/>
    <col collapsed="false" customWidth="true" hidden="false" outlineLevel="0" max="48" min="47" style="0" width="10"/>
    <col collapsed="false" customWidth="true" hidden="false" outlineLevel="0" max="50" min="49" style="0" width="12"/>
    <col collapsed="false" customWidth="true" hidden="false" outlineLevel="0" max="51" min="51" style="0" width="9"/>
    <col collapsed="false" customWidth="true" hidden="false" outlineLevel="0" max="52" min="52" style="0" width="11"/>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1336</v>
      </c>
    </row>
    <row r="3" customFormat="false" ht="15" hidden="false" customHeight="false" outlineLevel="0" collapsed="false">
      <c r="A3" s="24" t="s">
        <v>1337</v>
      </c>
    </row>
    <row r="6" customFormat="false" ht="54" hidden="false" customHeight="true" outlineLevel="0" collapsed="false">
      <c r="A6" s="25" t="s">
        <v>1338</v>
      </c>
      <c r="B6" s="26" t="s">
        <v>892</v>
      </c>
      <c r="C6" s="26" t="s">
        <v>878</v>
      </c>
      <c r="D6" s="26" t="s">
        <v>515</v>
      </c>
      <c r="E6" s="26" t="s">
        <v>896</v>
      </c>
      <c r="F6" s="26" t="s">
        <v>1339</v>
      </c>
      <c r="G6" s="26" t="s">
        <v>1340</v>
      </c>
      <c r="H6" s="26" t="s">
        <v>881</v>
      </c>
      <c r="I6" s="26" t="s">
        <v>882</v>
      </c>
      <c r="J6" s="26" t="s">
        <v>883</v>
      </c>
      <c r="K6" s="26" t="s">
        <v>884</v>
      </c>
      <c r="L6" s="26" t="s">
        <v>1341</v>
      </c>
      <c r="M6" s="26" t="s">
        <v>1342</v>
      </c>
      <c r="N6" s="26" t="s">
        <v>1343</v>
      </c>
      <c r="O6" s="26" t="s">
        <v>1344</v>
      </c>
      <c r="P6" s="26" t="s">
        <v>888</v>
      </c>
      <c r="Q6" s="26" t="s">
        <v>1345</v>
      </c>
      <c r="R6" s="26" t="s">
        <v>1346</v>
      </c>
      <c r="S6" s="26" t="s">
        <v>1347</v>
      </c>
      <c r="T6" s="26" t="s">
        <v>1348</v>
      </c>
      <c r="U6" s="26" t="s">
        <v>1349</v>
      </c>
      <c r="V6" s="26" t="s">
        <v>1350</v>
      </c>
      <c r="W6" s="26" t="s">
        <v>1351</v>
      </c>
      <c r="X6" s="26" t="s">
        <v>1352</v>
      </c>
      <c r="Y6" s="26" t="s">
        <v>1353</v>
      </c>
      <c r="Z6" s="26" t="s">
        <v>1354</v>
      </c>
      <c r="AA6" s="26" t="s">
        <v>1355</v>
      </c>
      <c r="AB6" s="26" t="s">
        <v>1356</v>
      </c>
      <c r="AC6" s="26" t="s">
        <v>1357</v>
      </c>
      <c r="AD6" s="26" t="s">
        <v>1358</v>
      </c>
      <c r="AE6" s="26" t="s">
        <v>1359</v>
      </c>
      <c r="AF6" s="26" t="s">
        <v>1360</v>
      </c>
      <c r="AG6" s="26" t="s">
        <v>1361</v>
      </c>
      <c r="AH6" s="26" t="s">
        <v>1362</v>
      </c>
      <c r="AI6" s="26" t="s">
        <v>1363</v>
      </c>
      <c r="AJ6" s="26" t="s">
        <v>1364</v>
      </c>
      <c r="AK6" s="26" t="s">
        <v>1365</v>
      </c>
      <c r="AL6" s="26" t="s">
        <v>1366</v>
      </c>
      <c r="AM6" s="26" t="s">
        <v>1367</v>
      </c>
      <c r="AN6" s="26" t="s">
        <v>1368</v>
      </c>
      <c r="AO6" s="26" t="s">
        <v>1369</v>
      </c>
      <c r="AP6" s="26" t="s">
        <v>1370</v>
      </c>
      <c r="AQ6" s="26" t="s">
        <v>1371</v>
      </c>
      <c r="AR6" s="26" t="s">
        <v>1372</v>
      </c>
      <c r="AS6" s="26" t="s">
        <v>1373</v>
      </c>
      <c r="AT6" s="26" t="s">
        <v>1013</v>
      </c>
      <c r="AU6" s="26" t="s">
        <v>1374</v>
      </c>
      <c r="AV6" s="26" t="s">
        <v>1375</v>
      </c>
      <c r="AW6" s="26" t="s">
        <v>1376</v>
      </c>
      <c r="AX6" s="26" t="s">
        <v>1377</v>
      </c>
      <c r="AY6" s="26" t="s">
        <v>1378</v>
      </c>
      <c r="AZ6" s="26" t="s">
        <v>1379</v>
      </c>
    </row>
    <row r="7" customFormat="false" ht="15" hidden="false" customHeight="false" outlineLevel="0" collapsed="false">
      <c r="A7" s="111" t="s">
        <v>690</v>
      </c>
      <c r="B7" s="111" t="s">
        <v>1380</v>
      </c>
      <c r="C7" s="111" t="s">
        <v>1381</v>
      </c>
      <c r="D7" s="111" t="s">
        <v>35</v>
      </c>
      <c r="E7" s="111" t="s">
        <v>1382</v>
      </c>
      <c r="F7" s="111" t="s">
        <v>877</v>
      </c>
      <c r="G7" s="124" t="n">
        <v>45869</v>
      </c>
      <c r="H7" s="115" t="n">
        <v>1</v>
      </c>
      <c r="I7" s="115" t="n">
        <v>1</v>
      </c>
      <c r="J7" s="115" t="n">
        <v>1</v>
      </c>
      <c r="K7" s="60" t="n">
        <f aca="false">CHOOSE(Assumptions!$C$11,H7,I7,J7)</f>
        <v>1</v>
      </c>
      <c r="L7" s="124" t="n">
        <v>45900</v>
      </c>
      <c r="M7" s="124" t="n">
        <v>46112</v>
      </c>
      <c r="N7" s="71" t="n">
        <v>980000</v>
      </c>
      <c r="O7" s="71" t="n">
        <v>842000</v>
      </c>
      <c r="P7" s="60" t="n">
        <f aca="false">IF(N7=0,0,1-O7/N7)</f>
        <v>0.140816326530612</v>
      </c>
      <c r="Q7" s="115" t="n">
        <v>0.05</v>
      </c>
      <c r="R7" s="115" t="n">
        <v>0.5</v>
      </c>
      <c r="S7" s="119" t="n">
        <v>12</v>
      </c>
      <c r="T7" s="119" t="n">
        <v>30</v>
      </c>
      <c r="U7" s="115" t="n">
        <v>0.05</v>
      </c>
      <c r="V7" s="115" t="n">
        <v>0.1</v>
      </c>
      <c r="W7" s="115" t="n">
        <v>0.135</v>
      </c>
      <c r="X7" s="115" t="n">
        <v>0.16</v>
      </c>
      <c r="Y7" s="115" t="n">
        <v>0.5</v>
      </c>
      <c r="Z7" s="115" t="n">
        <v>0.24</v>
      </c>
      <c r="AA7" s="115" t="n">
        <v>0.03</v>
      </c>
      <c r="AB7" s="60" t="n">
        <f aca="false">1-X7-Y7-Z7-AA7</f>
        <v>0.07</v>
      </c>
      <c r="AC7" s="71" t="n">
        <v>568646.02</v>
      </c>
      <c r="AD7" s="71" t="n">
        <v>680146.56</v>
      </c>
      <c r="AE7" s="71" t="n">
        <v>501973.56</v>
      </c>
      <c r="AF7" s="71" t="n">
        <v>220396.74</v>
      </c>
      <c r="AG7" s="71" t="n">
        <v>275606.07</v>
      </c>
      <c r="AH7" s="125" t="n">
        <f aca="false">IF(OR(E7="Contracted",E7="Pipeline"),Assumptions!$F$117,0)</f>
        <v>0</v>
      </c>
      <c r="AI7" s="125" t="n">
        <f aca="false">IF(E7="In progress",Assumptions!$F$118,0)</f>
        <v>0</v>
      </c>
      <c r="AJ7" s="125" t="n">
        <f aca="false">((YEAR(L7)-YEAR(Assumptions!$C$8))*12+MONTH(L7)-MONTH(Assumptions!$C$8)+1)+AH7</f>
        <v>-4</v>
      </c>
      <c r="AK7" s="125" t="n">
        <f aca="false">((YEAR(M7)-YEAR(Assumptions!$C$8))*12+MONTH(M7)-MONTH(Assumptions!$C$8)+1)+AH7+AI7</f>
        <v>3</v>
      </c>
      <c r="AL7" s="125" t="n">
        <f aca="false">((YEAR(G7)-YEAR(Assumptions!$C$8))*12+MONTH(G7)-MONTH(Assumptions!$C$8)+1)+IF(E7="Pipeline",AH7,0)</f>
        <v>-5</v>
      </c>
      <c r="AM7" s="125" t="n">
        <f aca="false">AK7+Assumptions!$C$75</f>
        <v>6</v>
      </c>
      <c r="AN7" s="125" t="n">
        <f aca="false">AK7+S7+1</f>
        <v>16</v>
      </c>
      <c r="AO7" s="70" t="n">
        <f aca="false">N7*K7</f>
        <v>980000</v>
      </c>
      <c r="AP7" s="70" t="n">
        <f aca="false">O7*K7</f>
        <v>842000</v>
      </c>
      <c r="AQ7" s="70" t="n">
        <f aca="false">AC7+SUMIFS(Inputs_Actuals!$E$9:$AB$9,Assumptions!$E$97:$AB$97,"A")+SUMIFS(Inputs_Actuals!$E$10:$AB$10,Assumptions!$E$97:$AB$97,"A")+SUMIFS(Inputs_Actuals!$E$11:$AB$11,Assumptions!$E$97:$AB$97,"A")+SUMIFS(Inputs_Actuals!$E$12:$AB$12,Assumptions!$E$97:$AB$97,"A")+SUMIFS(Inputs_Actuals!$E$13:$AB$13,Assumptions!$E$97:$AB$97,"A")</f>
        <v>851000</v>
      </c>
      <c r="AR7" s="70" t="n">
        <f aca="false">IF(OR(E7="Contracted",E7="Pipeline"),AP7,INDEX(Inputs_Actuals!$E$14:$AB$14,Assumptions!$C$10))</f>
        <v>0</v>
      </c>
      <c r="AS7" s="60" t="n">
        <f aca="false">IF(E7="In progress",Assumptions!$F$119,IF(OR(E7="Contracted",E7="Pipeline"),Assumptions!$F$120,0))</f>
        <v>0</v>
      </c>
      <c r="AT7" s="70" t="n">
        <f aca="false">AQ7+AR7*(1+AS7)</f>
        <v>851000</v>
      </c>
      <c r="AU7" s="105" t="n">
        <f aca="false">MIN(1,MAX(0,(Assumptions!$C$10-AJ7+1)/(AK7-AJ7+1)))</f>
        <v>1</v>
      </c>
      <c r="AV7" s="105" t="n">
        <f aca="false">3*AU7^2-2*AU7^3</f>
        <v>1</v>
      </c>
      <c r="AW7" s="70" t="n">
        <f aca="false">Q7*AE7*(1-R7*(0&gt;=AK7+1)-(1-R7)*(0&gt;=AN7))</f>
        <v>25098.678</v>
      </c>
      <c r="AX7" s="70" t="n">
        <f aca="false">U7*AG7*(1-R7*(0&gt;=AK7+1)-(1-R7)*(0&gt;=AN7))</f>
        <v>13780.3035</v>
      </c>
      <c r="AY7" s="125" t="n">
        <f aca="false">T7+Assumptions!$F$122</f>
        <v>30</v>
      </c>
      <c r="AZ7" s="60"/>
    </row>
    <row r="8" customFormat="false" ht="15" hidden="false" customHeight="false" outlineLevel="0" collapsed="false">
      <c r="A8" s="111" t="s">
        <v>691</v>
      </c>
      <c r="B8" s="111" t="s">
        <v>1383</v>
      </c>
      <c r="C8" s="111" t="s">
        <v>1053</v>
      </c>
      <c r="D8" s="111" t="s">
        <v>1384</v>
      </c>
      <c r="E8" s="111" t="s">
        <v>1382</v>
      </c>
      <c r="F8" s="111" t="s">
        <v>877</v>
      </c>
      <c r="G8" s="124" t="n">
        <v>45900</v>
      </c>
      <c r="H8" s="115" t="n">
        <v>1</v>
      </c>
      <c r="I8" s="115" t="n">
        <v>1</v>
      </c>
      <c r="J8" s="115" t="n">
        <v>1</v>
      </c>
      <c r="K8" s="60" t="n">
        <f aca="false">CHOOSE(Assumptions!$C$11,H8,I8,J8)</f>
        <v>1</v>
      </c>
      <c r="L8" s="124" t="n">
        <v>45930</v>
      </c>
      <c r="M8" s="124" t="n">
        <v>46142</v>
      </c>
      <c r="N8" s="71" t="n">
        <v>1080000</v>
      </c>
      <c r="O8" s="71" t="n">
        <v>948000</v>
      </c>
      <c r="P8" s="60" t="n">
        <f aca="false">IF(N8=0,0,1-O8/N8)</f>
        <v>0.122222222222222</v>
      </c>
      <c r="Q8" s="115" t="n">
        <v>0.05</v>
      </c>
      <c r="R8" s="115" t="n">
        <v>0.5</v>
      </c>
      <c r="S8" s="119" t="n">
        <v>12</v>
      </c>
      <c r="T8" s="119" t="n">
        <v>30</v>
      </c>
      <c r="U8" s="115" t="n">
        <v>0.05</v>
      </c>
      <c r="V8" s="115" t="n">
        <v>0.1</v>
      </c>
      <c r="W8" s="115" t="n">
        <v>0</v>
      </c>
      <c r="X8" s="115" t="n">
        <v>0.13</v>
      </c>
      <c r="Y8" s="115" t="n">
        <v>0.56</v>
      </c>
      <c r="Z8" s="115" t="n">
        <v>0.23</v>
      </c>
      <c r="AA8" s="115" t="n">
        <v>0.03</v>
      </c>
      <c r="AB8" s="60" t="n">
        <f aca="false">1-X8-Y8-Z8-AA8</f>
        <v>0.0499999999999999</v>
      </c>
      <c r="AC8" s="71" t="n">
        <v>457166.38</v>
      </c>
      <c r="AD8" s="71" t="n">
        <v>525307.32</v>
      </c>
      <c r="AE8" s="71" t="n">
        <v>331741.87</v>
      </c>
      <c r="AF8" s="71" t="n">
        <v>156197.21</v>
      </c>
      <c r="AG8" s="71" t="n">
        <v>252740.03</v>
      </c>
      <c r="AH8" s="125" t="n">
        <f aca="false">IF(OR(E8="Contracted",E8="Pipeline"),Assumptions!$F$117,0)</f>
        <v>0</v>
      </c>
      <c r="AI8" s="125" t="n">
        <f aca="false">IF(E8="In progress",Assumptions!$F$118,0)</f>
        <v>0</v>
      </c>
      <c r="AJ8" s="125" t="n">
        <f aca="false">((YEAR(L8)-YEAR(Assumptions!$C$8))*12+MONTH(L8)-MONTH(Assumptions!$C$8)+1)+AH8</f>
        <v>-3</v>
      </c>
      <c r="AK8" s="125" t="n">
        <f aca="false">((YEAR(M8)-YEAR(Assumptions!$C$8))*12+MONTH(M8)-MONTH(Assumptions!$C$8)+1)+AH8+AI8</f>
        <v>4</v>
      </c>
      <c r="AL8" s="125" t="n">
        <f aca="false">((YEAR(G8)-YEAR(Assumptions!$C$8))*12+MONTH(G8)-MONTH(Assumptions!$C$8)+1)+IF(E8="Pipeline",AH8,0)</f>
        <v>-4</v>
      </c>
      <c r="AM8" s="125" t="n">
        <f aca="false">AK8+Assumptions!$C$75</f>
        <v>7</v>
      </c>
      <c r="AN8" s="125" t="n">
        <f aca="false">AK8+S8+1</f>
        <v>17</v>
      </c>
      <c r="AO8" s="70" t="n">
        <f aca="false">N8*K8</f>
        <v>1080000</v>
      </c>
      <c r="AP8" s="70" t="n">
        <f aca="false">O8*K8</f>
        <v>948000</v>
      </c>
      <c r="AQ8" s="70" t="n">
        <f aca="false">AC8+SUMIFS(Inputs_Actuals!$E$18:$AB$18,Assumptions!$E$97:$AB$97,"A")+SUMIFS(Inputs_Actuals!$E$19:$AB$19,Assumptions!$E$97:$AB$97,"A")+SUMIFS(Inputs_Actuals!$E$20:$AB$20,Assumptions!$E$97:$AB$97,"A")+SUMIFS(Inputs_Actuals!$E$21:$AB$21,Assumptions!$E$97:$AB$97,"A")+SUMIFS(Inputs_Actuals!$E$22:$AB$22,Assumptions!$E$97:$AB$97,"A")</f>
        <v>941000.01</v>
      </c>
      <c r="AR8" s="70" t="n">
        <f aca="false">IF(OR(E8="Contracted",E8="Pipeline"),AP8,INDEX(Inputs_Actuals!$E$23:$AB$23,Assumptions!$C$10))</f>
        <v>0</v>
      </c>
      <c r="AS8" s="60" t="n">
        <f aca="false">IF(E8="In progress",Assumptions!$F$119,IF(OR(E8="Contracted",E8="Pipeline"),Assumptions!$F$120,0))</f>
        <v>0</v>
      </c>
      <c r="AT8" s="70" t="n">
        <f aca="false">AQ8+AR8*(1+AS8)</f>
        <v>941000.01</v>
      </c>
      <c r="AU8" s="105" t="n">
        <f aca="false">MIN(1,MAX(0,(Assumptions!$C$10-AJ8+1)/(AK8-AJ8+1)))</f>
        <v>1</v>
      </c>
      <c r="AV8" s="105" t="n">
        <f aca="false">3*AU8^2-2*AU8^3</f>
        <v>1</v>
      </c>
      <c r="AW8" s="70" t="n">
        <f aca="false">Q8*AE8*(1-R8*(0&gt;=AK8+1)-(1-R8)*(0&gt;=AN8))</f>
        <v>16587.0935</v>
      </c>
      <c r="AX8" s="70" t="n">
        <f aca="false">U8*AG8*(1-R8*(0&gt;=AK8+1)-(1-R8)*(0&gt;=AN8))</f>
        <v>12637.0015</v>
      </c>
      <c r="AY8" s="125" t="n">
        <f aca="false">T8+Assumptions!$F$122</f>
        <v>30</v>
      </c>
      <c r="AZ8" s="60"/>
    </row>
    <row r="9" customFormat="false" ht="15" hidden="false" customHeight="false" outlineLevel="0" collapsed="false">
      <c r="A9" s="111" t="s">
        <v>692</v>
      </c>
      <c r="B9" s="111" t="s">
        <v>1385</v>
      </c>
      <c r="C9" s="111" t="s">
        <v>1076</v>
      </c>
      <c r="D9" s="111" t="s">
        <v>35</v>
      </c>
      <c r="E9" s="111" t="s">
        <v>274</v>
      </c>
      <c r="F9" s="111" t="s">
        <v>877</v>
      </c>
      <c r="G9" s="124" t="n">
        <v>46081</v>
      </c>
      <c r="H9" s="115" t="n">
        <v>1</v>
      </c>
      <c r="I9" s="115" t="n">
        <v>1</v>
      </c>
      <c r="J9" s="115" t="n">
        <v>1</v>
      </c>
      <c r="K9" s="60" t="n">
        <f aca="false">CHOOSE(Assumptions!$C$11,H9,I9,J9)</f>
        <v>1</v>
      </c>
      <c r="L9" s="124" t="n">
        <v>46112</v>
      </c>
      <c r="M9" s="124" t="n">
        <v>46356</v>
      </c>
      <c r="N9" s="71" t="n">
        <v>1180000</v>
      </c>
      <c r="O9" s="71" t="n">
        <v>1018000</v>
      </c>
      <c r="P9" s="60" t="n">
        <f aca="false">IF(N9=0,0,1-O9/N9)</f>
        <v>0.13728813559322</v>
      </c>
      <c r="Q9" s="115" t="n">
        <v>0.05</v>
      </c>
      <c r="R9" s="115" t="n">
        <v>0.5</v>
      </c>
      <c r="S9" s="119" t="n">
        <v>12</v>
      </c>
      <c r="T9" s="119" t="n">
        <v>30</v>
      </c>
      <c r="U9" s="115" t="n">
        <v>0.05</v>
      </c>
      <c r="V9" s="115" t="n">
        <v>0.1</v>
      </c>
      <c r="W9" s="115" t="n">
        <v>0.135</v>
      </c>
      <c r="X9" s="115" t="n">
        <v>0.16</v>
      </c>
      <c r="Y9" s="115" t="n">
        <v>0.5</v>
      </c>
      <c r="Z9" s="115" t="n">
        <v>0.24</v>
      </c>
      <c r="AA9" s="115" t="n">
        <v>0.03</v>
      </c>
      <c r="AB9" s="60" t="n">
        <f aca="false">1-X9-Y9-Z9-AA9</f>
        <v>0.07</v>
      </c>
      <c r="AC9" s="71" t="n">
        <v>0</v>
      </c>
      <c r="AD9" s="71" t="n">
        <v>0</v>
      </c>
      <c r="AE9" s="71" t="n">
        <v>0</v>
      </c>
      <c r="AF9" s="71" t="n">
        <v>0</v>
      </c>
      <c r="AG9" s="71" t="n">
        <v>0</v>
      </c>
      <c r="AH9" s="125" t="n">
        <f aca="false">IF(OR(E9="Contracted",E9="Pipeline"),Assumptions!$F$117,0)</f>
        <v>0</v>
      </c>
      <c r="AI9" s="125" t="n">
        <f aca="false">IF(E9="In progress",Assumptions!$F$118,0)</f>
        <v>0</v>
      </c>
      <c r="AJ9" s="125" t="n">
        <f aca="false">((YEAR(L9)-YEAR(Assumptions!$C$8))*12+MONTH(L9)-MONTH(Assumptions!$C$8)+1)+AH9</f>
        <v>3</v>
      </c>
      <c r="AK9" s="125" t="n">
        <f aca="false">((YEAR(M9)-YEAR(Assumptions!$C$8))*12+MONTH(M9)-MONTH(Assumptions!$C$8)+1)+AH9+AI9</f>
        <v>11</v>
      </c>
      <c r="AL9" s="125" t="n">
        <f aca="false">((YEAR(G9)-YEAR(Assumptions!$C$8))*12+MONTH(G9)-MONTH(Assumptions!$C$8)+1)+IF(E9="Pipeline",AH9,0)</f>
        <v>2</v>
      </c>
      <c r="AM9" s="125" t="n">
        <f aca="false">AK9+Assumptions!$C$75</f>
        <v>14</v>
      </c>
      <c r="AN9" s="125" t="n">
        <f aca="false">AK9+S9+1</f>
        <v>24</v>
      </c>
      <c r="AO9" s="70" t="n">
        <f aca="false">N9*K9</f>
        <v>1180000</v>
      </c>
      <c r="AP9" s="70" t="n">
        <f aca="false">O9*K9</f>
        <v>1018000</v>
      </c>
      <c r="AQ9" s="70" t="n">
        <f aca="false">AC9+SUMIFS(Inputs_Actuals!$E$27:$AB$27,Assumptions!$E$97:$AB$97,"A")+SUMIFS(Inputs_Actuals!$E$28:$AB$28,Assumptions!$E$97:$AB$97,"A")+SUMIFS(Inputs_Actuals!$E$29:$AB$29,Assumptions!$E$97:$AB$97,"A")+SUMIFS(Inputs_Actuals!$E$30:$AB$30,Assumptions!$E$97:$AB$97,"A")+SUMIFS(Inputs_Actuals!$E$31:$AB$31,Assumptions!$E$97:$AB$97,"A")</f>
        <v>850470.94</v>
      </c>
      <c r="AR9" s="70" t="n">
        <f aca="false">IF(OR(E9="Contracted",E9="Pipeline"),AP9,INDEX(Inputs_Actuals!$E$32:$AB$32,Assumptions!$C$10))</f>
        <v>339529.06</v>
      </c>
      <c r="AS9" s="60" t="n">
        <f aca="false">IF(E9="In progress",Assumptions!$F$119,IF(OR(E9="Contracted",E9="Pipeline"),Assumptions!$F$120,0))</f>
        <v>0</v>
      </c>
      <c r="AT9" s="70" t="n">
        <f aca="false">AQ9+AR9*(1+AS9)</f>
        <v>1190000</v>
      </c>
      <c r="AU9" s="105" t="n">
        <f aca="false">MIN(1,MAX(0,(Assumptions!$C$10-AJ9+1)/(AK9-AJ9+1)))</f>
        <v>0.666666666666667</v>
      </c>
      <c r="AV9" s="105" t="n">
        <f aca="false">3*AU9^2-2*AU9^3</f>
        <v>0.740740740740741</v>
      </c>
      <c r="AW9" s="70" t="n">
        <f aca="false">Q9*AE9*(1-R9*(0&gt;=AK9+1)-(1-R9)*(0&gt;=AN9))</f>
        <v>0</v>
      </c>
      <c r="AX9" s="70" t="n">
        <f aca="false">U9*AG9*(1-R9*(0&gt;=AK9+1)-(1-R9)*(0&gt;=AN9))</f>
        <v>0</v>
      </c>
      <c r="AY9" s="125" t="n">
        <f aca="false">T9+Assumptions!$F$122</f>
        <v>30</v>
      </c>
      <c r="AZ9" s="60"/>
    </row>
    <row r="10" customFormat="false" ht="15" hidden="false" customHeight="false" outlineLevel="0" collapsed="false">
      <c r="A10" s="111" t="s">
        <v>693</v>
      </c>
      <c r="B10" s="111" t="s">
        <v>1386</v>
      </c>
      <c r="C10" s="111" t="s">
        <v>1082</v>
      </c>
      <c r="D10" s="111" t="s">
        <v>35</v>
      </c>
      <c r="E10" s="111" t="s">
        <v>274</v>
      </c>
      <c r="F10" s="111" t="s">
        <v>877</v>
      </c>
      <c r="G10" s="124" t="n">
        <v>46173</v>
      </c>
      <c r="H10" s="115" t="n">
        <v>1</v>
      </c>
      <c r="I10" s="115" t="n">
        <v>1</v>
      </c>
      <c r="J10" s="115" t="n">
        <v>1</v>
      </c>
      <c r="K10" s="60" t="n">
        <f aca="false">CHOOSE(Assumptions!$C$11,H10,I10,J10)</f>
        <v>1</v>
      </c>
      <c r="L10" s="124" t="n">
        <v>46203</v>
      </c>
      <c r="M10" s="124" t="n">
        <v>46446</v>
      </c>
      <c r="N10" s="71" t="n">
        <v>940000</v>
      </c>
      <c r="O10" s="71" t="n">
        <v>812000</v>
      </c>
      <c r="P10" s="60" t="n">
        <f aca="false">IF(N10=0,0,1-O10/N10)</f>
        <v>0.136170212765957</v>
      </c>
      <c r="Q10" s="115" t="n">
        <v>0.03</v>
      </c>
      <c r="R10" s="115" t="n">
        <v>0.5</v>
      </c>
      <c r="S10" s="119" t="n">
        <v>12</v>
      </c>
      <c r="T10" s="119" t="n">
        <v>45</v>
      </c>
      <c r="U10" s="115" t="n">
        <v>0.05</v>
      </c>
      <c r="V10" s="115" t="n">
        <v>0.1</v>
      </c>
      <c r="W10" s="115" t="n">
        <v>0.135</v>
      </c>
      <c r="X10" s="115" t="n">
        <v>0.16</v>
      </c>
      <c r="Y10" s="115" t="n">
        <v>0.5</v>
      </c>
      <c r="Z10" s="115" t="n">
        <v>0.24</v>
      </c>
      <c r="AA10" s="115" t="n">
        <v>0.03</v>
      </c>
      <c r="AB10" s="60" t="n">
        <f aca="false">1-X10-Y10-Z10-AA10</f>
        <v>0.07</v>
      </c>
      <c r="AC10" s="71" t="n">
        <v>0</v>
      </c>
      <c r="AD10" s="71" t="n">
        <v>0</v>
      </c>
      <c r="AE10" s="71" t="n">
        <v>0</v>
      </c>
      <c r="AF10" s="71" t="n">
        <v>0</v>
      </c>
      <c r="AG10" s="71" t="n">
        <v>0</v>
      </c>
      <c r="AH10" s="125" t="n">
        <f aca="false">IF(OR(E10="Contracted",E10="Pipeline"),Assumptions!$F$117,0)</f>
        <v>0</v>
      </c>
      <c r="AI10" s="125" t="n">
        <f aca="false">IF(E10="In progress",Assumptions!$F$118,0)</f>
        <v>0</v>
      </c>
      <c r="AJ10" s="125" t="n">
        <f aca="false">((YEAR(L10)-YEAR(Assumptions!$C$8))*12+MONTH(L10)-MONTH(Assumptions!$C$8)+1)+AH10</f>
        <v>6</v>
      </c>
      <c r="AK10" s="125" t="n">
        <f aca="false">((YEAR(M10)-YEAR(Assumptions!$C$8))*12+MONTH(M10)-MONTH(Assumptions!$C$8)+1)+AH10+AI10</f>
        <v>14</v>
      </c>
      <c r="AL10" s="125" t="n">
        <f aca="false">((YEAR(G10)-YEAR(Assumptions!$C$8))*12+MONTH(G10)-MONTH(Assumptions!$C$8)+1)+IF(E10="Pipeline",AH10,0)</f>
        <v>5</v>
      </c>
      <c r="AM10" s="125" t="n">
        <f aca="false">AK10+Assumptions!$C$75</f>
        <v>17</v>
      </c>
      <c r="AN10" s="125" t="n">
        <f aca="false">AK10+S10+1</f>
        <v>27</v>
      </c>
      <c r="AO10" s="70" t="n">
        <f aca="false">N10*K10</f>
        <v>940000</v>
      </c>
      <c r="AP10" s="70" t="n">
        <f aca="false">O10*K10</f>
        <v>812000</v>
      </c>
      <c r="AQ10" s="70" t="n">
        <f aca="false">AC10+SUMIFS(Inputs_Actuals!$E$36:$AB$36,Assumptions!$E$97:$AB$97,"A")+SUMIFS(Inputs_Actuals!$E$37:$AB$37,Assumptions!$E$97:$AB$97,"A")+SUMIFS(Inputs_Actuals!$E$38:$AB$38,Assumptions!$E$97:$AB$97,"A")+SUMIFS(Inputs_Actuals!$E$39:$AB$39,Assumptions!$E$97:$AB$97,"A")+SUMIFS(Inputs_Actuals!$E$40:$AB$40,Assumptions!$E$97:$AB$97,"A")</f>
        <v>207047.04</v>
      </c>
      <c r="AR10" s="70" t="n">
        <f aca="false">IF(OR(E10="Contracted",E10="Pipeline"),AP10,INDEX(Inputs_Actuals!$E$41:$AB$41,Assumptions!$C$10))</f>
        <v>610952.96</v>
      </c>
      <c r="AS10" s="60" t="n">
        <f aca="false">IF(E10="In progress",Assumptions!$F$119,IF(OR(E10="Contracted",E10="Pipeline"),Assumptions!$F$120,0))</f>
        <v>0</v>
      </c>
      <c r="AT10" s="70" t="n">
        <f aca="false">AQ10+AR10*(1+AS10)</f>
        <v>818000</v>
      </c>
      <c r="AU10" s="105" t="n">
        <f aca="false">MIN(1,MAX(0,(Assumptions!$C$10-AJ10+1)/(AK10-AJ10+1)))</f>
        <v>0.333333333333333</v>
      </c>
      <c r="AV10" s="105" t="n">
        <f aca="false">3*AU10^2-2*AU10^3</f>
        <v>0.259259259259259</v>
      </c>
      <c r="AW10" s="70" t="n">
        <f aca="false">Q10*AE10*(1-R10*(0&gt;=AK10+1)-(1-R10)*(0&gt;=AN10))</f>
        <v>0</v>
      </c>
      <c r="AX10" s="70" t="n">
        <f aca="false">U10*AG10*(1-R10*(0&gt;=AK10+1)-(1-R10)*(0&gt;=AN10))</f>
        <v>0</v>
      </c>
      <c r="AY10" s="125" t="n">
        <f aca="false">T10+Assumptions!$F$122</f>
        <v>45</v>
      </c>
      <c r="AZ10" s="60"/>
    </row>
    <row r="11" customFormat="false" ht="15" hidden="false" customHeight="false" outlineLevel="0" collapsed="false">
      <c r="A11" s="111" t="s">
        <v>694</v>
      </c>
      <c r="B11" s="111" t="s">
        <v>1387</v>
      </c>
      <c r="C11" s="111" t="s">
        <v>1388</v>
      </c>
      <c r="D11" s="111" t="s">
        <v>35</v>
      </c>
      <c r="E11" s="111" t="s">
        <v>274</v>
      </c>
      <c r="F11" s="111" t="s">
        <v>877</v>
      </c>
      <c r="G11" s="124" t="n">
        <v>46234</v>
      </c>
      <c r="H11" s="115" t="n">
        <v>1</v>
      </c>
      <c r="I11" s="115" t="n">
        <v>1</v>
      </c>
      <c r="J11" s="115" t="n">
        <v>1</v>
      </c>
      <c r="K11" s="60" t="n">
        <f aca="false">CHOOSE(Assumptions!$C$11,H11,I11,J11)</f>
        <v>1</v>
      </c>
      <c r="L11" s="124" t="n">
        <v>46265</v>
      </c>
      <c r="M11" s="124" t="n">
        <v>46387</v>
      </c>
      <c r="N11" s="71" t="n">
        <v>390000</v>
      </c>
      <c r="O11" s="71" t="n">
        <v>329000</v>
      </c>
      <c r="P11" s="60" t="n">
        <f aca="false">IF(N11=0,0,1-O11/N11)</f>
        <v>0.156410256410256</v>
      </c>
      <c r="Q11" s="115" t="n">
        <v>0.05</v>
      </c>
      <c r="R11" s="115" t="n">
        <v>0.5</v>
      </c>
      <c r="S11" s="119" t="n">
        <v>12</v>
      </c>
      <c r="T11" s="119" t="n">
        <v>30</v>
      </c>
      <c r="U11" s="115" t="n">
        <v>0.05</v>
      </c>
      <c r="V11" s="115" t="n">
        <v>0.1</v>
      </c>
      <c r="W11" s="115" t="n">
        <v>0.135</v>
      </c>
      <c r="X11" s="115" t="n">
        <v>0.16</v>
      </c>
      <c r="Y11" s="115" t="n">
        <v>0.5</v>
      </c>
      <c r="Z11" s="115" t="n">
        <v>0.24</v>
      </c>
      <c r="AA11" s="115" t="n">
        <v>0.03</v>
      </c>
      <c r="AB11" s="60" t="n">
        <f aca="false">1-X11-Y11-Z11-AA11</f>
        <v>0.07</v>
      </c>
      <c r="AC11" s="71" t="n">
        <v>0</v>
      </c>
      <c r="AD11" s="71" t="n">
        <v>0</v>
      </c>
      <c r="AE11" s="71" t="n">
        <v>0</v>
      </c>
      <c r="AF11" s="71" t="n">
        <v>0</v>
      </c>
      <c r="AG11" s="71" t="n">
        <v>0</v>
      </c>
      <c r="AH11" s="125" t="n">
        <f aca="false">IF(OR(E11="Contracted",E11="Pipeline"),Assumptions!$F$117,0)</f>
        <v>0</v>
      </c>
      <c r="AI11" s="125" t="n">
        <f aca="false">IF(E11="In progress",Assumptions!$F$118,0)</f>
        <v>0</v>
      </c>
      <c r="AJ11" s="125" t="n">
        <f aca="false">((YEAR(L11)-YEAR(Assumptions!$C$8))*12+MONTH(L11)-MONTH(Assumptions!$C$8)+1)+AH11</f>
        <v>8</v>
      </c>
      <c r="AK11" s="125" t="n">
        <f aca="false">((YEAR(M11)-YEAR(Assumptions!$C$8))*12+MONTH(M11)-MONTH(Assumptions!$C$8)+1)+AH11+AI11</f>
        <v>12</v>
      </c>
      <c r="AL11" s="125" t="n">
        <f aca="false">((YEAR(G11)-YEAR(Assumptions!$C$8))*12+MONTH(G11)-MONTH(Assumptions!$C$8)+1)+IF(E11="Pipeline",AH11,0)</f>
        <v>7</v>
      </c>
      <c r="AM11" s="125" t="n">
        <f aca="false">AK11+Assumptions!$C$75</f>
        <v>15</v>
      </c>
      <c r="AN11" s="125" t="n">
        <f aca="false">AK11+S11+1</f>
        <v>25</v>
      </c>
      <c r="AO11" s="70" t="n">
        <f aca="false">N11*K11</f>
        <v>390000</v>
      </c>
      <c r="AP11" s="70" t="n">
        <f aca="false">O11*K11</f>
        <v>329000</v>
      </c>
      <c r="AQ11" s="70" t="n">
        <f aca="false">AC11+SUMIFS(Inputs_Actuals!$E$45:$AB$45,Assumptions!$E$97:$AB$97,"A")+SUMIFS(Inputs_Actuals!$E$46:$AB$46,Assumptions!$E$97:$AB$97,"A")+SUMIFS(Inputs_Actuals!$E$47:$AB$47,Assumptions!$E$97:$AB$97,"A")+SUMIFS(Inputs_Actuals!$E$48:$AB$48,Assumptions!$E$97:$AB$97,"A")+SUMIFS(Inputs_Actuals!$E$49:$AB$49,Assumptions!$E$97:$AB$97,"A")</f>
        <v>32888.13</v>
      </c>
      <c r="AR11" s="70" t="n">
        <f aca="false">IF(OR(E11="Contracted",E11="Pipeline"),AP11,INDEX(Inputs_Actuals!$E$50:$AB$50,Assumptions!$C$10))</f>
        <v>300111.87</v>
      </c>
      <c r="AS11" s="60" t="n">
        <f aca="false">IF(E11="In progress",Assumptions!$F$119,IF(OR(E11="Contracted",E11="Pipeline"),Assumptions!$F$120,0))</f>
        <v>0</v>
      </c>
      <c r="AT11" s="70" t="n">
        <f aca="false">AQ11+AR11*(1+AS11)</f>
        <v>333000</v>
      </c>
      <c r="AU11" s="105" t="n">
        <f aca="false">MIN(1,MAX(0,(Assumptions!$C$10-AJ11+1)/(AK11-AJ11+1)))</f>
        <v>0.2</v>
      </c>
      <c r="AV11" s="105" t="n">
        <f aca="false">3*AU11^2-2*AU11^3</f>
        <v>0.104</v>
      </c>
      <c r="AW11" s="70" t="n">
        <f aca="false">Q11*AE11*(1-R11*(0&gt;=AK11+1)-(1-R11)*(0&gt;=AN11))</f>
        <v>0</v>
      </c>
      <c r="AX11" s="70" t="n">
        <f aca="false">U11*AG11*(1-R11*(0&gt;=AK11+1)-(1-R11)*(0&gt;=AN11))</f>
        <v>0</v>
      </c>
      <c r="AY11" s="125" t="n">
        <f aca="false">T11+Assumptions!$F$122</f>
        <v>30</v>
      </c>
      <c r="AZ11" s="60"/>
    </row>
    <row r="12" customFormat="false" ht="15" hidden="false" customHeight="false" outlineLevel="0" collapsed="false">
      <c r="A12" s="111" t="s">
        <v>695</v>
      </c>
      <c r="B12" s="111" t="s">
        <v>1389</v>
      </c>
      <c r="C12" s="111" t="s">
        <v>1053</v>
      </c>
      <c r="D12" s="111" t="s">
        <v>1384</v>
      </c>
      <c r="E12" s="111" t="s">
        <v>274</v>
      </c>
      <c r="F12" s="111" t="s">
        <v>877</v>
      </c>
      <c r="G12" s="124" t="n">
        <v>46142</v>
      </c>
      <c r="H12" s="115" t="n">
        <v>1</v>
      </c>
      <c r="I12" s="115" t="n">
        <v>1</v>
      </c>
      <c r="J12" s="115" t="n">
        <v>1</v>
      </c>
      <c r="K12" s="60" t="n">
        <f aca="false">CHOOSE(Assumptions!$C$11,H12,I12,J12)</f>
        <v>1</v>
      </c>
      <c r="L12" s="124" t="n">
        <v>46173</v>
      </c>
      <c r="M12" s="124" t="n">
        <v>46446</v>
      </c>
      <c r="N12" s="71" t="n">
        <v>1320000</v>
      </c>
      <c r="O12" s="71" t="n">
        <v>1158000</v>
      </c>
      <c r="P12" s="60" t="n">
        <f aca="false">IF(N12=0,0,1-O12/N12)</f>
        <v>0.122727272727273</v>
      </c>
      <c r="Q12" s="115" t="n">
        <v>0.05</v>
      </c>
      <c r="R12" s="115" t="n">
        <v>0.5</v>
      </c>
      <c r="S12" s="119" t="n">
        <v>12</v>
      </c>
      <c r="T12" s="119" t="n">
        <v>30</v>
      </c>
      <c r="U12" s="115" t="n">
        <v>0.05</v>
      </c>
      <c r="V12" s="115" t="n">
        <v>0.1</v>
      </c>
      <c r="W12" s="115" t="n">
        <v>0</v>
      </c>
      <c r="X12" s="115" t="n">
        <v>0.13</v>
      </c>
      <c r="Y12" s="115" t="n">
        <v>0.56</v>
      </c>
      <c r="Z12" s="115" t="n">
        <v>0.23</v>
      </c>
      <c r="AA12" s="115" t="n">
        <v>0.03</v>
      </c>
      <c r="AB12" s="60" t="n">
        <f aca="false">1-X12-Y12-Z12-AA12</f>
        <v>0.0499999999999999</v>
      </c>
      <c r="AC12" s="71" t="n">
        <v>0</v>
      </c>
      <c r="AD12" s="71" t="n">
        <v>0</v>
      </c>
      <c r="AE12" s="71" t="n">
        <v>0</v>
      </c>
      <c r="AF12" s="71" t="n">
        <v>0</v>
      </c>
      <c r="AG12" s="71" t="n">
        <v>0</v>
      </c>
      <c r="AH12" s="125" t="n">
        <f aca="false">IF(OR(E12="Contracted",E12="Pipeline"),Assumptions!$F$117,0)</f>
        <v>0</v>
      </c>
      <c r="AI12" s="125" t="n">
        <f aca="false">IF(E12="In progress",Assumptions!$F$118,0)</f>
        <v>0</v>
      </c>
      <c r="AJ12" s="125" t="n">
        <f aca="false">((YEAR(L12)-YEAR(Assumptions!$C$8))*12+MONTH(L12)-MONTH(Assumptions!$C$8)+1)+AH12</f>
        <v>5</v>
      </c>
      <c r="AK12" s="125" t="n">
        <f aca="false">((YEAR(M12)-YEAR(Assumptions!$C$8))*12+MONTH(M12)-MONTH(Assumptions!$C$8)+1)+AH12+AI12</f>
        <v>14</v>
      </c>
      <c r="AL12" s="125" t="n">
        <f aca="false">((YEAR(G12)-YEAR(Assumptions!$C$8))*12+MONTH(G12)-MONTH(Assumptions!$C$8)+1)+IF(E12="Pipeline",AH12,0)</f>
        <v>4</v>
      </c>
      <c r="AM12" s="125" t="n">
        <f aca="false">AK12+Assumptions!$C$75</f>
        <v>17</v>
      </c>
      <c r="AN12" s="125" t="n">
        <f aca="false">AK12+S12+1</f>
        <v>27</v>
      </c>
      <c r="AO12" s="70" t="n">
        <f aca="false">N12*K12</f>
        <v>1320000</v>
      </c>
      <c r="AP12" s="70" t="n">
        <f aca="false">O12*K12</f>
        <v>1158000</v>
      </c>
      <c r="AQ12" s="70" t="n">
        <f aca="false">AC12+SUMIFS(Inputs_Actuals!$E$54:$AB$54,Assumptions!$E$97:$AB$97,"A")+SUMIFS(Inputs_Actuals!$E$55:$AB$55,Assumptions!$E$97:$AB$97,"A")+SUMIFS(Inputs_Actuals!$E$56:$AB$56,Assumptions!$E$97:$AB$97,"A")+SUMIFS(Inputs_Actuals!$E$57:$AB$57,Assumptions!$E$97:$AB$97,"A")+SUMIFS(Inputs_Actuals!$E$58:$AB$58,Assumptions!$E$97:$AB$97,"A")</f>
        <v>399523.54</v>
      </c>
      <c r="AR12" s="70" t="n">
        <f aca="false">IF(OR(E12="Contracted",E12="Pipeline"),AP12,INDEX(Inputs_Actuals!$E$59:$AB$59,Assumptions!$C$10))</f>
        <v>770476.46</v>
      </c>
      <c r="AS12" s="60" t="n">
        <f aca="false">IF(E12="In progress",Assumptions!$F$119,IF(OR(E12="Contracted",E12="Pipeline"),Assumptions!$F$120,0))</f>
        <v>0</v>
      </c>
      <c r="AT12" s="70" t="n">
        <f aca="false">AQ12+AR12*(1+AS12)</f>
        <v>1170000</v>
      </c>
      <c r="AU12" s="105" t="n">
        <f aca="false">MIN(1,MAX(0,(Assumptions!$C$10-AJ12+1)/(AK12-AJ12+1)))</f>
        <v>0.4</v>
      </c>
      <c r="AV12" s="105" t="n">
        <f aca="false">3*AU12^2-2*AU12^3</f>
        <v>0.352</v>
      </c>
      <c r="AW12" s="70" t="n">
        <f aca="false">Q12*AE12*(1-R12*(0&gt;=AK12+1)-(1-R12)*(0&gt;=AN12))</f>
        <v>0</v>
      </c>
      <c r="AX12" s="70" t="n">
        <f aca="false">U12*AG12*(1-R12*(0&gt;=AK12+1)-(1-R12)*(0&gt;=AN12))</f>
        <v>0</v>
      </c>
      <c r="AY12" s="125" t="n">
        <f aca="false">T12+Assumptions!$F$122</f>
        <v>30</v>
      </c>
      <c r="AZ12" s="60"/>
    </row>
    <row r="13" customFormat="false" ht="15" hidden="false" customHeight="false" outlineLevel="0" collapsed="false">
      <c r="A13" s="111" t="s">
        <v>696</v>
      </c>
      <c r="B13" s="111" t="s">
        <v>1390</v>
      </c>
      <c r="C13" s="111" t="s">
        <v>1391</v>
      </c>
      <c r="D13" s="111" t="s">
        <v>35</v>
      </c>
      <c r="E13" s="111" t="s">
        <v>1392</v>
      </c>
      <c r="F13" s="111" t="s">
        <v>877</v>
      </c>
      <c r="G13" s="124" t="n">
        <v>46265</v>
      </c>
      <c r="H13" s="115" t="n">
        <v>1</v>
      </c>
      <c r="I13" s="115" t="n">
        <v>1</v>
      </c>
      <c r="J13" s="115" t="n">
        <v>1</v>
      </c>
      <c r="K13" s="60" t="n">
        <f aca="false">CHOOSE(Assumptions!$C$11,H13,I13,J13)</f>
        <v>1</v>
      </c>
      <c r="L13" s="124" t="n">
        <v>46326</v>
      </c>
      <c r="M13" s="124" t="n">
        <v>46477</v>
      </c>
      <c r="N13" s="71" t="n">
        <v>640000</v>
      </c>
      <c r="O13" s="71" t="n">
        <v>549000</v>
      </c>
      <c r="P13" s="60" t="n">
        <f aca="false">IF(N13=0,0,1-O13/N13)</f>
        <v>0.1421875</v>
      </c>
      <c r="Q13" s="115" t="n">
        <v>0.05</v>
      </c>
      <c r="R13" s="115" t="n">
        <v>0.5</v>
      </c>
      <c r="S13" s="119" t="n">
        <v>12</v>
      </c>
      <c r="T13" s="119" t="n">
        <v>30</v>
      </c>
      <c r="U13" s="115" t="n">
        <v>0.05</v>
      </c>
      <c r="V13" s="115" t="n">
        <v>0.1</v>
      </c>
      <c r="W13" s="115" t="n">
        <v>0.135</v>
      </c>
      <c r="X13" s="115" t="n">
        <v>0.16</v>
      </c>
      <c r="Y13" s="115" t="n">
        <v>0.5</v>
      </c>
      <c r="Z13" s="115" t="n">
        <v>0.24</v>
      </c>
      <c r="AA13" s="115" t="n">
        <v>0.03</v>
      </c>
      <c r="AB13" s="60" t="n">
        <f aca="false">1-X13-Y13-Z13-AA13</f>
        <v>0.07</v>
      </c>
      <c r="AC13" s="71" t="n">
        <v>0</v>
      </c>
      <c r="AD13" s="71" t="n">
        <v>0</v>
      </c>
      <c r="AE13" s="71" t="n">
        <v>0</v>
      </c>
      <c r="AF13" s="71" t="n">
        <v>0</v>
      </c>
      <c r="AG13" s="71" t="n">
        <v>0</v>
      </c>
      <c r="AH13" s="125" t="n">
        <f aca="false">IF(OR(E13="Contracted",E13="Pipeline"),Assumptions!$F$117,0)</f>
        <v>0</v>
      </c>
      <c r="AI13" s="125" t="n">
        <f aca="false">IF(E13="In progress",Assumptions!$F$118,0)</f>
        <v>0</v>
      </c>
      <c r="AJ13" s="125" t="n">
        <f aca="false">((YEAR(L13)-YEAR(Assumptions!$C$8))*12+MONTH(L13)-MONTH(Assumptions!$C$8)+1)+AH13</f>
        <v>10</v>
      </c>
      <c r="AK13" s="125" t="n">
        <f aca="false">((YEAR(M13)-YEAR(Assumptions!$C$8))*12+MONTH(M13)-MONTH(Assumptions!$C$8)+1)+AH13+AI13</f>
        <v>15</v>
      </c>
      <c r="AL13" s="125" t="n">
        <f aca="false">((YEAR(G13)-YEAR(Assumptions!$C$8))*12+MONTH(G13)-MONTH(Assumptions!$C$8)+1)+IF(E13="Pipeline",AH13,0)</f>
        <v>8</v>
      </c>
      <c r="AM13" s="125" t="n">
        <f aca="false">AK13+Assumptions!$C$75</f>
        <v>18</v>
      </c>
      <c r="AN13" s="125" t="n">
        <f aca="false">AK13+S13+1</f>
        <v>28</v>
      </c>
      <c r="AO13" s="70" t="n">
        <f aca="false">N13*K13</f>
        <v>640000</v>
      </c>
      <c r="AP13" s="70" t="n">
        <f aca="false">O13*K13</f>
        <v>549000</v>
      </c>
      <c r="AQ13" s="70" t="n">
        <f aca="false">AC13</f>
        <v>0</v>
      </c>
      <c r="AR13" s="70" t="n">
        <f aca="false">AP13</f>
        <v>549000</v>
      </c>
      <c r="AS13" s="60" t="n">
        <f aca="false">IF(E13="In progress",Assumptions!$F$119,IF(OR(E13="Contracted",E13="Pipeline"),Assumptions!$F$120,0))</f>
        <v>0</v>
      </c>
      <c r="AT13" s="70" t="n">
        <f aca="false">AQ13+AR13*(1+AS13)</f>
        <v>549000</v>
      </c>
      <c r="AU13" s="105" t="n">
        <f aca="false">MIN(1,MAX(0,(Assumptions!$C$10-AJ13+1)/(AK13-AJ13+1)))</f>
        <v>0</v>
      </c>
      <c r="AV13" s="105" t="n">
        <f aca="false">3*AU13^2-2*AU13^3</f>
        <v>0</v>
      </c>
      <c r="AW13" s="70" t="n">
        <f aca="false">Q13*AE13*(1-R13*(0&gt;=AK13+1)-(1-R13)*(0&gt;=AN13))</f>
        <v>0</v>
      </c>
      <c r="AX13" s="70" t="n">
        <f aca="false">U13*AG13*(1-R13*(0&gt;=AK13+1)-(1-R13)*(0&gt;=AN13))</f>
        <v>0</v>
      </c>
      <c r="AY13" s="125" t="n">
        <f aca="false">T13+Assumptions!$F$122</f>
        <v>30</v>
      </c>
      <c r="AZ13" s="60"/>
    </row>
    <row r="14" customFormat="false" ht="15" hidden="false" customHeight="false" outlineLevel="0" collapsed="false">
      <c r="A14" s="111" t="s">
        <v>697</v>
      </c>
      <c r="B14" s="111" t="s">
        <v>1393</v>
      </c>
      <c r="C14" s="111" t="s">
        <v>1053</v>
      </c>
      <c r="D14" s="111" t="s">
        <v>1384</v>
      </c>
      <c r="E14" s="111" t="s">
        <v>1392</v>
      </c>
      <c r="F14" s="111" t="s">
        <v>877</v>
      </c>
      <c r="G14" s="124" t="n">
        <v>46265</v>
      </c>
      <c r="H14" s="115" t="n">
        <v>1</v>
      </c>
      <c r="I14" s="115" t="n">
        <v>1</v>
      </c>
      <c r="J14" s="115" t="n">
        <v>1</v>
      </c>
      <c r="K14" s="60" t="n">
        <f aca="false">CHOOSE(Assumptions!$C$11,H14,I14,J14)</f>
        <v>1</v>
      </c>
      <c r="L14" s="124" t="n">
        <v>46477</v>
      </c>
      <c r="M14" s="124" t="n">
        <v>46721</v>
      </c>
      <c r="N14" s="71" t="n">
        <v>1760000</v>
      </c>
      <c r="O14" s="71" t="n">
        <v>1548000</v>
      </c>
      <c r="P14" s="60" t="n">
        <f aca="false">IF(N14=0,0,1-O14/N14)</f>
        <v>0.120454545454545</v>
      </c>
      <c r="Q14" s="115" t="n">
        <v>0.05</v>
      </c>
      <c r="R14" s="115" t="n">
        <v>0.5</v>
      </c>
      <c r="S14" s="119" t="n">
        <v>12</v>
      </c>
      <c r="T14" s="119" t="n">
        <v>30</v>
      </c>
      <c r="U14" s="115" t="n">
        <v>0.05</v>
      </c>
      <c r="V14" s="115" t="n">
        <v>0.1</v>
      </c>
      <c r="W14" s="115" t="n">
        <v>0</v>
      </c>
      <c r="X14" s="115" t="n">
        <v>0.13</v>
      </c>
      <c r="Y14" s="115" t="n">
        <v>0.56</v>
      </c>
      <c r="Z14" s="115" t="n">
        <v>0.23</v>
      </c>
      <c r="AA14" s="115" t="n">
        <v>0.03</v>
      </c>
      <c r="AB14" s="60" t="n">
        <f aca="false">1-X14-Y14-Z14-AA14</f>
        <v>0.0499999999999999</v>
      </c>
      <c r="AC14" s="71" t="n">
        <v>0</v>
      </c>
      <c r="AD14" s="71" t="n">
        <v>0</v>
      </c>
      <c r="AE14" s="71" t="n">
        <v>0</v>
      </c>
      <c r="AF14" s="71" t="n">
        <v>0</v>
      </c>
      <c r="AG14" s="71" t="n">
        <v>0</v>
      </c>
      <c r="AH14" s="125" t="n">
        <f aca="false">IF(OR(E14="Contracted",E14="Pipeline"),Assumptions!$F$117,0)</f>
        <v>0</v>
      </c>
      <c r="AI14" s="125" t="n">
        <f aca="false">IF(E14="In progress",Assumptions!$F$118,0)</f>
        <v>0</v>
      </c>
      <c r="AJ14" s="125" t="n">
        <f aca="false">((YEAR(L14)-YEAR(Assumptions!$C$8))*12+MONTH(L14)-MONTH(Assumptions!$C$8)+1)+AH14</f>
        <v>15</v>
      </c>
      <c r="AK14" s="125" t="n">
        <f aca="false">((YEAR(M14)-YEAR(Assumptions!$C$8))*12+MONTH(M14)-MONTH(Assumptions!$C$8)+1)+AH14+AI14</f>
        <v>23</v>
      </c>
      <c r="AL14" s="125" t="n">
        <f aca="false">((YEAR(G14)-YEAR(Assumptions!$C$8))*12+MONTH(G14)-MONTH(Assumptions!$C$8)+1)+IF(E14="Pipeline",AH14,0)</f>
        <v>8</v>
      </c>
      <c r="AM14" s="125" t="n">
        <f aca="false">AK14+Assumptions!$C$75</f>
        <v>26</v>
      </c>
      <c r="AN14" s="125" t="n">
        <f aca="false">AK14+S14+1</f>
        <v>36</v>
      </c>
      <c r="AO14" s="70" t="n">
        <f aca="false">N14*K14</f>
        <v>1760000</v>
      </c>
      <c r="AP14" s="70" t="n">
        <f aca="false">O14*K14</f>
        <v>1548000</v>
      </c>
      <c r="AQ14" s="70" t="n">
        <f aca="false">AC14</f>
        <v>0</v>
      </c>
      <c r="AR14" s="70" t="n">
        <f aca="false">AP14</f>
        <v>1548000</v>
      </c>
      <c r="AS14" s="60" t="n">
        <f aca="false">IF(E14="In progress",Assumptions!$F$119,IF(OR(E14="Contracted",E14="Pipeline"),Assumptions!$F$120,0))</f>
        <v>0</v>
      </c>
      <c r="AT14" s="70" t="n">
        <f aca="false">AQ14+AR14*(1+AS14)</f>
        <v>1548000</v>
      </c>
      <c r="AU14" s="105" t="n">
        <f aca="false">MIN(1,MAX(0,(Assumptions!$C$10-AJ14+1)/(AK14-AJ14+1)))</f>
        <v>0</v>
      </c>
      <c r="AV14" s="105" t="n">
        <f aca="false">3*AU14^2-2*AU14^3</f>
        <v>0</v>
      </c>
      <c r="AW14" s="70" t="n">
        <f aca="false">Q14*AE14*(1-R14*(0&gt;=AK14+1)-(1-R14)*(0&gt;=AN14))</f>
        <v>0</v>
      </c>
      <c r="AX14" s="70" t="n">
        <f aca="false">U14*AG14*(1-R14*(0&gt;=AK14+1)-(1-R14)*(0&gt;=AN14))</f>
        <v>0</v>
      </c>
      <c r="AY14" s="125" t="n">
        <f aca="false">T14+Assumptions!$F$122</f>
        <v>30</v>
      </c>
      <c r="AZ14" s="60"/>
    </row>
    <row r="15" customFormat="false" ht="15" hidden="false" customHeight="false" outlineLevel="0" collapsed="false">
      <c r="A15" s="111" t="s">
        <v>698</v>
      </c>
      <c r="B15" s="111" t="s">
        <v>1394</v>
      </c>
      <c r="C15" s="111" t="s">
        <v>1395</v>
      </c>
      <c r="D15" s="111" t="s">
        <v>35</v>
      </c>
      <c r="E15" s="111" t="s">
        <v>51</v>
      </c>
      <c r="F15" s="111" t="s">
        <v>1396</v>
      </c>
      <c r="G15" s="124" t="n">
        <v>46418</v>
      </c>
      <c r="H15" s="115" t="n">
        <v>0.35</v>
      </c>
      <c r="I15" s="115" t="n">
        <v>0.2</v>
      </c>
      <c r="J15" s="115" t="n">
        <v>0.5</v>
      </c>
      <c r="K15" s="60" t="n">
        <f aca="false">CHOOSE(Assumptions!$C$11,H15,I15,J15)</f>
        <v>0.35</v>
      </c>
      <c r="L15" s="124" t="n">
        <v>46446</v>
      </c>
      <c r="M15" s="124" t="n">
        <v>46660</v>
      </c>
      <c r="N15" s="71" t="n">
        <v>1850000</v>
      </c>
      <c r="O15" s="71" t="n">
        <v>1600000</v>
      </c>
      <c r="P15" s="60" t="n">
        <f aca="false">IF(N15=0,0,1-O15/N15)</f>
        <v>0.135135135135135</v>
      </c>
      <c r="Q15" s="115" t="n">
        <v>0.05</v>
      </c>
      <c r="R15" s="115" t="n">
        <v>0.5</v>
      </c>
      <c r="S15" s="119" t="n">
        <v>12</v>
      </c>
      <c r="T15" s="119" t="n">
        <v>30</v>
      </c>
      <c r="U15" s="115" t="n">
        <v>0.05</v>
      </c>
      <c r="V15" s="115" t="n">
        <v>0.1</v>
      </c>
      <c r="W15" s="115" t="n">
        <v>0.135</v>
      </c>
      <c r="X15" s="115" t="n">
        <v>0.16</v>
      </c>
      <c r="Y15" s="115" t="n">
        <v>0.5</v>
      </c>
      <c r="Z15" s="115" t="n">
        <v>0.24</v>
      </c>
      <c r="AA15" s="115" t="n">
        <v>0.03</v>
      </c>
      <c r="AB15" s="60" t="n">
        <f aca="false">1-X15-Y15-Z15-AA15</f>
        <v>0.07</v>
      </c>
      <c r="AC15" s="71" t="n">
        <v>0</v>
      </c>
      <c r="AD15" s="71" t="n">
        <v>0</v>
      </c>
      <c r="AE15" s="71" t="n">
        <v>0</v>
      </c>
      <c r="AF15" s="71" t="n">
        <v>0</v>
      </c>
      <c r="AG15" s="71" t="n">
        <v>0</v>
      </c>
      <c r="AH15" s="125" t="n">
        <f aca="false">IF(OR(E15="Contracted",E15="Pipeline"),Assumptions!$F$117,0)</f>
        <v>0</v>
      </c>
      <c r="AI15" s="125" t="n">
        <f aca="false">IF(E15="In progress",Assumptions!$F$118,0)</f>
        <v>0</v>
      </c>
      <c r="AJ15" s="125" t="n">
        <f aca="false">((YEAR(L15)-YEAR(Assumptions!$C$8))*12+MONTH(L15)-MONTH(Assumptions!$C$8)+1)+AH15</f>
        <v>14</v>
      </c>
      <c r="AK15" s="125" t="n">
        <f aca="false">((YEAR(M15)-YEAR(Assumptions!$C$8))*12+MONTH(M15)-MONTH(Assumptions!$C$8)+1)+AH15+AI15</f>
        <v>21</v>
      </c>
      <c r="AL15" s="125" t="n">
        <f aca="false">((YEAR(G15)-YEAR(Assumptions!$C$8))*12+MONTH(G15)-MONTH(Assumptions!$C$8)+1)+IF(E15="Pipeline",AH15,0)</f>
        <v>13</v>
      </c>
      <c r="AM15" s="125" t="n">
        <f aca="false">AK15+Assumptions!$C$75</f>
        <v>24</v>
      </c>
      <c r="AN15" s="125" t="n">
        <f aca="false">AK15+S15+1</f>
        <v>34</v>
      </c>
      <c r="AO15" s="70" t="n">
        <f aca="false">N15*K15</f>
        <v>647500</v>
      </c>
      <c r="AP15" s="70" t="n">
        <f aca="false">O15*K15</f>
        <v>560000</v>
      </c>
      <c r="AQ15" s="70" t="n">
        <f aca="false">AC15</f>
        <v>0</v>
      </c>
      <c r="AR15" s="70" t="n">
        <f aca="false">AP15</f>
        <v>560000</v>
      </c>
      <c r="AS15" s="60" t="n">
        <f aca="false">IF(E15="In progress",Assumptions!$F$119,IF(OR(E15="Contracted",E15="Pipeline"),Assumptions!$F$120,0))</f>
        <v>0</v>
      </c>
      <c r="AT15" s="70" t="n">
        <f aca="false">AQ15+AR15*(1+AS15)</f>
        <v>560000</v>
      </c>
      <c r="AU15" s="105" t="n">
        <f aca="false">MIN(1,MAX(0,(Assumptions!$C$10-AJ15+1)/(AK15-AJ15+1)))</f>
        <v>0</v>
      </c>
      <c r="AV15" s="105" t="n">
        <f aca="false">3*AU15^2-2*AU15^3</f>
        <v>0</v>
      </c>
      <c r="AW15" s="70" t="n">
        <f aca="false">Q15*AE15*(1-R15*(0&gt;=AK15+1)-(1-R15)*(0&gt;=AN15))</f>
        <v>0</v>
      </c>
      <c r="AX15" s="70" t="n">
        <f aca="false">U15*AG15*(1-R15*(0&gt;=AK15+1)-(1-R15)*(0&gt;=AN15))</f>
        <v>0</v>
      </c>
      <c r="AY15" s="125" t="n">
        <f aca="false">T15+Assumptions!$F$122</f>
        <v>30</v>
      </c>
      <c r="AZ15" s="60"/>
    </row>
    <row r="16" customFormat="false" ht="15" hidden="false" customHeight="false" outlineLevel="0" collapsed="false">
      <c r="A16" s="111" t="s">
        <v>699</v>
      </c>
      <c r="B16" s="111" t="s">
        <v>1397</v>
      </c>
      <c r="C16" s="111" t="s">
        <v>1398</v>
      </c>
      <c r="D16" s="111" t="s">
        <v>35</v>
      </c>
      <c r="E16" s="111" t="s">
        <v>51</v>
      </c>
      <c r="F16" s="111" t="s">
        <v>1399</v>
      </c>
      <c r="G16" s="124" t="n">
        <v>46356</v>
      </c>
      <c r="H16" s="115" t="n">
        <v>0.75</v>
      </c>
      <c r="I16" s="115" t="n">
        <v>0.55</v>
      </c>
      <c r="J16" s="115" t="n">
        <v>0.85</v>
      </c>
      <c r="K16" s="60" t="n">
        <f aca="false">CHOOSE(Assumptions!$C$11,H16,I16,J16)</f>
        <v>0.75</v>
      </c>
      <c r="L16" s="124" t="n">
        <v>46387</v>
      </c>
      <c r="M16" s="124" t="n">
        <v>46477</v>
      </c>
      <c r="N16" s="71" t="n">
        <v>520000</v>
      </c>
      <c r="O16" s="71" t="n">
        <v>447000</v>
      </c>
      <c r="P16" s="60" t="n">
        <f aca="false">IF(N16=0,0,1-O16/N16)</f>
        <v>0.140384615384615</v>
      </c>
      <c r="Q16" s="115" t="n">
        <v>0.05</v>
      </c>
      <c r="R16" s="115" t="n">
        <v>0.5</v>
      </c>
      <c r="S16" s="119" t="n">
        <v>12</v>
      </c>
      <c r="T16" s="119" t="n">
        <v>30</v>
      </c>
      <c r="U16" s="115" t="n">
        <v>0.05</v>
      </c>
      <c r="V16" s="115" t="n">
        <v>0.1</v>
      </c>
      <c r="W16" s="115" t="n">
        <v>0.135</v>
      </c>
      <c r="X16" s="115" t="n">
        <v>0.16</v>
      </c>
      <c r="Y16" s="115" t="n">
        <v>0.5</v>
      </c>
      <c r="Z16" s="115" t="n">
        <v>0.24</v>
      </c>
      <c r="AA16" s="115" t="n">
        <v>0.03</v>
      </c>
      <c r="AB16" s="60" t="n">
        <f aca="false">1-X16-Y16-Z16-AA16</f>
        <v>0.07</v>
      </c>
      <c r="AC16" s="71" t="n">
        <v>0</v>
      </c>
      <c r="AD16" s="71" t="n">
        <v>0</v>
      </c>
      <c r="AE16" s="71" t="n">
        <v>0</v>
      </c>
      <c r="AF16" s="71" t="n">
        <v>0</v>
      </c>
      <c r="AG16" s="71" t="n">
        <v>0</v>
      </c>
      <c r="AH16" s="125" t="n">
        <f aca="false">IF(OR(E16="Contracted",E16="Pipeline"),Assumptions!$F$117,0)</f>
        <v>0</v>
      </c>
      <c r="AI16" s="125" t="n">
        <f aca="false">IF(E16="In progress",Assumptions!$F$118,0)</f>
        <v>0</v>
      </c>
      <c r="AJ16" s="125" t="n">
        <f aca="false">((YEAR(L16)-YEAR(Assumptions!$C$8))*12+MONTH(L16)-MONTH(Assumptions!$C$8)+1)+AH16</f>
        <v>12</v>
      </c>
      <c r="AK16" s="125" t="n">
        <f aca="false">((YEAR(M16)-YEAR(Assumptions!$C$8))*12+MONTH(M16)-MONTH(Assumptions!$C$8)+1)+AH16+AI16</f>
        <v>15</v>
      </c>
      <c r="AL16" s="125" t="n">
        <f aca="false">((YEAR(G16)-YEAR(Assumptions!$C$8))*12+MONTH(G16)-MONTH(Assumptions!$C$8)+1)+IF(E16="Pipeline",AH16,0)</f>
        <v>11</v>
      </c>
      <c r="AM16" s="125" t="n">
        <f aca="false">AK16+Assumptions!$C$75</f>
        <v>18</v>
      </c>
      <c r="AN16" s="125" t="n">
        <f aca="false">AK16+S16+1</f>
        <v>28</v>
      </c>
      <c r="AO16" s="70" t="n">
        <f aca="false">N16*K16</f>
        <v>390000</v>
      </c>
      <c r="AP16" s="70" t="n">
        <f aca="false">O16*K16</f>
        <v>335250</v>
      </c>
      <c r="AQ16" s="70" t="n">
        <f aca="false">AC16</f>
        <v>0</v>
      </c>
      <c r="AR16" s="70" t="n">
        <f aca="false">AP16</f>
        <v>335250</v>
      </c>
      <c r="AS16" s="60" t="n">
        <f aca="false">IF(E16="In progress",Assumptions!$F$119,IF(OR(E16="Contracted",E16="Pipeline"),Assumptions!$F$120,0))</f>
        <v>0</v>
      </c>
      <c r="AT16" s="70" t="n">
        <f aca="false">AQ16+AR16*(1+AS16)</f>
        <v>335250</v>
      </c>
      <c r="AU16" s="105" t="n">
        <f aca="false">MIN(1,MAX(0,(Assumptions!$C$10-AJ16+1)/(AK16-AJ16+1)))</f>
        <v>0</v>
      </c>
      <c r="AV16" s="105" t="n">
        <f aca="false">3*AU16^2-2*AU16^3</f>
        <v>0</v>
      </c>
      <c r="AW16" s="70" t="n">
        <f aca="false">Q16*AE16*(1-R16*(0&gt;=AK16+1)-(1-R16)*(0&gt;=AN16))</f>
        <v>0</v>
      </c>
      <c r="AX16" s="70" t="n">
        <f aca="false">U16*AG16*(1-R16*(0&gt;=AK16+1)-(1-R16)*(0&gt;=AN16))</f>
        <v>0</v>
      </c>
      <c r="AY16" s="125" t="n">
        <f aca="false">T16+Assumptions!$F$122</f>
        <v>30</v>
      </c>
      <c r="AZ16" s="60"/>
    </row>
    <row r="17" customFormat="false" ht="15" hidden="false" customHeight="false" outlineLevel="0" collapsed="false">
      <c r="A17" s="111" t="s">
        <v>700</v>
      </c>
      <c r="B17" s="111" t="s">
        <v>1400</v>
      </c>
      <c r="C17" s="111" t="s">
        <v>1082</v>
      </c>
      <c r="D17" s="111" t="s">
        <v>35</v>
      </c>
      <c r="E17" s="111" t="s">
        <v>51</v>
      </c>
      <c r="F17" s="111" t="s">
        <v>1401</v>
      </c>
      <c r="G17" s="124" t="n">
        <v>46477</v>
      </c>
      <c r="H17" s="115" t="n">
        <v>0.5</v>
      </c>
      <c r="I17" s="115" t="n">
        <v>0.3</v>
      </c>
      <c r="J17" s="115" t="n">
        <v>0.65</v>
      </c>
      <c r="K17" s="60" t="n">
        <f aca="false">CHOOSE(Assumptions!$C$11,H17,I17,J17)</f>
        <v>0.5</v>
      </c>
      <c r="L17" s="124" t="n">
        <v>46507</v>
      </c>
      <c r="M17" s="124" t="n">
        <v>46660</v>
      </c>
      <c r="N17" s="71" t="n">
        <v>780000</v>
      </c>
      <c r="O17" s="71" t="n">
        <v>674000</v>
      </c>
      <c r="P17" s="60" t="n">
        <f aca="false">IF(N17=0,0,1-O17/N17)</f>
        <v>0.135897435897436</v>
      </c>
      <c r="Q17" s="115" t="n">
        <v>0.03</v>
      </c>
      <c r="R17" s="115" t="n">
        <v>0.5</v>
      </c>
      <c r="S17" s="119" t="n">
        <v>12</v>
      </c>
      <c r="T17" s="119" t="n">
        <v>45</v>
      </c>
      <c r="U17" s="115" t="n">
        <v>0.05</v>
      </c>
      <c r="V17" s="115" t="n">
        <v>0.1</v>
      </c>
      <c r="W17" s="115" t="n">
        <v>0.135</v>
      </c>
      <c r="X17" s="115" t="n">
        <v>0.16</v>
      </c>
      <c r="Y17" s="115" t="n">
        <v>0.5</v>
      </c>
      <c r="Z17" s="115" t="n">
        <v>0.24</v>
      </c>
      <c r="AA17" s="115" t="n">
        <v>0.03</v>
      </c>
      <c r="AB17" s="60" t="n">
        <f aca="false">1-X17-Y17-Z17-AA17</f>
        <v>0.07</v>
      </c>
      <c r="AC17" s="71" t="n">
        <v>0</v>
      </c>
      <c r="AD17" s="71" t="n">
        <v>0</v>
      </c>
      <c r="AE17" s="71" t="n">
        <v>0</v>
      </c>
      <c r="AF17" s="71" t="n">
        <v>0</v>
      </c>
      <c r="AG17" s="71" t="n">
        <v>0</v>
      </c>
      <c r="AH17" s="125" t="n">
        <f aca="false">IF(OR(E17="Contracted",E17="Pipeline"),Assumptions!$F$117,0)</f>
        <v>0</v>
      </c>
      <c r="AI17" s="125" t="n">
        <f aca="false">IF(E17="In progress",Assumptions!$F$118,0)</f>
        <v>0</v>
      </c>
      <c r="AJ17" s="125" t="n">
        <f aca="false">((YEAR(L17)-YEAR(Assumptions!$C$8))*12+MONTH(L17)-MONTH(Assumptions!$C$8)+1)+AH17</f>
        <v>16</v>
      </c>
      <c r="AK17" s="125" t="n">
        <f aca="false">((YEAR(M17)-YEAR(Assumptions!$C$8))*12+MONTH(M17)-MONTH(Assumptions!$C$8)+1)+AH17+AI17</f>
        <v>21</v>
      </c>
      <c r="AL17" s="125" t="n">
        <f aca="false">((YEAR(G17)-YEAR(Assumptions!$C$8))*12+MONTH(G17)-MONTH(Assumptions!$C$8)+1)+IF(E17="Pipeline",AH17,0)</f>
        <v>15</v>
      </c>
      <c r="AM17" s="125" t="n">
        <f aca="false">AK17+Assumptions!$C$75</f>
        <v>24</v>
      </c>
      <c r="AN17" s="125" t="n">
        <f aca="false">AK17+S17+1</f>
        <v>34</v>
      </c>
      <c r="AO17" s="70" t="n">
        <f aca="false">N17*K17</f>
        <v>390000</v>
      </c>
      <c r="AP17" s="70" t="n">
        <f aca="false">O17*K17</f>
        <v>337000</v>
      </c>
      <c r="AQ17" s="70" t="n">
        <f aca="false">AC17</f>
        <v>0</v>
      </c>
      <c r="AR17" s="70" t="n">
        <f aca="false">AP17</f>
        <v>337000</v>
      </c>
      <c r="AS17" s="60" t="n">
        <f aca="false">IF(E17="In progress",Assumptions!$F$119,IF(OR(E17="Contracted",E17="Pipeline"),Assumptions!$F$120,0))</f>
        <v>0</v>
      </c>
      <c r="AT17" s="70" t="n">
        <f aca="false">AQ17+AR17*(1+AS17)</f>
        <v>337000</v>
      </c>
      <c r="AU17" s="105" t="n">
        <f aca="false">MIN(1,MAX(0,(Assumptions!$C$10-AJ17+1)/(AK17-AJ17+1)))</f>
        <v>0</v>
      </c>
      <c r="AV17" s="105" t="n">
        <f aca="false">3*AU17^2-2*AU17^3</f>
        <v>0</v>
      </c>
      <c r="AW17" s="70" t="n">
        <f aca="false">Q17*AE17*(1-R17*(0&gt;=AK17+1)-(1-R17)*(0&gt;=AN17))</f>
        <v>0</v>
      </c>
      <c r="AX17" s="70" t="n">
        <f aca="false">U17*AG17*(1-R17*(0&gt;=AK17+1)-(1-R17)*(0&gt;=AN17))</f>
        <v>0</v>
      </c>
      <c r="AY17" s="125" t="n">
        <f aca="false">T17+Assumptions!$F$122</f>
        <v>45</v>
      </c>
      <c r="AZ17" s="60"/>
    </row>
    <row r="18" customFormat="false" ht="15" hidden="false" customHeight="false" outlineLevel="0" collapsed="false">
      <c r="A18" s="111" t="s">
        <v>701</v>
      </c>
      <c r="B18" s="111" t="s">
        <v>1402</v>
      </c>
      <c r="C18" s="111" t="s">
        <v>1053</v>
      </c>
      <c r="D18" s="111" t="s">
        <v>1384</v>
      </c>
      <c r="E18" s="111" t="s">
        <v>51</v>
      </c>
      <c r="F18" s="111" t="s">
        <v>1403</v>
      </c>
      <c r="G18" s="124" t="n">
        <v>46660</v>
      </c>
      <c r="H18" s="115" t="n">
        <v>0.6</v>
      </c>
      <c r="I18" s="115" t="n">
        <v>0.4</v>
      </c>
      <c r="J18" s="115" t="n">
        <v>0.75</v>
      </c>
      <c r="K18" s="60" t="n">
        <f aca="false">CHOOSE(Assumptions!$C$11,H18,I18,J18)</f>
        <v>0.6</v>
      </c>
      <c r="L18" s="124" t="n">
        <v>46691</v>
      </c>
      <c r="M18" s="124" t="n">
        <v>46904</v>
      </c>
      <c r="N18" s="71" t="n">
        <v>1420000</v>
      </c>
      <c r="O18" s="71" t="n">
        <v>1250000</v>
      </c>
      <c r="P18" s="60" t="n">
        <f aca="false">IF(N18=0,0,1-O18/N18)</f>
        <v>0.119718309859155</v>
      </c>
      <c r="Q18" s="115" t="n">
        <v>0.05</v>
      </c>
      <c r="R18" s="115" t="n">
        <v>0.5</v>
      </c>
      <c r="S18" s="119" t="n">
        <v>12</v>
      </c>
      <c r="T18" s="119" t="n">
        <v>30</v>
      </c>
      <c r="U18" s="115" t="n">
        <v>0.05</v>
      </c>
      <c r="V18" s="115" t="n">
        <v>0.1</v>
      </c>
      <c r="W18" s="115" t="n">
        <v>0</v>
      </c>
      <c r="X18" s="115" t="n">
        <v>0.13</v>
      </c>
      <c r="Y18" s="115" t="n">
        <v>0.56</v>
      </c>
      <c r="Z18" s="115" t="n">
        <v>0.23</v>
      </c>
      <c r="AA18" s="115" t="n">
        <v>0.03</v>
      </c>
      <c r="AB18" s="60" t="n">
        <f aca="false">1-X18-Y18-Z18-AA18</f>
        <v>0.0499999999999999</v>
      </c>
      <c r="AC18" s="71" t="n">
        <v>0</v>
      </c>
      <c r="AD18" s="71" t="n">
        <v>0</v>
      </c>
      <c r="AE18" s="71" t="n">
        <v>0</v>
      </c>
      <c r="AF18" s="71" t="n">
        <v>0</v>
      </c>
      <c r="AG18" s="71" t="n">
        <v>0</v>
      </c>
      <c r="AH18" s="125" t="n">
        <f aca="false">IF(OR(E18="Contracted",E18="Pipeline"),Assumptions!$F$117,0)</f>
        <v>0</v>
      </c>
      <c r="AI18" s="125" t="n">
        <f aca="false">IF(E18="In progress",Assumptions!$F$118,0)</f>
        <v>0</v>
      </c>
      <c r="AJ18" s="125" t="n">
        <f aca="false">((YEAR(L18)-YEAR(Assumptions!$C$8))*12+MONTH(L18)-MONTH(Assumptions!$C$8)+1)+AH18</f>
        <v>22</v>
      </c>
      <c r="AK18" s="125" t="n">
        <f aca="false">((YEAR(M18)-YEAR(Assumptions!$C$8))*12+MONTH(M18)-MONTH(Assumptions!$C$8)+1)+AH18+AI18</f>
        <v>29</v>
      </c>
      <c r="AL18" s="125" t="n">
        <f aca="false">((YEAR(G18)-YEAR(Assumptions!$C$8))*12+MONTH(G18)-MONTH(Assumptions!$C$8)+1)+IF(E18="Pipeline",AH18,0)</f>
        <v>21</v>
      </c>
      <c r="AM18" s="125" t="n">
        <f aca="false">AK18+Assumptions!$C$75</f>
        <v>32</v>
      </c>
      <c r="AN18" s="125" t="n">
        <f aca="false">AK18+S18+1</f>
        <v>42</v>
      </c>
      <c r="AO18" s="70" t="n">
        <f aca="false">N18*K18</f>
        <v>852000</v>
      </c>
      <c r="AP18" s="70" t="n">
        <f aca="false">O18*K18</f>
        <v>750000</v>
      </c>
      <c r="AQ18" s="70" t="n">
        <f aca="false">AC18</f>
        <v>0</v>
      </c>
      <c r="AR18" s="70" t="n">
        <f aca="false">AP18</f>
        <v>750000</v>
      </c>
      <c r="AS18" s="60" t="n">
        <f aca="false">IF(E18="In progress",Assumptions!$F$119,IF(OR(E18="Contracted",E18="Pipeline"),Assumptions!$F$120,0))</f>
        <v>0</v>
      </c>
      <c r="AT18" s="70" t="n">
        <f aca="false">AQ18+AR18*(1+AS18)</f>
        <v>750000</v>
      </c>
      <c r="AU18" s="105" t="n">
        <f aca="false">MIN(1,MAX(0,(Assumptions!$C$10-AJ18+1)/(AK18-AJ18+1)))</f>
        <v>0</v>
      </c>
      <c r="AV18" s="105" t="n">
        <f aca="false">3*AU18^2-2*AU18^3</f>
        <v>0</v>
      </c>
      <c r="AW18" s="70" t="n">
        <f aca="false">Q18*AE18*(1-R18*(0&gt;=AK18+1)-(1-R18)*(0&gt;=AN18))</f>
        <v>0</v>
      </c>
      <c r="AX18" s="70" t="n">
        <f aca="false">U18*AG18*(1-R18*(0&gt;=AK18+1)-(1-R18)*(0&gt;=AN18))</f>
        <v>0</v>
      </c>
      <c r="AY18" s="125" t="n">
        <f aca="false">T18+Assumptions!$F$122</f>
        <v>30</v>
      </c>
      <c r="AZ18" s="60"/>
    </row>
    <row r="19" customFormat="false" ht="15" hidden="false" customHeight="false" outlineLevel="0" collapsed="false">
      <c r="A19" s="111" t="s">
        <v>702</v>
      </c>
      <c r="B19" s="111" t="s">
        <v>1404</v>
      </c>
      <c r="C19" s="111" t="s">
        <v>1405</v>
      </c>
      <c r="D19" s="111" t="s">
        <v>35</v>
      </c>
      <c r="E19" s="111" t="s">
        <v>51</v>
      </c>
      <c r="F19" s="111" t="s">
        <v>1406</v>
      </c>
      <c r="G19" s="124" t="n">
        <v>46538</v>
      </c>
      <c r="H19" s="115" t="n">
        <v>0.25</v>
      </c>
      <c r="I19" s="115" t="n">
        <v>0.15</v>
      </c>
      <c r="J19" s="115" t="n">
        <v>0.35</v>
      </c>
      <c r="K19" s="60" t="n">
        <f aca="false">CHOOSE(Assumptions!$C$11,H19,I19,J19)</f>
        <v>0.25</v>
      </c>
      <c r="L19" s="124" t="n">
        <v>46568</v>
      </c>
      <c r="M19" s="124" t="n">
        <v>46691</v>
      </c>
      <c r="N19" s="71" t="n">
        <v>720000</v>
      </c>
      <c r="O19" s="71" t="n">
        <v>622000</v>
      </c>
      <c r="P19" s="60" t="n">
        <f aca="false">IF(N19=0,0,1-O19/N19)</f>
        <v>0.136111111111111</v>
      </c>
      <c r="Q19" s="115" t="n">
        <v>0.05</v>
      </c>
      <c r="R19" s="115" t="n">
        <v>0.5</v>
      </c>
      <c r="S19" s="119" t="n">
        <v>12</v>
      </c>
      <c r="T19" s="119" t="n">
        <v>30</v>
      </c>
      <c r="U19" s="115" t="n">
        <v>0.05</v>
      </c>
      <c r="V19" s="115" t="n">
        <v>0.1</v>
      </c>
      <c r="W19" s="115" t="n">
        <v>0.135</v>
      </c>
      <c r="X19" s="115" t="n">
        <v>0.16</v>
      </c>
      <c r="Y19" s="115" t="n">
        <v>0.5</v>
      </c>
      <c r="Z19" s="115" t="n">
        <v>0.24</v>
      </c>
      <c r="AA19" s="115" t="n">
        <v>0.03</v>
      </c>
      <c r="AB19" s="60" t="n">
        <f aca="false">1-X19-Y19-Z19-AA19</f>
        <v>0.07</v>
      </c>
      <c r="AC19" s="71" t="n">
        <v>0</v>
      </c>
      <c r="AD19" s="71" t="n">
        <v>0</v>
      </c>
      <c r="AE19" s="71" t="n">
        <v>0</v>
      </c>
      <c r="AF19" s="71" t="n">
        <v>0</v>
      </c>
      <c r="AG19" s="71" t="n">
        <v>0</v>
      </c>
      <c r="AH19" s="125" t="n">
        <f aca="false">IF(OR(E19="Contracted",E19="Pipeline"),Assumptions!$F$117,0)</f>
        <v>0</v>
      </c>
      <c r="AI19" s="125" t="n">
        <f aca="false">IF(E19="In progress",Assumptions!$F$118,0)</f>
        <v>0</v>
      </c>
      <c r="AJ19" s="125" t="n">
        <f aca="false">((YEAR(L19)-YEAR(Assumptions!$C$8))*12+MONTH(L19)-MONTH(Assumptions!$C$8)+1)+AH19</f>
        <v>18</v>
      </c>
      <c r="AK19" s="125" t="n">
        <f aca="false">((YEAR(M19)-YEAR(Assumptions!$C$8))*12+MONTH(M19)-MONTH(Assumptions!$C$8)+1)+AH19+AI19</f>
        <v>22</v>
      </c>
      <c r="AL19" s="125" t="n">
        <f aca="false">((YEAR(G19)-YEAR(Assumptions!$C$8))*12+MONTH(G19)-MONTH(Assumptions!$C$8)+1)+IF(E19="Pipeline",AH19,0)</f>
        <v>17</v>
      </c>
      <c r="AM19" s="125" t="n">
        <f aca="false">AK19+Assumptions!$C$75</f>
        <v>25</v>
      </c>
      <c r="AN19" s="125" t="n">
        <f aca="false">AK19+S19+1</f>
        <v>35</v>
      </c>
      <c r="AO19" s="70" t="n">
        <f aca="false">N19*K19</f>
        <v>180000</v>
      </c>
      <c r="AP19" s="70" t="n">
        <f aca="false">O19*K19</f>
        <v>155500</v>
      </c>
      <c r="AQ19" s="70" t="n">
        <f aca="false">AC19</f>
        <v>0</v>
      </c>
      <c r="AR19" s="70" t="n">
        <f aca="false">AP19</f>
        <v>155500</v>
      </c>
      <c r="AS19" s="60" t="n">
        <f aca="false">IF(E19="In progress",Assumptions!$F$119,IF(OR(E19="Contracted",E19="Pipeline"),Assumptions!$F$120,0))</f>
        <v>0</v>
      </c>
      <c r="AT19" s="70" t="n">
        <f aca="false">AQ19+AR19*(1+AS19)</f>
        <v>155500</v>
      </c>
      <c r="AU19" s="105" t="n">
        <f aca="false">MIN(1,MAX(0,(Assumptions!$C$10-AJ19+1)/(AK19-AJ19+1)))</f>
        <v>0</v>
      </c>
      <c r="AV19" s="105" t="n">
        <f aca="false">3*AU19^2-2*AU19^3</f>
        <v>0</v>
      </c>
      <c r="AW19" s="70" t="n">
        <f aca="false">Q19*AE19*(1-R19*(0&gt;=AK19+1)-(1-R19)*(0&gt;=AN19))</f>
        <v>0</v>
      </c>
      <c r="AX19" s="70" t="n">
        <f aca="false">U19*AG19*(1-R19*(0&gt;=AK19+1)-(1-R19)*(0&gt;=AN19))</f>
        <v>0</v>
      </c>
      <c r="AY19" s="125" t="n">
        <f aca="false">T19+Assumptions!$F$122</f>
        <v>30</v>
      </c>
      <c r="AZ19" s="60"/>
    </row>
    <row r="20" customFormat="false" ht="15" hidden="false" customHeight="false" outlineLevel="0" collapsed="false">
      <c r="A20" s="111" t="s">
        <v>703</v>
      </c>
      <c r="B20" s="111" t="s">
        <v>1407</v>
      </c>
      <c r="C20" s="111" t="s">
        <v>1408</v>
      </c>
      <c r="D20" s="111" t="s">
        <v>35</v>
      </c>
      <c r="E20" s="111" t="s">
        <v>51</v>
      </c>
      <c r="F20" s="111" t="s">
        <v>1409</v>
      </c>
      <c r="G20" s="124" t="n">
        <v>46599</v>
      </c>
      <c r="H20" s="115" t="n">
        <v>0.4</v>
      </c>
      <c r="I20" s="115" t="n">
        <v>0.25</v>
      </c>
      <c r="J20" s="115" t="n">
        <v>0.55</v>
      </c>
      <c r="K20" s="60" t="n">
        <f aca="false">CHOOSE(Assumptions!$C$11,H20,I20,J20)</f>
        <v>0.4</v>
      </c>
      <c r="L20" s="124" t="n">
        <v>46630</v>
      </c>
      <c r="M20" s="124" t="n">
        <v>46812</v>
      </c>
      <c r="N20" s="71" t="n">
        <v>960000</v>
      </c>
      <c r="O20" s="71" t="n">
        <v>830000</v>
      </c>
      <c r="P20" s="60" t="n">
        <f aca="false">IF(N20=0,0,1-O20/N20)</f>
        <v>0.135416666666667</v>
      </c>
      <c r="Q20" s="115" t="n">
        <v>0.05</v>
      </c>
      <c r="R20" s="115" t="n">
        <v>0.5</v>
      </c>
      <c r="S20" s="119" t="n">
        <v>12</v>
      </c>
      <c r="T20" s="119" t="n">
        <v>30</v>
      </c>
      <c r="U20" s="115" t="n">
        <v>0.05</v>
      </c>
      <c r="V20" s="115" t="n">
        <v>0.1</v>
      </c>
      <c r="W20" s="115" t="n">
        <v>0.135</v>
      </c>
      <c r="X20" s="115" t="n">
        <v>0.16</v>
      </c>
      <c r="Y20" s="115" t="n">
        <v>0.5</v>
      </c>
      <c r="Z20" s="115" t="n">
        <v>0.24</v>
      </c>
      <c r="AA20" s="115" t="n">
        <v>0.03</v>
      </c>
      <c r="AB20" s="60" t="n">
        <f aca="false">1-X20-Y20-Z20-AA20</f>
        <v>0.07</v>
      </c>
      <c r="AC20" s="71" t="n">
        <v>0</v>
      </c>
      <c r="AD20" s="71" t="n">
        <v>0</v>
      </c>
      <c r="AE20" s="71" t="n">
        <v>0</v>
      </c>
      <c r="AF20" s="71" t="n">
        <v>0</v>
      </c>
      <c r="AG20" s="71" t="n">
        <v>0</v>
      </c>
      <c r="AH20" s="125" t="n">
        <f aca="false">IF(OR(E20="Contracted",E20="Pipeline"),Assumptions!$F$117,0)</f>
        <v>0</v>
      </c>
      <c r="AI20" s="125" t="n">
        <f aca="false">IF(E20="In progress",Assumptions!$F$118,0)</f>
        <v>0</v>
      </c>
      <c r="AJ20" s="125" t="n">
        <f aca="false">((YEAR(L20)-YEAR(Assumptions!$C$8))*12+MONTH(L20)-MONTH(Assumptions!$C$8)+1)+AH20</f>
        <v>20</v>
      </c>
      <c r="AK20" s="125" t="n">
        <f aca="false">((YEAR(M20)-YEAR(Assumptions!$C$8))*12+MONTH(M20)-MONTH(Assumptions!$C$8)+1)+AH20+AI20</f>
        <v>26</v>
      </c>
      <c r="AL20" s="125" t="n">
        <f aca="false">((YEAR(G20)-YEAR(Assumptions!$C$8))*12+MONTH(G20)-MONTH(Assumptions!$C$8)+1)+IF(E20="Pipeline",AH20,0)</f>
        <v>19</v>
      </c>
      <c r="AM20" s="125" t="n">
        <f aca="false">AK20+Assumptions!$C$75</f>
        <v>29</v>
      </c>
      <c r="AN20" s="125" t="n">
        <f aca="false">AK20+S20+1</f>
        <v>39</v>
      </c>
      <c r="AO20" s="70" t="n">
        <f aca="false">N20*K20</f>
        <v>384000</v>
      </c>
      <c r="AP20" s="70" t="n">
        <f aca="false">O20*K20</f>
        <v>332000</v>
      </c>
      <c r="AQ20" s="70" t="n">
        <f aca="false">AC20</f>
        <v>0</v>
      </c>
      <c r="AR20" s="70" t="n">
        <f aca="false">AP20</f>
        <v>332000</v>
      </c>
      <c r="AS20" s="60" t="n">
        <f aca="false">IF(E20="In progress",Assumptions!$F$119,IF(OR(E20="Contracted",E20="Pipeline"),Assumptions!$F$120,0))</f>
        <v>0</v>
      </c>
      <c r="AT20" s="70" t="n">
        <f aca="false">AQ20+AR20*(1+AS20)</f>
        <v>332000</v>
      </c>
      <c r="AU20" s="105" t="n">
        <f aca="false">MIN(1,MAX(0,(Assumptions!$C$10-AJ20+1)/(AK20-AJ20+1)))</f>
        <v>0</v>
      </c>
      <c r="AV20" s="105" t="n">
        <f aca="false">3*AU20^2-2*AU20^3</f>
        <v>0</v>
      </c>
      <c r="AW20" s="70" t="n">
        <f aca="false">Q20*AE20*(1-R20*(0&gt;=AK20+1)-(1-R20)*(0&gt;=AN20))</f>
        <v>0</v>
      </c>
      <c r="AX20" s="70" t="n">
        <f aca="false">U20*AG20*(1-R20*(0&gt;=AK20+1)-(1-R20)*(0&gt;=AN20))</f>
        <v>0</v>
      </c>
      <c r="AY20" s="125" t="n">
        <f aca="false">T20+Assumptions!$F$122</f>
        <v>30</v>
      </c>
      <c r="AZ20" s="60"/>
    </row>
    <row r="21" customFormat="false" ht="15" hidden="false" customHeight="false" outlineLevel="0" collapsed="false">
      <c r="A21" s="111" t="s">
        <v>704</v>
      </c>
      <c r="B21" s="111" t="s">
        <v>1410</v>
      </c>
      <c r="C21" s="111" t="s">
        <v>1411</v>
      </c>
      <c r="D21" s="111" t="s">
        <v>35</v>
      </c>
      <c r="E21" s="111" t="s">
        <v>51</v>
      </c>
      <c r="F21" s="111" t="s">
        <v>1409</v>
      </c>
      <c r="G21" s="124" t="n">
        <v>46630</v>
      </c>
      <c r="H21" s="115" t="n">
        <v>0.3</v>
      </c>
      <c r="I21" s="115" t="n">
        <v>0.2</v>
      </c>
      <c r="J21" s="115" t="n">
        <v>0.4</v>
      </c>
      <c r="K21" s="60" t="n">
        <f aca="false">CHOOSE(Assumptions!$C$11,H21,I21,J21)</f>
        <v>0.3</v>
      </c>
      <c r="L21" s="124" t="n">
        <v>46660</v>
      </c>
      <c r="M21" s="124" t="n">
        <v>46873</v>
      </c>
      <c r="N21" s="71" t="n">
        <v>1080000</v>
      </c>
      <c r="O21" s="71" t="n">
        <v>935000</v>
      </c>
      <c r="P21" s="60" t="n">
        <f aca="false">IF(N21=0,0,1-O21/N21)</f>
        <v>0.134259259259259</v>
      </c>
      <c r="Q21" s="115" t="n">
        <v>0.03</v>
      </c>
      <c r="R21" s="115" t="n">
        <v>0.5</v>
      </c>
      <c r="S21" s="119" t="n">
        <v>12</v>
      </c>
      <c r="T21" s="119" t="n">
        <v>45</v>
      </c>
      <c r="U21" s="115" t="n">
        <v>0.05</v>
      </c>
      <c r="V21" s="115" t="n">
        <v>0.1</v>
      </c>
      <c r="W21" s="115" t="n">
        <v>0.135</v>
      </c>
      <c r="X21" s="115" t="n">
        <v>0.16</v>
      </c>
      <c r="Y21" s="115" t="n">
        <v>0.5</v>
      </c>
      <c r="Z21" s="115" t="n">
        <v>0.24</v>
      </c>
      <c r="AA21" s="115" t="n">
        <v>0.03</v>
      </c>
      <c r="AB21" s="60" t="n">
        <f aca="false">1-X21-Y21-Z21-AA21</f>
        <v>0.07</v>
      </c>
      <c r="AC21" s="71" t="n">
        <v>0</v>
      </c>
      <c r="AD21" s="71" t="n">
        <v>0</v>
      </c>
      <c r="AE21" s="71" t="n">
        <v>0</v>
      </c>
      <c r="AF21" s="71" t="n">
        <v>0</v>
      </c>
      <c r="AG21" s="71" t="n">
        <v>0</v>
      </c>
      <c r="AH21" s="125" t="n">
        <f aca="false">IF(OR(E21="Contracted",E21="Pipeline"),Assumptions!$F$117,0)</f>
        <v>0</v>
      </c>
      <c r="AI21" s="125" t="n">
        <f aca="false">IF(E21="In progress",Assumptions!$F$118,0)</f>
        <v>0</v>
      </c>
      <c r="AJ21" s="125" t="n">
        <f aca="false">((YEAR(L21)-YEAR(Assumptions!$C$8))*12+MONTH(L21)-MONTH(Assumptions!$C$8)+1)+AH21</f>
        <v>21</v>
      </c>
      <c r="AK21" s="125" t="n">
        <f aca="false">((YEAR(M21)-YEAR(Assumptions!$C$8))*12+MONTH(M21)-MONTH(Assumptions!$C$8)+1)+AH21+AI21</f>
        <v>28</v>
      </c>
      <c r="AL21" s="125" t="n">
        <f aca="false">((YEAR(G21)-YEAR(Assumptions!$C$8))*12+MONTH(G21)-MONTH(Assumptions!$C$8)+1)+IF(E21="Pipeline",AH21,0)</f>
        <v>20</v>
      </c>
      <c r="AM21" s="125" t="n">
        <f aca="false">AK21+Assumptions!$C$75</f>
        <v>31</v>
      </c>
      <c r="AN21" s="125" t="n">
        <f aca="false">AK21+S21+1</f>
        <v>41</v>
      </c>
      <c r="AO21" s="70" t="n">
        <f aca="false">N21*K21</f>
        <v>324000</v>
      </c>
      <c r="AP21" s="70" t="n">
        <f aca="false">O21*K21</f>
        <v>280500</v>
      </c>
      <c r="AQ21" s="70" t="n">
        <f aca="false">AC21</f>
        <v>0</v>
      </c>
      <c r="AR21" s="70" t="n">
        <f aca="false">AP21</f>
        <v>280500</v>
      </c>
      <c r="AS21" s="60" t="n">
        <f aca="false">IF(E21="In progress",Assumptions!$F$119,IF(OR(E21="Contracted",E21="Pipeline"),Assumptions!$F$120,0))</f>
        <v>0</v>
      </c>
      <c r="AT21" s="70" t="n">
        <f aca="false">AQ21+AR21*(1+AS21)</f>
        <v>280500</v>
      </c>
      <c r="AU21" s="105" t="n">
        <f aca="false">MIN(1,MAX(0,(Assumptions!$C$10-AJ21+1)/(AK21-AJ21+1)))</f>
        <v>0</v>
      </c>
      <c r="AV21" s="105" t="n">
        <f aca="false">3*AU21^2-2*AU21^3</f>
        <v>0</v>
      </c>
      <c r="AW21" s="70" t="n">
        <f aca="false">Q21*AE21*(1-R21*(0&gt;=AK21+1)-(1-R21)*(0&gt;=AN21))</f>
        <v>0</v>
      </c>
      <c r="AX21" s="70" t="n">
        <f aca="false">U21*AG21*(1-R21*(0&gt;=AK21+1)-(1-R21)*(0&gt;=AN21))</f>
        <v>0</v>
      </c>
      <c r="AY21" s="125" t="n">
        <f aca="false">T21+Assumptions!$F$122</f>
        <v>45</v>
      </c>
      <c r="AZ21" s="60"/>
    </row>
    <row r="22" customFormat="false" ht="15" hidden="false" customHeight="false" outlineLevel="0" collapsed="false">
      <c r="A22" s="79" t="s">
        <v>524</v>
      </c>
      <c r="N22" s="80" t="n">
        <f aca="false">SUM(N7:N21)</f>
        <v>15620000</v>
      </c>
      <c r="O22" s="80" t="n">
        <f aca="false">SUM(O7:O21)</f>
        <v>13562000</v>
      </c>
      <c r="AC22" s="80" t="n">
        <f aca="false">SUM(AC7:AC21)</f>
        <v>1025812.4</v>
      </c>
      <c r="AD22" s="80" t="n">
        <f aca="false">SUM(AD7:AD21)</f>
        <v>1205453.88</v>
      </c>
      <c r="AE22" s="80" t="n">
        <f aca="false">SUM(AE7:AE21)</f>
        <v>833715.43</v>
      </c>
      <c r="AF22" s="80" t="n">
        <f aca="false">SUM(AF7:AF21)</f>
        <v>376593.95</v>
      </c>
      <c r="AG22" s="80" t="n">
        <f aca="false">SUM(AG7:AG21)</f>
        <v>528346.1</v>
      </c>
      <c r="AO22" s="80" t="n">
        <f aca="false">SUM(AO7:AO21)</f>
        <v>11457500</v>
      </c>
      <c r="AP22" s="80" t="n">
        <f aca="false">SUM(AP7:AP21)</f>
        <v>9954250</v>
      </c>
      <c r="AQ22" s="80" t="n">
        <f aca="false">SUM(AQ7:AQ21)</f>
        <v>3281929.66</v>
      </c>
      <c r="AR22" s="80" t="n">
        <f aca="false">SUM(AR7:AR21)</f>
        <v>6868320.35</v>
      </c>
      <c r="AT22" s="80" t="n">
        <f aca="false">SUM(AT7:AT21)</f>
        <v>10150250.01</v>
      </c>
      <c r="AW22" s="80" t="n">
        <f aca="false">SUM(AW7:AW21)</f>
        <v>41685.7715</v>
      </c>
      <c r="AX22" s="80" t="n">
        <f aca="false">SUM(AX7:AX21)</f>
        <v>26417.305</v>
      </c>
    </row>
    <row r="24" customFormat="false" ht="15" hidden="false" customHeight="false" outlineLevel="0" collapsed="false">
      <c r="A24" s="24" t="s">
        <v>1412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12"/>
    <col collapsed="false" customWidth="true" hidden="false" outlineLevel="0" max="7" min="3" style="0" width="13"/>
    <col collapsed="false" customWidth="true" hidden="false" outlineLevel="0" max="8" min="8" style="0" width="70"/>
  </cols>
  <sheetData>
    <row r="1" customFormat="false" ht="15" hidden="false" customHeight="false" outlineLevel="0" collapsed="false">
      <c r="A1" s="19" t="s">
        <v>1413</v>
      </c>
    </row>
    <row r="2" customFormat="false" ht="17.35" hidden="false" customHeight="false" outlineLevel="0" collapsed="false">
      <c r="A2" s="20" t="s">
        <v>1414</v>
      </c>
    </row>
    <row r="3" customFormat="false" ht="15" hidden="false" customHeight="false" outlineLevel="0" collapsed="false">
      <c r="A3" s="24" t="s">
        <v>1415</v>
      </c>
    </row>
    <row r="5" customFormat="false" ht="15" hidden="false" customHeight="false" outlineLevel="0" collapsed="false">
      <c r="A5" s="21" t="s">
        <v>1416</v>
      </c>
      <c r="B5" s="22"/>
      <c r="C5" s="22"/>
      <c r="D5" s="22"/>
      <c r="E5" s="22"/>
      <c r="F5" s="22"/>
      <c r="G5" s="22"/>
      <c r="H5" s="22"/>
    </row>
    <row r="6" customFormat="false" ht="15" hidden="false" customHeight="false" outlineLevel="0" collapsed="false">
      <c r="A6" s="27" t="s">
        <v>1417</v>
      </c>
      <c r="B6" s="56"/>
      <c r="C6" s="111" t="s">
        <v>1418</v>
      </c>
      <c r="D6" s="56" t="s">
        <v>1419</v>
      </c>
    </row>
    <row r="7" customFormat="false" ht="15" hidden="false" customHeight="false" outlineLevel="0" collapsed="false">
      <c r="A7" s="27" t="s">
        <v>1420</v>
      </c>
      <c r="B7" s="56"/>
      <c r="C7" s="111" t="s">
        <v>6</v>
      </c>
    </row>
    <row r="8" customFormat="false" ht="15" hidden="false" customHeight="false" outlineLevel="0" collapsed="false">
      <c r="A8" s="27" t="s">
        <v>1421</v>
      </c>
      <c r="B8" s="56" t="s">
        <v>1422</v>
      </c>
      <c r="C8" s="112" t="n">
        <v>46053</v>
      </c>
      <c r="D8" s="56" t="s">
        <v>1423</v>
      </c>
    </row>
    <row r="9" customFormat="false" ht="15" hidden="false" customHeight="false" outlineLevel="0" collapsed="false">
      <c r="A9" s="27" t="s">
        <v>1424</v>
      </c>
      <c r="B9" s="56" t="s">
        <v>1422</v>
      </c>
      <c r="C9" s="112" t="n">
        <v>46265</v>
      </c>
      <c r="D9" s="56" t="s">
        <v>1425</v>
      </c>
    </row>
    <row r="10" customFormat="false" ht="15" hidden="false" customHeight="false" outlineLevel="0" collapsed="false">
      <c r="A10" s="27" t="s">
        <v>1426</v>
      </c>
      <c r="B10" s="56" t="s">
        <v>1427</v>
      </c>
      <c r="C10" s="34" t="n">
        <f aca="false">MATCH(Assumptions!$C$9,Assumptions!$E$95:$AB$95,0)</f>
        <v>8</v>
      </c>
    </row>
    <row r="11" customFormat="false" ht="15" hidden="false" customHeight="false" outlineLevel="0" collapsed="false">
      <c r="A11" s="27" t="s">
        <v>1428</v>
      </c>
      <c r="B11" s="56" t="s">
        <v>1218</v>
      </c>
      <c r="C11" s="126" t="n">
        <v>1</v>
      </c>
      <c r="D11" s="56" t="s">
        <v>1429</v>
      </c>
    </row>
    <row r="12" customFormat="false" ht="15" hidden="false" customHeight="false" outlineLevel="0" collapsed="false">
      <c r="A12" s="27" t="s">
        <v>1430</v>
      </c>
      <c r="B12" s="56" t="s">
        <v>1427</v>
      </c>
      <c r="C12" s="127" t="str">
        <f aca="false">CHOOSE(Assumptions!$C$11,"Base","Downside","Upside")</f>
        <v>Base</v>
      </c>
    </row>
    <row r="13" customFormat="false" ht="15" hidden="false" customHeight="false" outlineLevel="0" collapsed="false">
      <c r="A13" s="27" t="s">
        <v>651</v>
      </c>
      <c r="B13" s="56" t="s">
        <v>6</v>
      </c>
      <c r="C13" s="71" t="n">
        <v>200000</v>
      </c>
      <c r="D13" s="56" t="s">
        <v>1431</v>
      </c>
    </row>
    <row r="14" customFormat="false" ht="15" hidden="false" customHeight="false" outlineLevel="0" collapsed="false">
      <c r="A14" s="27" t="s">
        <v>1432</v>
      </c>
      <c r="B14" s="56" t="s">
        <v>6</v>
      </c>
      <c r="C14" s="71" t="n">
        <v>250000</v>
      </c>
      <c r="D14" s="56" t="s">
        <v>1433</v>
      </c>
    </row>
    <row r="15" customFormat="false" ht="15" hidden="false" customHeight="false" outlineLevel="0" collapsed="false">
      <c r="A15" s="27" t="s">
        <v>1434</v>
      </c>
      <c r="B15" s="56" t="s">
        <v>6</v>
      </c>
      <c r="C15" s="71" t="n">
        <v>750000</v>
      </c>
      <c r="D15" s="56" t="s">
        <v>1435</v>
      </c>
    </row>
    <row r="16" customFormat="false" ht="15" hidden="false" customHeight="false" outlineLevel="0" collapsed="false">
      <c r="A16" s="27" t="s">
        <v>1436</v>
      </c>
      <c r="B16" s="56" t="s">
        <v>1437</v>
      </c>
      <c r="C16" s="115" t="n">
        <v>0.016</v>
      </c>
      <c r="D16" s="56" t="s">
        <v>1438</v>
      </c>
    </row>
    <row r="17" customFormat="false" ht="15" hidden="false" customHeight="false" outlineLevel="0" collapsed="false">
      <c r="A17" s="27" t="s">
        <v>1439</v>
      </c>
      <c r="B17" s="56" t="s">
        <v>1427</v>
      </c>
      <c r="C17" s="102" t="n">
        <f aca="false">Assumptions!$C$9</f>
        <v>46265</v>
      </c>
    </row>
    <row r="19" customFormat="false" ht="15" hidden="false" customHeight="false" outlineLevel="0" collapsed="false">
      <c r="A19" s="21" t="s">
        <v>1440</v>
      </c>
      <c r="B19" s="22"/>
      <c r="C19" s="22"/>
      <c r="D19" s="22"/>
      <c r="E19" s="22"/>
      <c r="F19" s="22"/>
      <c r="G19" s="22"/>
      <c r="H19" s="22"/>
    </row>
    <row r="20" customFormat="false" ht="15" hidden="false" customHeight="false" outlineLevel="0" collapsed="false">
      <c r="A20" s="27" t="s">
        <v>1441</v>
      </c>
      <c r="B20" s="56" t="s">
        <v>1437</v>
      </c>
      <c r="C20" s="115" t="n">
        <v>0.125</v>
      </c>
      <c r="D20" s="56" t="s">
        <v>1442</v>
      </c>
    </row>
    <row r="21" customFormat="false" ht="15" hidden="false" customHeight="false" outlineLevel="0" collapsed="false">
      <c r="A21" s="27" t="s">
        <v>1443</v>
      </c>
      <c r="B21" s="56" t="s">
        <v>6</v>
      </c>
      <c r="C21" s="71" t="n">
        <v>32000</v>
      </c>
      <c r="D21" s="56" t="s">
        <v>1444</v>
      </c>
    </row>
    <row r="22" customFormat="false" ht="15" hidden="false" customHeight="false" outlineLevel="0" collapsed="false">
      <c r="A22" s="27" t="s">
        <v>1445</v>
      </c>
      <c r="B22" s="56" t="s">
        <v>6</v>
      </c>
      <c r="C22" s="71" t="n">
        <v>200000</v>
      </c>
      <c r="D22" s="56" t="s">
        <v>1446</v>
      </c>
    </row>
    <row r="23" customFormat="false" ht="15" hidden="false" customHeight="false" outlineLevel="0" collapsed="false">
      <c r="A23" s="27" t="s">
        <v>1447</v>
      </c>
      <c r="B23" s="56" t="s">
        <v>1437</v>
      </c>
      <c r="C23" s="115" t="n">
        <v>0.135</v>
      </c>
      <c r="D23" s="56" t="s">
        <v>1448</v>
      </c>
    </row>
    <row r="24" customFormat="false" ht="15" hidden="false" customHeight="false" outlineLevel="0" collapsed="false">
      <c r="A24" s="27" t="s">
        <v>1449</v>
      </c>
      <c r="B24" s="56" t="s">
        <v>1437</v>
      </c>
      <c r="C24" s="115" t="n">
        <v>0.23</v>
      </c>
      <c r="D24" s="56" t="s">
        <v>1450</v>
      </c>
    </row>
    <row r="25" customFormat="false" ht="15" hidden="false" customHeight="false" outlineLevel="0" collapsed="false">
      <c r="A25" s="27" t="s">
        <v>1451</v>
      </c>
      <c r="B25" s="56" t="s">
        <v>1452</v>
      </c>
      <c r="C25" s="115" t="n">
        <v>0.62</v>
      </c>
      <c r="D25" s="56" t="s">
        <v>1453</v>
      </c>
    </row>
    <row r="26" customFormat="false" ht="15" hidden="false" customHeight="false" outlineLevel="0" collapsed="false">
      <c r="A26" s="27" t="s">
        <v>1454</v>
      </c>
      <c r="B26" s="56" t="s">
        <v>1452</v>
      </c>
      <c r="C26" s="115" t="n">
        <v>0.6</v>
      </c>
      <c r="D26" s="56" t="s">
        <v>1455</v>
      </c>
    </row>
    <row r="27" customFormat="false" ht="15" hidden="false" customHeight="false" outlineLevel="0" collapsed="false">
      <c r="A27" s="27" t="s">
        <v>1456</v>
      </c>
      <c r="B27" s="56" t="s">
        <v>1452</v>
      </c>
      <c r="C27" s="115" t="n">
        <v>1</v>
      </c>
      <c r="D27" s="56" t="s">
        <v>1457</v>
      </c>
    </row>
    <row r="28" customFormat="false" ht="15" hidden="false" customHeight="false" outlineLevel="0" collapsed="false">
      <c r="A28" s="27" t="s">
        <v>1458</v>
      </c>
      <c r="B28" s="56" t="s">
        <v>1437</v>
      </c>
      <c r="C28" s="115" t="n">
        <v>0.037</v>
      </c>
      <c r="D28" s="56" t="s">
        <v>1459</v>
      </c>
    </row>
    <row r="29" customFormat="false" ht="15" hidden="false" customHeight="false" outlineLevel="0" collapsed="false">
      <c r="A29" s="27" t="s">
        <v>1460</v>
      </c>
      <c r="B29" s="56" t="s">
        <v>1437</v>
      </c>
      <c r="C29" s="128" t="n">
        <v>0.1125</v>
      </c>
      <c r="D29" s="56" t="s">
        <v>1461</v>
      </c>
    </row>
    <row r="30" customFormat="false" ht="15" hidden="false" customHeight="false" outlineLevel="0" collapsed="false">
      <c r="A30" s="27" t="s">
        <v>1462</v>
      </c>
      <c r="B30" s="56" t="s">
        <v>1437</v>
      </c>
      <c r="C30" s="128" t="n">
        <v>0.114</v>
      </c>
      <c r="D30" s="56" t="s">
        <v>1463</v>
      </c>
    </row>
    <row r="31" customFormat="false" ht="15" hidden="false" customHeight="false" outlineLevel="0" collapsed="false">
      <c r="A31" s="27" t="s">
        <v>1464</v>
      </c>
      <c r="B31" s="56" t="s">
        <v>1452</v>
      </c>
      <c r="C31" s="115" t="n">
        <v>0.05</v>
      </c>
      <c r="D31" s="56" t="s">
        <v>1465</v>
      </c>
    </row>
    <row r="32" customFormat="false" ht="15" hidden="false" customHeight="false" outlineLevel="0" collapsed="false">
      <c r="A32" s="27" t="s">
        <v>1466</v>
      </c>
      <c r="B32" s="56" t="s">
        <v>1452</v>
      </c>
      <c r="C32" s="115" t="n">
        <v>0.24</v>
      </c>
      <c r="D32" s="56" t="s">
        <v>1467</v>
      </c>
    </row>
    <row r="34" customFormat="false" ht="15" hidden="false" customHeight="false" outlineLevel="0" collapsed="false">
      <c r="A34" s="21" t="s">
        <v>1468</v>
      </c>
      <c r="B34" s="22"/>
      <c r="C34" s="22"/>
      <c r="D34" s="22"/>
      <c r="E34" s="22"/>
      <c r="F34" s="22"/>
      <c r="G34" s="22"/>
      <c r="H34" s="22"/>
    </row>
    <row r="35" customFormat="false" ht="15" hidden="false" customHeight="false" outlineLevel="0" collapsed="false">
      <c r="A35" s="27" t="s">
        <v>1469</v>
      </c>
      <c r="B35" s="56" t="s">
        <v>1470</v>
      </c>
      <c r="C35" s="119" t="n">
        <v>140</v>
      </c>
      <c r="D35" s="56" t="s">
        <v>1471</v>
      </c>
    </row>
    <row r="36" customFormat="false" ht="15" hidden="false" customHeight="false" outlineLevel="0" collapsed="false">
      <c r="A36" s="27" t="s">
        <v>1472</v>
      </c>
      <c r="B36" s="56" t="s">
        <v>1473</v>
      </c>
      <c r="C36" s="129" t="n">
        <v>39.5</v>
      </c>
      <c r="D36" s="56" t="s">
        <v>1474</v>
      </c>
    </row>
    <row r="37" customFormat="false" ht="15" hidden="false" customHeight="false" outlineLevel="0" collapsed="false">
      <c r="A37" s="27" t="s">
        <v>1475</v>
      </c>
      <c r="B37" s="56" t="s">
        <v>1452</v>
      </c>
      <c r="C37" s="115" t="n">
        <v>0.85</v>
      </c>
    </row>
    <row r="38" customFormat="false" ht="15" hidden="false" customHeight="false" outlineLevel="0" collapsed="false">
      <c r="A38" s="27" t="s">
        <v>1476</v>
      </c>
      <c r="B38" s="56" t="s">
        <v>1473</v>
      </c>
      <c r="C38" s="129" t="n">
        <v>47</v>
      </c>
    </row>
    <row r="39" customFormat="false" ht="15" hidden="false" customHeight="false" outlineLevel="0" collapsed="false">
      <c r="A39" s="27" t="s">
        <v>1477</v>
      </c>
      <c r="B39" s="56" t="s">
        <v>6</v>
      </c>
      <c r="C39" s="71" t="n">
        <v>960</v>
      </c>
    </row>
    <row r="40" customFormat="false" ht="15" hidden="false" customHeight="false" outlineLevel="0" collapsed="false">
      <c r="A40" s="27" t="s">
        <v>1478</v>
      </c>
      <c r="B40" s="56" t="s">
        <v>6</v>
      </c>
      <c r="C40" s="71" t="n">
        <v>2100</v>
      </c>
    </row>
    <row r="41" customFormat="false" ht="15" hidden="false" customHeight="false" outlineLevel="0" collapsed="false">
      <c r="A41" s="27" t="s">
        <v>1479</v>
      </c>
      <c r="B41" s="56" t="s">
        <v>1437</v>
      </c>
      <c r="C41" s="115" t="n">
        <v>0.035</v>
      </c>
    </row>
    <row r="43" customFormat="false" ht="15" hidden="false" customHeight="false" outlineLevel="0" collapsed="false">
      <c r="A43" s="21" t="s">
        <v>1480</v>
      </c>
      <c r="B43" s="22"/>
      <c r="C43" s="22"/>
      <c r="D43" s="22"/>
      <c r="E43" s="22"/>
      <c r="F43" s="22"/>
      <c r="G43" s="22"/>
      <c r="H43" s="22"/>
    </row>
    <row r="44" customFormat="false" ht="15" hidden="false" customHeight="false" outlineLevel="0" collapsed="false">
      <c r="A44" s="27" t="s">
        <v>1481</v>
      </c>
      <c r="B44" s="56" t="s">
        <v>1482</v>
      </c>
      <c r="C44" s="119" t="n">
        <v>3</v>
      </c>
      <c r="D44" s="56" t="s">
        <v>1483</v>
      </c>
    </row>
    <row r="45" customFormat="false" ht="15" hidden="false" customHeight="false" outlineLevel="0" collapsed="false">
      <c r="A45" s="27" t="s">
        <v>1484</v>
      </c>
      <c r="B45" s="56" t="s">
        <v>1482</v>
      </c>
      <c r="C45" s="119" t="n">
        <v>6</v>
      </c>
    </row>
    <row r="46" customFormat="false" ht="15" hidden="false" customHeight="false" outlineLevel="0" collapsed="false">
      <c r="A46" s="27" t="s">
        <v>1485</v>
      </c>
      <c r="B46" s="56" t="s">
        <v>1452</v>
      </c>
      <c r="C46" s="115" t="n">
        <v>0.3</v>
      </c>
      <c r="D46" s="56" t="s">
        <v>1486</v>
      </c>
    </row>
    <row r="47" customFormat="false" ht="15" hidden="false" customHeight="false" outlineLevel="0" collapsed="false">
      <c r="A47" s="27" t="s">
        <v>1487</v>
      </c>
      <c r="B47" s="56" t="s">
        <v>1452</v>
      </c>
      <c r="C47" s="115" t="n">
        <v>0.45</v>
      </c>
    </row>
    <row r="48" customFormat="false" ht="15" hidden="false" customHeight="false" outlineLevel="0" collapsed="false">
      <c r="A48" s="27" t="s">
        <v>1488</v>
      </c>
      <c r="B48" s="56" t="s">
        <v>1452</v>
      </c>
      <c r="C48" s="115" t="n">
        <v>0.25</v>
      </c>
    </row>
    <row r="49" customFormat="false" ht="15" hidden="false" customHeight="false" outlineLevel="0" collapsed="false">
      <c r="A49" s="27" t="s">
        <v>1489</v>
      </c>
      <c r="B49" s="56" t="s">
        <v>1452</v>
      </c>
      <c r="C49" s="115" t="n">
        <v>0.1</v>
      </c>
      <c r="D49" s="56" t="s">
        <v>1490</v>
      </c>
    </row>
    <row r="50" customFormat="false" ht="15" hidden="false" customHeight="false" outlineLevel="0" collapsed="false">
      <c r="A50" s="27" t="s">
        <v>1491</v>
      </c>
      <c r="B50" s="56" t="s">
        <v>1452</v>
      </c>
      <c r="C50" s="115" t="n">
        <v>0.22</v>
      </c>
    </row>
    <row r="51" customFormat="false" ht="15" hidden="false" customHeight="false" outlineLevel="0" collapsed="false">
      <c r="A51" s="27" t="s">
        <v>1492</v>
      </c>
      <c r="B51" s="56" t="s">
        <v>1452</v>
      </c>
      <c r="C51" s="115" t="n">
        <v>0.28</v>
      </c>
    </row>
    <row r="52" customFormat="false" ht="15" hidden="false" customHeight="false" outlineLevel="0" collapsed="false">
      <c r="A52" s="27" t="s">
        <v>1493</v>
      </c>
      <c r="B52" s="56" t="s">
        <v>1452</v>
      </c>
      <c r="C52" s="115" t="n">
        <v>0.25</v>
      </c>
    </row>
    <row r="53" customFormat="false" ht="15" hidden="false" customHeight="false" outlineLevel="0" collapsed="false">
      <c r="A53" s="27" t="s">
        <v>1494</v>
      </c>
      <c r="B53" s="56" t="s">
        <v>1452</v>
      </c>
      <c r="C53" s="115" t="n">
        <v>0.15</v>
      </c>
    </row>
    <row r="54" customFormat="false" ht="15" hidden="false" customHeight="false" outlineLevel="0" collapsed="false">
      <c r="A54" s="27" t="s">
        <v>1495</v>
      </c>
      <c r="B54" s="56" t="s">
        <v>1452</v>
      </c>
      <c r="C54" s="115" t="n">
        <v>0.2</v>
      </c>
      <c r="D54" s="56" t="s">
        <v>1496</v>
      </c>
    </row>
    <row r="55" customFormat="false" ht="15" hidden="false" customHeight="false" outlineLevel="0" collapsed="false">
      <c r="A55" s="27" t="s">
        <v>1497</v>
      </c>
      <c r="B55" s="56" t="s">
        <v>1452</v>
      </c>
      <c r="C55" s="115" t="n">
        <v>0.5</v>
      </c>
      <c r="D55" s="56" t="s">
        <v>1498</v>
      </c>
    </row>
    <row r="56" customFormat="false" ht="15" hidden="false" customHeight="false" outlineLevel="0" collapsed="false">
      <c r="A56" s="27" t="s">
        <v>1499</v>
      </c>
      <c r="B56" s="56" t="s">
        <v>1452</v>
      </c>
      <c r="C56" s="115" t="n">
        <v>0.3</v>
      </c>
      <c r="D56" s="56" t="s">
        <v>1500</v>
      </c>
    </row>
    <row r="57" customFormat="false" ht="15" hidden="false" customHeight="false" outlineLevel="0" collapsed="false">
      <c r="A57" s="27" t="s">
        <v>1501</v>
      </c>
      <c r="B57" s="56" t="s">
        <v>1482</v>
      </c>
      <c r="C57" s="119" t="n">
        <v>1</v>
      </c>
      <c r="D57" s="56" t="s">
        <v>1502</v>
      </c>
    </row>
    <row r="58" customFormat="false" ht="15" hidden="false" customHeight="false" outlineLevel="0" collapsed="false">
      <c r="A58" s="27" t="s">
        <v>1503</v>
      </c>
      <c r="B58" s="56" t="s">
        <v>1452</v>
      </c>
      <c r="C58" s="115" t="n">
        <v>0.15</v>
      </c>
    </row>
    <row r="59" customFormat="false" ht="15" hidden="false" customHeight="false" outlineLevel="0" collapsed="false">
      <c r="A59" s="27" t="s">
        <v>1504</v>
      </c>
      <c r="B59" s="56" t="s">
        <v>1452</v>
      </c>
      <c r="C59" s="115" t="n">
        <v>0.8</v>
      </c>
    </row>
    <row r="60" customFormat="false" ht="15" hidden="false" customHeight="false" outlineLevel="0" collapsed="false">
      <c r="A60" s="27" t="s">
        <v>1505</v>
      </c>
      <c r="B60" s="56" t="s">
        <v>1452</v>
      </c>
      <c r="C60" s="115" t="n">
        <v>0.05</v>
      </c>
    </row>
    <row r="61" customFormat="false" ht="15" hidden="false" customHeight="false" outlineLevel="0" collapsed="false">
      <c r="A61" s="27" t="s">
        <v>1506</v>
      </c>
      <c r="B61" s="56" t="s">
        <v>1482</v>
      </c>
      <c r="C61" s="119" t="n">
        <v>2</v>
      </c>
    </row>
    <row r="62" customFormat="false" ht="15" hidden="false" customHeight="false" outlineLevel="0" collapsed="false">
      <c r="A62" s="27" t="s">
        <v>1507</v>
      </c>
      <c r="B62" s="56" t="s">
        <v>1452</v>
      </c>
      <c r="C62" s="115" t="n">
        <v>0.32</v>
      </c>
    </row>
    <row r="63" customFormat="false" ht="15" hidden="false" customHeight="false" outlineLevel="0" collapsed="false">
      <c r="A63" s="27" t="s">
        <v>1508</v>
      </c>
      <c r="B63" s="56" t="s">
        <v>1452</v>
      </c>
      <c r="C63" s="115" t="n">
        <v>0.3</v>
      </c>
    </row>
    <row r="64" customFormat="false" ht="15" hidden="false" customHeight="false" outlineLevel="0" collapsed="false">
      <c r="A64" s="27" t="s">
        <v>1509</v>
      </c>
      <c r="B64" s="56" t="s">
        <v>1452</v>
      </c>
      <c r="C64" s="115" t="n">
        <v>0.28</v>
      </c>
    </row>
    <row r="65" customFormat="false" ht="15" hidden="false" customHeight="false" outlineLevel="0" collapsed="false">
      <c r="A65" s="27" t="s">
        <v>1510</v>
      </c>
      <c r="B65" s="56" t="s">
        <v>1452</v>
      </c>
      <c r="C65" s="115" t="n">
        <v>0.03</v>
      </c>
    </row>
    <row r="66" customFormat="false" ht="15" hidden="false" customHeight="false" outlineLevel="0" collapsed="false">
      <c r="A66" s="27" t="s">
        <v>1511</v>
      </c>
      <c r="B66" s="56" t="s">
        <v>1452</v>
      </c>
      <c r="C66" s="115" t="n">
        <v>0.07</v>
      </c>
    </row>
    <row r="67" customFormat="false" ht="15" hidden="false" customHeight="false" outlineLevel="0" collapsed="false">
      <c r="A67" s="27" t="s">
        <v>1512</v>
      </c>
      <c r="B67" s="56" t="s">
        <v>1452</v>
      </c>
      <c r="C67" s="115" t="n">
        <v>0.27</v>
      </c>
    </row>
    <row r="68" customFormat="false" ht="15" hidden="false" customHeight="false" outlineLevel="0" collapsed="false">
      <c r="A68" s="27" t="s">
        <v>1513</v>
      </c>
      <c r="B68" s="56" t="s">
        <v>1452</v>
      </c>
      <c r="C68" s="115" t="n">
        <v>0.33</v>
      </c>
    </row>
    <row r="69" customFormat="false" ht="15" hidden="false" customHeight="false" outlineLevel="0" collapsed="false">
      <c r="A69" s="27" t="s">
        <v>1514</v>
      </c>
      <c r="B69" s="56" t="s">
        <v>1452</v>
      </c>
      <c r="C69" s="115" t="n">
        <v>0.3</v>
      </c>
    </row>
    <row r="70" customFormat="false" ht="15" hidden="false" customHeight="false" outlineLevel="0" collapsed="false">
      <c r="A70" s="27" t="s">
        <v>1515</v>
      </c>
      <c r="B70" s="56" t="s">
        <v>1452</v>
      </c>
      <c r="C70" s="115" t="n">
        <v>0.03</v>
      </c>
    </row>
    <row r="71" customFormat="false" ht="15" hidden="false" customHeight="false" outlineLevel="0" collapsed="false">
      <c r="A71" s="27" t="s">
        <v>1516</v>
      </c>
      <c r="B71" s="56" t="s">
        <v>1452</v>
      </c>
      <c r="C71" s="115" t="n">
        <v>0.07</v>
      </c>
    </row>
    <row r="73" customFormat="false" ht="15" hidden="false" customHeight="false" outlineLevel="0" collapsed="false">
      <c r="A73" s="21" t="s">
        <v>1517</v>
      </c>
      <c r="B73" s="22"/>
      <c r="C73" s="22"/>
      <c r="D73" s="22"/>
      <c r="E73" s="22"/>
      <c r="F73" s="22"/>
      <c r="G73" s="22"/>
      <c r="H73" s="22"/>
    </row>
    <row r="74" customFormat="false" ht="15" hidden="false" customHeight="false" outlineLevel="0" collapsed="false">
      <c r="A74" s="27" t="s">
        <v>1518</v>
      </c>
      <c r="B74" s="56" t="s">
        <v>1452</v>
      </c>
      <c r="C74" s="115" t="n">
        <v>0.5</v>
      </c>
      <c r="D74" s="56" t="s">
        <v>1519</v>
      </c>
    </row>
    <row r="75" customFormat="false" ht="15" hidden="false" customHeight="false" outlineLevel="0" collapsed="false">
      <c r="A75" s="27" t="s">
        <v>1520</v>
      </c>
      <c r="B75" s="56" t="s">
        <v>1482</v>
      </c>
      <c r="C75" s="119" t="n">
        <v>3</v>
      </c>
    </row>
    <row r="76" customFormat="false" ht="15" hidden="false" customHeight="false" outlineLevel="0" collapsed="false">
      <c r="A76" s="27" t="s">
        <v>1521</v>
      </c>
      <c r="B76" s="56" t="s">
        <v>1522</v>
      </c>
      <c r="C76" s="119" t="n">
        <v>34</v>
      </c>
      <c r="D76" s="56" t="s">
        <v>1523</v>
      </c>
    </row>
    <row r="77" customFormat="false" ht="15" hidden="false" customHeight="false" outlineLevel="0" collapsed="false">
      <c r="A77" s="27" t="s">
        <v>1524</v>
      </c>
      <c r="B77" s="56" t="s">
        <v>1522</v>
      </c>
      <c r="C77" s="119" t="n">
        <v>46</v>
      </c>
    </row>
    <row r="78" customFormat="false" ht="15" hidden="false" customHeight="false" outlineLevel="0" collapsed="false">
      <c r="A78" s="27" t="s">
        <v>1525</v>
      </c>
      <c r="B78" s="56" t="s">
        <v>1522</v>
      </c>
      <c r="C78" s="119" t="n">
        <v>30</v>
      </c>
    </row>
    <row r="79" customFormat="false" ht="15" hidden="false" customHeight="false" outlineLevel="0" collapsed="false">
      <c r="A79" s="27" t="s">
        <v>1526</v>
      </c>
      <c r="B79" s="56" t="s">
        <v>1522</v>
      </c>
      <c r="C79" s="119" t="n">
        <v>24</v>
      </c>
    </row>
    <row r="80" customFormat="false" ht="15" hidden="false" customHeight="false" outlineLevel="0" collapsed="false">
      <c r="A80" s="27" t="s">
        <v>1527</v>
      </c>
      <c r="B80" s="56" t="s">
        <v>1437</v>
      </c>
      <c r="C80" s="115" t="n">
        <v>0.069</v>
      </c>
    </row>
    <row r="81" customFormat="false" ht="15" hidden="false" customHeight="false" outlineLevel="0" collapsed="false">
      <c r="A81" s="27" t="s">
        <v>1528</v>
      </c>
      <c r="B81" s="56" t="s">
        <v>1482</v>
      </c>
      <c r="C81" s="119" t="n">
        <v>48</v>
      </c>
    </row>
    <row r="82" customFormat="false" ht="15" hidden="false" customHeight="false" outlineLevel="0" collapsed="false">
      <c r="A82" s="27" t="s">
        <v>1529</v>
      </c>
      <c r="B82" s="56" t="s">
        <v>6</v>
      </c>
      <c r="C82" s="71" t="n">
        <v>3900</v>
      </c>
    </row>
    <row r="83" customFormat="false" ht="15" hidden="false" customHeight="false" outlineLevel="0" collapsed="false">
      <c r="A83" s="27" t="s">
        <v>1530</v>
      </c>
      <c r="B83" s="56" t="s">
        <v>1452</v>
      </c>
      <c r="C83" s="115" t="n">
        <v>0.9</v>
      </c>
    </row>
    <row r="84" customFormat="false" ht="15" hidden="false" customHeight="false" outlineLevel="0" collapsed="false">
      <c r="A84" s="27" t="s">
        <v>1531</v>
      </c>
      <c r="B84" s="56" t="s">
        <v>6</v>
      </c>
      <c r="C84" s="71" t="n">
        <v>78000</v>
      </c>
    </row>
    <row r="85" customFormat="false" ht="15" hidden="false" customHeight="false" outlineLevel="0" collapsed="false">
      <c r="A85" s="27" t="s">
        <v>1532</v>
      </c>
      <c r="B85" s="56" t="s">
        <v>554</v>
      </c>
      <c r="C85" s="124" t="n">
        <v>46477</v>
      </c>
    </row>
    <row r="86" customFormat="false" ht="15" hidden="false" customHeight="false" outlineLevel="0" collapsed="false">
      <c r="A86" s="27" t="s">
        <v>1533</v>
      </c>
      <c r="B86" s="56" t="s">
        <v>6</v>
      </c>
      <c r="C86" s="71" t="n">
        <v>1200</v>
      </c>
    </row>
    <row r="87" customFormat="false" ht="15" hidden="false" customHeight="false" outlineLevel="0" collapsed="false">
      <c r="A87" s="27" t="s">
        <v>1534</v>
      </c>
      <c r="B87" s="56" t="s">
        <v>6</v>
      </c>
      <c r="C87" s="71" t="n">
        <v>12000</v>
      </c>
    </row>
    <row r="88" customFormat="false" ht="15" hidden="false" customHeight="false" outlineLevel="0" collapsed="false">
      <c r="A88" s="27" t="s">
        <v>1535</v>
      </c>
      <c r="B88" s="56" t="s">
        <v>554</v>
      </c>
      <c r="C88" s="124" t="n">
        <v>46418</v>
      </c>
    </row>
    <row r="89" customFormat="false" ht="15" hidden="false" customHeight="false" outlineLevel="0" collapsed="false">
      <c r="A89" s="27" t="s">
        <v>1536</v>
      </c>
      <c r="B89" s="56" t="s">
        <v>1537</v>
      </c>
      <c r="C89" s="119" t="n">
        <v>5</v>
      </c>
    </row>
    <row r="90" customFormat="false" ht="15" hidden="false" customHeight="false" outlineLevel="0" collapsed="false">
      <c r="A90" s="27" t="s">
        <v>1538</v>
      </c>
      <c r="B90" s="56" t="s">
        <v>1537</v>
      </c>
      <c r="C90" s="119" t="n">
        <v>4</v>
      </c>
    </row>
    <row r="91" customFormat="false" ht="15" hidden="false" customHeight="false" outlineLevel="0" collapsed="false">
      <c r="A91" s="27" t="s">
        <v>1539</v>
      </c>
      <c r="B91" s="56" t="s">
        <v>1537</v>
      </c>
      <c r="C91" s="119" t="n">
        <v>3</v>
      </c>
    </row>
    <row r="92" customFormat="false" ht="15" hidden="false" customHeight="false" outlineLevel="0" collapsed="false">
      <c r="A92" s="27" t="s">
        <v>1540</v>
      </c>
      <c r="B92" s="56" t="s">
        <v>554</v>
      </c>
      <c r="C92" s="124" t="n">
        <v>46387</v>
      </c>
      <c r="D92" s="56" t="s">
        <v>1541</v>
      </c>
    </row>
    <row r="94" customFormat="false" ht="15" hidden="false" customHeight="false" outlineLevel="0" collapsed="false">
      <c r="A94" s="21" t="s">
        <v>1542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row>
    <row r="95" customFormat="false" ht="15" hidden="false" customHeight="false" outlineLevel="0" collapsed="false">
      <c r="A95" s="27" t="s">
        <v>1543</v>
      </c>
      <c r="E95" s="130" t="n">
        <f aca="false">Assumptions!$C$8</f>
        <v>46053</v>
      </c>
      <c r="F95" s="130" t="n">
        <f aca="false">EOMONTH(E95,1)</f>
        <v>46081</v>
      </c>
      <c r="G95" s="130" t="n">
        <f aca="false">EOMONTH(F95,1)</f>
        <v>46112</v>
      </c>
      <c r="H95" s="130" t="n">
        <f aca="false">EOMONTH(G95,1)</f>
        <v>46142</v>
      </c>
      <c r="I95" s="130" t="n">
        <f aca="false">EOMONTH(H95,1)</f>
        <v>46173</v>
      </c>
      <c r="J95" s="130" t="n">
        <f aca="false">EOMONTH(I95,1)</f>
        <v>46203</v>
      </c>
      <c r="K95" s="130" t="n">
        <f aca="false">EOMONTH(J95,1)</f>
        <v>46234</v>
      </c>
      <c r="L95" s="130" t="n">
        <f aca="false">EOMONTH(K95,1)</f>
        <v>46265</v>
      </c>
      <c r="M95" s="130" t="n">
        <f aca="false">EOMONTH(L95,1)</f>
        <v>46295</v>
      </c>
      <c r="N95" s="130" t="n">
        <f aca="false">EOMONTH(M95,1)</f>
        <v>46326</v>
      </c>
      <c r="O95" s="130" t="n">
        <f aca="false">EOMONTH(N95,1)</f>
        <v>46356</v>
      </c>
      <c r="P95" s="130" t="n">
        <f aca="false">EOMONTH(O95,1)</f>
        <v>46387</v>
      </c>
      <c r="Q95" s="130" t="n">
        <f aca="false">EOMONTH(P95,1)</f>
        <v>46418</v>
      </c>
      <c r="R95" s="130" t="n">
        <f aca="false">EOMONTH(Q95,1)</f>
        <v>46446</v>
      </c>
      <c r="S95" s="130" t="n">
        <f aca="false">EOMONTH(R95,1)</f>
        <v>46477</v>
      </c>
      <c r="T95" s="130" t="n">
        <f aca="false">EOMONTH(S95,1)</f>
        <v>46507</v>
      </c>
      <c r="U95" s="130" t="n">
        <f aca="false">EOMONTH(T95,1)</f>
        <v>46538</v>
      </c>
      <c r="V95" s="130" t="n">
        <f aca="false">EOMONTH(U95,1)</f>
        <v>46568</v>
      </c>
      <c r="W95" s="130" t="n">
        <f aca="false">EOMONTH(V95,1)</f>
        <v>46599</v>
      </c>
      <c r="X95" s="130" t="n">
        <f aca="false">EOMONTH(W95,1)</f>
        <v>46630</v>
      </c>
      <c r="Y95" s="130" t="n">
        <f aca="false">EOMONTH(X95,1)</f>
        <v>46660</v>
      </c>
      <c r="Z95" s="130" t="n">
        <f aca="false">EOMONTH(Y95,1)</f>
        <v>46691</v>
      </c>
      <c r="AA95" s="130" t="n">
        <f aca="false">EOMONTH(Z95,1)</f>
        <v>46721</v>
      </c>
      <c r="AB95" s="130" t="n">
        <f aca="false">EOMONTH(AA95,1)</f>
        <v>46752</v>
      </c>
    </row>
    <row r="96" customFormat="false" ht="15" hidden="false" customHeight="false" outlineLevel="0" collapsed="false">
      <c r="A96" s="27" t="s">
        <v>299</v>
      </c>
      <c r="E96" s="131" t="n">
        <v>1</v>
      </c>
      <c r="F96" s="131" t="n">
        <f aca="false">E96+1</f>
        <v>2</v>
      </c>
      <c r="G96" s="131" t="n">
        <f aca="false">F96+1</f>
        <v>3</v>
      </c>
      <c r="H96" s="131" t="n">
        <f aca="false">G96+1</f>
        <v>4</v>
      </c>
      <c r="I96" s="131" t="n">
        <f aca="false">H96+1</f>
        <v>5</v>
      </c>
      <c r="J96" s="131" t="n">
        <f aca="false">I96+1</f>
        <v>6</v>
      </c>
      <c r="K96" s="131" t="n">
        <f aca="false">J96+1</f>
        <v>7</v>
      </c>
      <c r="L96" s="131" t="n">
        <f aca="false">K96+1</f>
        <v>8</v>
      </c>
      <c r="M96" s="131" t="n">
        <f aca="false">L96+1</f>
        <v>9</v>
      </c>
      <c r="N96" s="131" t="n">
        <f aca="false">M96+1</f>
        <v>10</v>
      </c>
      <c r="O96" s="131" t="n">
        <f aca="false">N96+1</f>
        <v>11</v>
      </c>
      <c r="P96" s="131" t="n">
        <f aca="false">O96+1</f>
        <v>12</v>
      </c>
      <c r="Q96" s="131" t="n">
        <f aca="false">P96+1</f>
        <v>13</v>
      </c>
      <c r="R96" s="131" t="n">
        <f aca="false">Q96+1</f>
        <v>14</v>
      </c>
      <c r="S96" s="131" t="n">
        <f aca="false">R96+1</f>
        <v>15</v>
      </c>
      <c r="T96" s="131" t="n">
        <f aca="false">S96+1</f>
        <v>16</v>
      </c>
      <c r="U96" s="131" t="n">
        <f aca="false">T96+1</f>
        <v>17</v>
      </c>
      <c r="V96" s="131" t="n">
        <f aca="false">U96+1</f>
        <v>18</v>
      </c>
      <c r="W96" s="131" t="n">
        <f aca="false">V96+1</f>
        <v>19</v>
      </c>
      <c r="X96" s="131" t="n">
        <f aca="false">W96+1</f>
        <v>20</v>
      </c>
      <c r="Y96" s="131" t="n">
        <f aca="false">X96+1</f>
        <v>21</v>
      </c>
      <c r="Z96" s="131" t="n">
        <f aca="false">Y96+1</f>
        <v>22</v>
      </c>
      <c r="AA96" s="131" t="n">
        <f aca="false">Z96+1</f>
        <v>23</v>
      </c>
      <c r="AB96" s="131" t="n">
        <f aca="false">AA96+1</f>
        <v>24</v>
      </c>
    </row>
    <row r="97" customFormat="false" ht="15" hidden="false" customHeight="false" outlineLevel="0" collapsed="false">
      <c r="A97" s="27" t="s">
        <v>296</v>
      </c>
      <c r="E97" s="116" t="str">
        <f aca="false">IF(Assumptions!E$95&lt;=Assumptions!$C$9,"A","F")</f>
        <v>A</v>
      </c>
      <c r="F97" s="116" t="str">
        <f aca="false">IF(Assumptions!F$95&lt;=Assumptions!$C$9,"A","F")</f>
        <v>A</v>
      </c>
      <c r="G97" s="116" t="str">
        <f aca="false">IF(Assumptions!G$95&lt;=Assumptions!$C$9,"A","F")</f>
        <v>A</v>
      </c>
      <c r="H97" s="116" t="str">
        <f aca="false">IF(Assumptions!H$95&lt;=Assumptions!$C$9,"A","F")</f>
        <v>A</v>
      </c>
      <c r="I97" s="116" t="str">
        <f aca="false">IF(Assumptions!I$95&lt;=Assumptions!$C$9,"A","F")</f>
        <v>A</v>
      </c>
      <c r="J97" s="116" t="str">
        <f aca="false">IF(Assumptions!J$95&lt;=Assumptions!$C$9,"A","F")</f>
        <v>A</v>
      </c>
      <c r="K97" s="116" t="str">
        <f aca="false">IF(Assumptions!K$95&lt;=Assumptions!$C$9,"A","F")</f>
        <v>A</v>
      </c>
      <c r="L97" s="116" t="str">
        <f aca="false">IF(Assumptions!L$95&lt;=Assumptions!$C$9,"A","F")</f>
        <v>A</v>
      </c>
      <c r="M97" s="116" t="str">
        <f aca="false">IF(Assumptions!M$95&lt;=Assumptions!$C$9,"A","F")</f>
        <v>F</v>
      </c>
      <c r="N97" s="116" t="str">
        <f aca="false">IF(Assumptions!N$95&lt;=Assumptions!$C$9,"A","F")</f>
        <v>F</v>
      </c>
      <c r="O97" s="116" t="str">
        <f aca="false">IF(Assumptions!O$95&lt;=Assumptions!$C$9,"A","F")</f>
        <v>F</v>
      </c>
      <c r="P97" s="116" t="str">
        <f aca="false">IF(Assumptions!P$95&lt;=Assumptions!$C$9,"A","F")</f>
        <v>F</v>
      </c>
      <c r="Q97" s="116" t="str">
        <f aca="false">IF(Assumptions!Q$95&lt;=Assumptions!$C$9,"A","F")</f>
        <v>F</v>
      </c>
      <c r="R97" s="116" t="str">
        <f aca="false">IF(Assumptions!R$95&lt;=Assumptions!$C$9,"A","F")</f>
        <v>F</v>
      </c>
      <c r="S97" s="116" t="str">
        <f aca="false">IF(Assumptions!S$95&lt;=Assumptions!$C$9,"A","F")</f>
        <v>F</v>
      </c>
      <c r="T97" s="116" t="str">
        <f aca="false">IF(Assumptions!T$95&lt;=Assumptions!$C$9,"A","F")</f>
        <v>F</v>
      </c>
      <c r="U97" s="116" t="str">
        <f aca="false">IF(Assumptions!U$95&lt;=Assumptions!$C$9,"A","F")</f>
        <v>F</v>
      </c>
      <c r="V97" s="116" t="str">
        <f aca="false">IF(Assumptions!V$95&lt;=Assumptions!$C$9,"A","F")</f>
        <v>F</v>
      </c>
      <c r="W97" s="116" t="str">
        <f aca="false">IF(Assumptions!W$95&lt;=Assumptions!$C$9,"A","F")</f>
        <v>F</v>
      </c>
      <c r="X97" s="116" t="str">
        <f aca="false">IF(Assumptions!X$95&lt;=Assumptions!$C$9,"A","F")</f>
        <v>F</v>
      </c>
      <c r="Y97" s="116" t="str">
        <f aca="false">IF(Assumptions!Y$95&lt;=Assumptions!$C$9,"A","F")</f>
        <v>F</v>
      </c>
      <c r="Z97" s="116" t="str">
        <f aca="false">IF(Assumptions!Z$95&lt;=Assumptions!$C$9,"A","F")</f>
        <v>F</v>
      </c>
      <c r="AA97" s="116" t="str">
        <f aca="false">IF(Assumptions!AA$95&lt;=Assumptions!$C$9,"A","F")</f>
        <v>F</v>
      </c>
      <c r="AB97" s="116" t="str">
        <f aca="false">IF(Assumptions!AB$95&lt;=Assumptions!$C$9,"A","F")</f>
        <v>F</v>
      </c>
    </row>
    <row r="98" customFormat="false" ht="15" hidden="false" customHeight="false" outlineLevel="0" collapsed="false">
      <c r="A98" s="27" t="s">
        <v>1544</v>
      </c>
      <c r="E98" s="131" t="n">
        <f aca="false">YEAR(Assumptions!E$95)</f>
        <v>2026</v>
      </c>
      <c r="F98" s="131" t="n">
        <f aca="false">YEAR(Assumptions!F$95)</f>
        <v>2026</v>
      </c>
      <c r="G98" s="131" t="n">
        <f aca="false">YEAR(Assumptions!G$95)</f>
        <v>2026</v>
      </c>
      <c r="H98" s="131" t="n">
        <f aca="false">YEAR(Assumptions!H$95)</f>
        <v>2026</v>
      </c>
      <c r="I98" s="131" t="n">
        <f aca="false">YEAR(Assumptions!I$95)</f>
        <v>2026</v>
      </c>
      <c r="J98" s="131" t="n">
        <f aca="false">YEAR(Assumptions!J$95)</f>
        <v>2026</v>
      </c>
      <c r="K98" s="131" t="n">
        <f aca="false">YEAR(Assumptions!K$95)</f>
        <v>2026</v>
      </c>
      <c r="L98" s="131" t="n">
        <f aca="false">YEAR(Assumptions!L$95)</f>
        <v>2026</v>
      </c>
      <c r="M98" s="131" t="n">
        <f aca="false">YEAR(Assumptions!M$95)</f>
        <v>2026</v>
      </c>
      <c r="N98" s="131" t="n">
        <f aca="false">YEAR(Assumptions!N$95)</f>
        <v>2026</v>
      </c>
      <c r="O98" s="131" t="n">
        <f aca="false">YEAR(Assumptions!O$95)</f>
        <v>2026</v>
      </c>
      <c r="P98" s="131" t="n">
        <f aca="false">YEAR(Assumptions!P$95)</f>
        <v>2026</v>
      </c>
      <c r="Q98" s="131" t="n">
        <f aca="false">YEAR(Assumptions!Q$95)</f>
        <v>2027</v>
      </c>
      <c r="R98" s="131" t="n">
        <f aca="false">YEAR(Assumptions!R$95)</f>
        <v>2027</v>
      </c>
      <c r="S98" s="131" t="n">
        <f aca="false">YEAR(Assumptions!S$95)</f>
        <v>2027</v>
      </c>
      <c r="T98" s="131" t="n">
        <f aca="false">YEAR(Assumptions!T$95)</f>
        <v>2027</v>
      </c>
      <c r="U98" s="131" t="n">
        <f aca="false">YEAR(Assumptions!U$95)</f>
        <v>2027</v>
      </c>
      <c r="V98" s="131" t="n">
        <f aca="false">YEAR(Assumptions!V$95)</f>
        <v>2027</v>
      </c>
      <c r="W98" s="131" t="n">
        <f aca="false">YEAR(Assumptions!W$95)</f>
        <v>2027</v>
      </c>
      <c r="X98" s="131" t="n">
        <f aca="false">YEAR(Assumptions!X$95)</f>
        <v>2027</v>
      </c>
      <c r="Y98" s="131" t="n">
        <f aca="false">YEAR(Assumptions!Y$95)</f>
        <v>2027</v>
      </c>
      <c r="Z98" s="131" t="n">
        <f aca="false">YEAR(Assumptions!Z$95)</f>
        <v>2027</v>
      </c>
      <c r="AA98" s="131" t="n">
        <f aca="false">YEAR(Assumptions!AA$95)</f>
        <v>2027</v>
      </c>
      <c r="AB98" s="131" t="n">
        <f aca="false">YEAR(Assumptions!AB$95)</f>
        <v>2027</v>
      </c>
    </row>
    <row r="99" customFormat="false" ht="15" hidden="false" customHeight="false" outlineLevel="0" collapsed="false">
      <c r="A99" s="27" t="s">
        <v>1545</v>
      </c>
      <c r="E99" s="131" t="n">
        <f aca="false">MONTH(Assumptions!E$95)</f>
        <v>1</v>
      </c>
      <c r="F99" s="131" t="n">
        <f aca="false">MONTH(Assumptions!F$95)</f>
        <v>2</v>
      </c>
      <c r="G99" s="131" t="n">
        <f aca="false">MONTH(Assumptions!G$95)</f>
        <v>3</v>
      </c>
      <c r="H99" s="131" t="n">
        <f aca="false">MONTH(Assumptions!H$95)</f>
        <v>4</v>
      </c>
      <c r="I99" s="131" t="n">
        <f aca="false">MONTH(Assumptions!I$95)</f>
        <v>5</v>
      </c>
      <c r="J99" s="131" t="n">
        <f aca="false">MONTH(Assumptions!J$95)</f>
        <v>6</v>
      </c>
      <c r="K99" s="131" t="n">
        <f aca="false">MONTH(Assumptions!K$95)</f>
        <v>7</v>
      </c>
      <c r="L99" s="131" t="n">
        <f aca="false">MONTH(Assumptions!L$95)</f>
        <v>8</v>
      </c>
      <c r="M99" s="131" t="n">
        <f aca="false">MONTH(Assumptions!M$95)</f>
        <v>9</v>
      </c>
      <c r="N99" s="131" t="n">
        <f aca="false">MONTH(Assumptions!N$95)</f>
        <v>10</v>
      </c>
      <c r="O99" s="131" t="n">
        <f aca="false">MONTH(Assumptions!O$95)</f>
        <v>11</v>
      </c>
      <c r="P99" s="131" t="n">
        <f aca="false">MONTH(Assumptions!P$95)</f>
        <v>12</v>
      </c>
      <c r="Q99" s="131" t="n">
        <f aca="false">MONTH(Assumptions!Q$95)</f>
        <v>1</v>
      </c>
      <c r="R99" s="131" t="n">
        <f aca="false">MONTH(Assumptions!R$95)</f>
        <v>2</v>
      </c>
      <c r="S99" s="131" t="n">
        <f aca="false">MONTH(Assumptions!S$95)</f>
        <v>3</v>
      </c>
      <c r="T99" s="131" t="n">
        <f aca="false">MONTH(Assumptions!T$95)</f>
        <v>4</v>
      </c>
      <c r="U99" s="131" t="n">
        <f aca="false">MONTH(Assumptions!U$95)</f>
        <v>5</v>
      </c>
      <c r="V99" s="131" t="n">
        <f aca="false">MONTH(Assumptions!V$95)</f>
        <v>6</v>
      </c>
      <c r="W99" s="131" t="n">
        <f aca="false">MONTH(Assumptions!W$95)</f>
        <v>7</v>
      </c>
      <c r="X99" s="131" t="n">
        <f aca="false">MONTH(Assumptions!X$95)</f>
        <v>8</v>
      </c>
      <c r="Y99" s="131" t="n">
        <f aca="false">MONTH(Assumptions!Y$95)</f>
        <v>9</v>
      </c>
      <c r="Z99" s="131" t="n">
        <f aca="false">MONTH(Assumptions!Z$95)</f>
        <v>10</v>
      </c>
      <c r="AA99" s="131" t="n">
        <f aca="false">MONTH(Assumptions!AA$95)</f>
        <v>11</v>
      </c>
      <c r="AB99" s="131" t="n">
        <f aca="false">MONTH(Assumptions!AB$95)</f>
        <v>12</v>
      </c>
    </row>
    <row r="100" customFormat="false" ht="15" hidden="false" customHeight="false" outlineLevel="0" collapsed="false">
      <c r="A100" s="27" t="s">
        <v>1546</v>
      </c>
      <c r="E100" s="131" t="n">
        <f aca="false">DAY(Assumptions!E$95)</f>
        <v>31</v>
      </c>
      <c r="F100" s="131" t="n">
        <f aca="false">DAY(Assumptions!F$95)</f>
        <v>28</v>
      </c>
      <c r="G100" s="131" t="n">
        <f aca="false">DAY(Assumptions!G$95)</f>
        <v>31</v>
      </c>
      <c r="H100" s="131" t="n">
        <f aca="false">DAY(Assumptions!H$95)</f>
        <v>30</v>
      </c>
      <c r="I100" s="131" t="n">
        <f aca="false">DAY(Assumptions!I$95)</f>
        <v>31</v>
      </c>
      <c r="J100" s="131" t="n">
        <f aca="false">DAY(Assumptions!J$95)</f>
        <v>30</v>
      </c>
      <c r="K100" s="131" t="n">
        <f aca="false">DAY(Assumptions!K$95)</f>
        <v>31</v>
      </c>
      <c r="L100" s="131" t="n">
        <f aca="false">DAY(Assumptions!L$95)</f>
        <v>31</v>
      </c>
      <c r="M100" s="131" t="n">
        <f aca="false">DAY(Assumptions!M$95)</f>
        <v>30</v>
      </c>
      <c r="N100" s="131" t="n">
        <f aca="false">DAY(Assumptions!N$95)</f>
        <v>31</v>
      </c>
      <c r="O100" s="131" t="n">
        <f aca="false">DAY(Assumptions!O$95)</f>
        <v>30</v>
      </c>
      <c r="P100" s="131" t="n">
        <f aca="false">DAY(Assumptions!P$95)</f>
        <v>31</v>
      </c>
      <c r="Q100" s="131" t="n">
        <f aca="false">DAY(Assumptions!Q$95)</f>
        <v>31</v>
      </c>
      <c r="R100" s="131" t="n">
        <f aca="false">DAY(Assumptions!R$95)</f>
        <v>28</v>
      </c>
      <c r="S100" s="131" t="n">
        <f aca="false">DAY(Assumptions!S$95)</f>
        <v>31</v>
      </c>
      <c r="T100" s="131" t="n">
        <f aca="false">DAY(Assumptions!T$95)</f>
        <v>30</v>
      </c>
      <c r="U100" s="131" t="n">
        <f aca="false">DAY(Assumptions!U$95)</f>
        <v>31</v>
      </c>
      <c r="V100" s="131" t="n">
        <f aca="false">DAY(Assumptions!V$95)</f>
        <v>30</v>
      </c>
      <c r="W100" s="131" t="n">
        <f aca="false">DAY(Assumptions!W$95)</f>
        <v>31</v>
      </c>
      <c r="X100" s="131" t="n">
        <f aca="false">DAY(Assumptions!X$95)</f>
        <v>31</v>
      </c>
      <c r="Y100" s="131" t="n">
        <f aca="false">DAY(Assumptions!Y$95)</f>
        <v>30</v>
      </c>
      <c r="Z100" s="131" t="n">
        <f aca="false">DAY(Assumptions!Z$95)</f>
        <v>31</v>
      </c>
      <c r="AA100" s="131" t="n">
        <f aca="false">DAY(Assumptions!AA$95)</f>
        <v>30</v>
      </c>
      <c r="AB100" s="131" t="n">
        <f aca="false">DAY(Assumptions!AB$95)</f>
        <v>31</v>
      </c>
    </row>
    <row r="101" customFormat="false" ht="15" hidden="false" customHeight="false" outlineLevel="0" collapsed="false">
      <c r="A101" s="27" t="s">
        <v>1547</v>
      </c>
      <c r="E101" s="131" t="n">
        <f aca="false">MAX(0,Assumptions!E$96-Assumptions!$C$10)</f>
        <v>0</v>
      </c>
      <c r="F101" s="131" t="n">
        <f aca="false">MAX(0,Assumptions!F$96-Assumptions!$C$10)</f>
        <v>0</v>
      </c>
      <c r="G101" s="131" t="n">
        <f aca="false">MAX(0,Assumptions!G$96-Assumptions!$C$10)</f>
        <v>0</v>
      </c>
      <c r="H101" s="131" t="n">
        <f aca="false">MAX(0,Assumptions!H$96-Assumptions!$C$10)</f>
        <v>0</v>
      </c>
      <c r="I101" s="131" t="n">
        <f aca="false">MAX(0,Assumptions!I$96-Assumptions!$C$10)</f>
        <v>0</v>
      </c>
      <c r="J101" s="131" t="n">
        <f aca="false">MAX(0,Assumptions!J$96-Assumptions!$C$10)</f>
        <v>0</v>
      </c>
      <c r="K101" s="131" t="n">
        <f aca="false">MAX(0,Assumptions!K$96-Assumptions!$C$10)</f>
        <v>0</v>
      </c>
      <c r="L101" s="131" t="n">
        <f aca="false">MAX(0,Assumptions!L$96-Assumptions!$C$10)</f>
        <v>0</v>
      </c>
      <c r="M101" s="131" t="n">
        <f aca="false">MAX(0,Assumptions!M$96-Assumptions!$C$10)</f>
        <v>1</v>
      </c>
      <c r="N101" s="131" t="n">
        <f aca="false">MAX(0,Assumptions!N$96-Assumptions!$C$10)</f>
        <v>2</v>
      </c>
      <c r="O101" s="131" t="n">
        <f aca="false">MAX(0,Assumptions!O$96-Assumptions!$C$10)</f>
        <v>3</v>
      </c>
      <c r="P101" s="131" t="n">
        <f aca="false">MAX(0,Assumptions!P$96-Assumptions!$C$10)</f>
        <v>4</v>
      </c>
      <c r="Q101" s="131" t="n">
        <f aca="false">MAX(0,Assumptions!Q$96-Assumptions!$C$10)</f>
        <v>5</v>
      </c>
      <c r="R101" s="131" t="n">
        <f aca="false">MAX(0,Assumptions!R$96-Assumptions!$C$10)</f>
        <v>6</v>
      </c>
      <c r="S101" s="131" t="n">
        <f aca="false">MAX(0,Assumptions!S$96-Assumptions!$C$10)</f>
        <v>7</v>
      </c>
      <c r="T101" s="131" t="n">
        <f aca="false">MAX(0,Assumptions!T$96-Assumptions!$C$10)</f>
        <v>8</v>
      </c>
      <c r="U101" s="131" t="n">
        <f aca="false">MAX(0,Assumptions!U$96-Assumptions!$C$10)</f>
        <v>9</v>
      </c>
      <c r="V101" s="131" t="n">
        <f aca="false">MAX(0,Assumptions!V$96-Assumptions!$C$10)</f>
        <v>10</v>
      </c>
      <c r="W101" s="131" t="n">
        <f aca="false">MAX(0,Assumptions!W$96-Assumptions!$C$10)</f>
        <v>11</v>
      </c>
      <c r="X101" s="131" t="n">
        <f aca="false">MAX(0,Assumptions!X$96-Assumptions!$C$10)</f>
        <v>12</v>
      </c>
      <c r="Y101" s="131" t="n">
        <f aca="false">MAX(0,Assumptions!Y$96-Assumptions!$C$10)</f>
        <v>13</v>
      </c>
      <c r="Z101" s="131" t="n">
        <f aca="false">MAX(0,Assumptions!Z$96-Assumptions!$C$10)</f>
        <v>14</v>
      </c>
      <c r="AA101" s="131" t="n">
        <f aca="false">MAX(0,Assumptions!AA$96-Assumptions!$C$10)</f>
        <v>15</v>
      </c>
      <c r="AB101" s="131" t="n">
        <f aca="false">MAX(0,Assumptions!AB$96-Assumptions!$C$10)</f>
        <v>16</v>
      </c>
    </row>
    <row r="102" customFormat="false" ht="15" hidden="false" customHeight="false" outlineLevel="0" collapsed="false">
      <c r="A102" s="27" t="s">
        <v>1548</v>
      </c>
      <c r="E102" s="132" t="n">
        <v>0.7</v>
      </c>
      <c r="F102" s="132" t="n">
        <v>0.85</v>
      </c>
      <c r="G102" s="132" t="n">
        <v>1</v>
      </c>
      <c r="H102" s="132" t="n">
        <v>1.1</v>
      </c>
      <c r="I102" s="132" t="n">
        <v>1.15</v>
      </c>
      <c r="J102" s="132" t="n">
        <v>1.15</v>
      </c>
      <c r="K102" s="132" t="n">
        <v>1.1</v>
      </c>
      <c r="L102" s="132" t="n">
        <v>1.05</v>
      </c>
      <c r="M102" s="132" t="n">
        <v>1.1</v>
      </c>
      <c r="N102" s="132" t="n">
        <v>1.05</v>
      </c>
      <c r="O102" s="132" t="n">
        <v>0.95</v>
      </c>
      <c r="P102" s="132" t="n">
        <v>0.8</v>
      </c>
      <c r="Q102" s="133" t="n">
        <f aca="false">E102</f>
        <v>0.7</v>
      </c>
      <c r="R102" s="133" t="n">
        <f aca="false">F102</f>
        <v>0.85</v>
      </c>
      <c r="S102" s="133" t="n">
        <f aca="false">G102</f>
        <v>1</v>
      </c>
      <c r="T102" s="133" t="n">
        <f aca="false">H102</f>
        <v>1.1</v>
      </c>
      <c r="U102" s="133" t="n">
        <f aca="false">I102</f>
        <v>1.15</v>
      </c>
      <c r="V102" s="133" t="n">
        <f aca="false">J102</f>
        <v>1.15</v>
      </c>
      <c r="W102" s="133" t="n">
        <f aca="false">K102</f>
        <v>1.1</v>
      </c>
      <c r="X102" s="133" t="n">
        <f aca="false">L102</f>
        <v>1.05</v>
      </c>
      <c r="Y102" s="133" t="n">
        <f aca="false">M102</f>
        <v>1.1</v>
      </c>
      <c r="Z102" s="133" t="n">
        <f aca="false">N102</f>
        <v>1.05</v>
      </c>
      <c r="AA102" s="133" t="n">
        <f aca="false">O102</f>
        <v>0.95</v>
      </c>
      <c r="AB102" s="133" t="n">
        <f aca="false">P102</f>
        <v>0.8</v>
      </c>
    </row>
    <row r="103" customFormat="false" ht="15" hidden="false" customHeight="false" outlineLevel="0" collapsed="false">
      <c r="A103" s="27" t="s">
        <v>1549</v>
      </c>
      <c r="E103" s="134" t="n">
        <f aca="false">IF(Assumptions!E$95&gt;=DATE(2026,10,31),Assumptions!$C$30,Assumptions!$C$29)</f>
        <v>0.1125</v>
      </c>
      <c r="F103" s="134" t="n">
        <f aca="false">IF(Assumptions!F$95&gt;=DATE(2026,10,31),Assumptions!$C$30,Assumptions!$C$29)</f>
        <v>0.1125</v>
      </c>
      <c r="G103" s="134" t="n">
        <f aca="false">IF(Assumptions!G$95&gt;=DATE(2026,10,31),Assumptions!$C$30,Assumptions!$C$29)</f>
        <v>0.1125</v>
      </c>
      <c r="H103" s="134" t="n">
        <f aca="false">IF(Assumptions!H$95&gt;=DATE(2026,10,31),Assumptions!$C$30,Assumptions!$C$29)</f>
        <v>0.1125</v>
      </c>
      <c r="I103" s="134" t="n">
        <f aca="false">IF(Assumptions!I$95&gt;=DATE(2026,10,31),Assumptions!$C$30,Assumptions!$C$29)</f>
        <v>0.1125</v>
      </c>
      <c r="J103" s="134" t="n">
        <f aca="false">IF(Assumptions!J$95&gt;=DATE(2026,10,31),Assumptions!$C$30,Assumptions!$C$29)</f>
        <v>0.1125</v>
      </c>
      <c r="K103" s="134" t="n">
        <f aca="false">IF(Assumptions!K$95&gt;=DATE(2026,10,31),Assumptions!$C$30,Assumptions!$C$29)</f>
        <v>0.1125</v>
      </c>
      <c r="L103" s="134" t="n">
        <f aca="false">IF(Assumptions!L$95&gt;=DATE(2026,10,31),Assumptions!$C$30,Assumptions!$C$29)</f>
        <v>0.1125</v>
      </c>
      <c r="M103" s="134" t="n">
        <f aca="false">IF(Assumptions!M$95&gt;=DATE(2026,10,31),Assumptions!$C$30,Assumptions!$C$29)</f>
        <v>0.1125</v>
      </c>
      <c r="N103" s="134" t="n">
        <f aca="false">IF(Assumptions!N$95&gt;=DATE(2026,10,31),Assumptions!$C$30,Assumptions!$C$29)</f>
        <v>0.114</v>
      </c>
      <c r="O103" s="134" t="n">
        <f aca="false">IF(Assumptions!O$95&gt;=DATE(2026,10,31),Assumptions!$C$30,Assumptions!$C$29)</f>
        <v>0.114</v>
      </c>
      <c r="P103" s="134" t="n">
        <f aca="false">IF(Assumptions!P$95&gt;=DATE(2026,10,31),Assumptions!$C$30,Assumptions!$C$29)</f>
        <v>0.114</v>
      </c>
      <c r="Q103" s="134" t="n">
        <f aca="false">IF(Assumptions!Q$95&gt;=DATE(2026,10,31),Assumptions!$C$30,Assumptions!$C$29)</f>
        <v>0.114</v>
      </c>
      <c r="R103" s="134" t="n">
        <f aca="false">IF(Assumptions!R$95&gt;=DATE(2026,10,31),Assumptions!$C$30,Assumptions!$C$29)</f>
        <v>0.114</v>
      </c>
      <c r="S103" s="134" t="n">
        <f aca="false">IF(Assumptions!S$95&gt;=DATE(2026,10,31),Assumptions!$C$30,Assumptions!$C$29)</f>
        <v>0.114</v>
      </c>
      <c r="T103" s="134" t="n">
        <f aca="false">IF(Assumptions!T$95&gt;=DATE(2026,10,31),Assumptions!$C$30,Assumptions!$C$29)</f>
        <v>0.114</v>
      </c>
      <c r="U103" s="134" t="n">
        <f aca="false">IF(Assumptions!U$95&gt;=DATE(2026,10,31),Assumptions!$C$30,Assumptions!$C$29)</f>
        <v>0.114</v>
      </c>
      <c r="V103" s="134" t="n">
        <f aca="false">IF(Assumptions!V$95&gt;=DATE(2026,10,31),Assumptions!$C$30,Assumptions!$C$29)</f>
        <v>0.114</v>
      </c>
      <c r="W103" s="134" t="n">
        <f aca="false">IF(Assumptions!W$95&gt;=DATE(2026,10,31),Assumptions!$C$30,Assumptions!$C$29)</f>
        <v>0.114</v>
      </c>
      <c r="X103" s="134" t="n">
        <f aca="false">IF(Assumptions!X$95&gt;=DATE(2026,10,31),Assumptions!$C$30,Assumptions!$C$29)</f>
        <v>0.114</v>
      </c>
      <c r="Y103" s="134" t="n">
        <f aca="false">IF(Assumptions!Y$95&gt;=DATE(2026,10,31),Assumptions!$C$30,Assumptions!$C$29)</f>
        <v>0.114</v>
      </c>
      <c r="Z103" s="134" t="n">
        <f aca="false">IF(Assumptions!Z$95&gt;=DATE(2026,10,31),Assumptions!$C$30,Assumptions!$C$29)</f>
        <v>0.114</v>
      </c>
      <c r="AA103" s="134" t="n">
        <f aca="false">IF(Assumptions!AA$95&gt;=DATE(2026,10,31),Assumptions!$C$30,Assumptions!$C$29)</f>
        <v>0.114</v>
      </c>
      <c r="AB103" s="134" t="n">
        <f aca="false">IF(Assumptions!AB$95&gt;=DATE(2026,10,31),Assumptions!$C$30,Assumptions!$C$29)</f>
        <v>0.114</v>
      </c>
    </row>
    <row r="104" customFormat="false" ht="15" hidden="false" customHeight="false" outlineLevel="0" collapsed="false">
      <c r="A104" s="27" t="s">
        <v>1550</v>
      </c>
      <c r="E104" s="135" t="n">
        <f aca="false">(1+Assumptions!$C$41)^(Assumptions!E$98-YEAR(Assumptions!$C$8))</f>
        <v>1</v>
      </c>
      <c r="F104" s="135" t="n">
        <f aca="false">(1+Assumptions!$C$41)^(Assumptions!F$98-YEAR(Assumptions!$C$8))</f>
        <v>1</v>
      </c>
      <c r="G104" s="135" t="n">
        <f aca="false">(1+Assumptions!$C$41)^(Assumptions!G$98-YEAR(Assumptions!$C$8))</f>
        <v>1</v>
      </c>
      <c r="H104" s="135" t="n">
        <f aca="false">(1+Assumptions!$C$41)^(Assumptions!H$98-YEAR(Assumptions!$C$8))</f>
        <v>1</v>
      </c>
      <c r="I104" s="135" t="n">
        <f aca="false">(1+Assumptions!$C$41)^(Assumptions!I$98-YEAR(Assumptions!$C$8))</f>
        <v>1</v>
      </c>
      <c r="J104" s="135" t="n">
        <f aca="false">(1+Assumptions!$C$41)^(Assumptions!J$98-YEAR(Assumptions!$C$8))</f>
        <v>1</v>
      </c>
      <c r="K104" s="135" t="n">
        <f aca="false">(1+Assumptions!$C$41)^(Assumptions!K$98-YEAR(Assumptions!$C$8))</f>
        <v>1</v>
      </c>
      <c r="L104" s="135" t="n">
        <f aca="false">(1+Assumptions!$C$41)^(Assumptions!L$98-YEAR(Assumptions!$C$8))</f>
        <v>1</v>
      </c>
      <c r="M104" s="135" t="n">
        <f aca="false">(1+Assumptions!$C$41)^(Assumptions!M$98-YEAR(Assumptions!$C$8))</f>
        <v>1</v>
      </c>
      <c r="N104" s="135" t="n">
        <f aca="false">(1+Assumptions!$C$41)^(Assumptions!N$98-YEAR(Assumptions!$C$8))</f>
        <v>1</v>
      </c>
      <c r="O104" s="135" t="n">
        <f aca="false">(1+Assumptions!$C$41)^(Assumptions!O$98-YEAR(Assumptions!$C$8))</f>
        <v>1</v>
      </c>
      <c r="P104" s="135" t="n">
        <f aca="false">(1+Assumptions!$C$41)^(Assumptions!P$98-YEAR(Assumptions!$C$8))</f>
        <v>1</v>
      </c>
      <c r="Q104" s="135" t="n">
        <f aca="false">(1+Assumptions!$C$41)^(Assumptions!Q$98-YEAR(Assumptions!$C$8))</f>
        <v>1.035</v>
      </c>
      <c r="R104" s="135" t="n">
        <f aca="false">(1+Assumptions!$C$41)^(Assumptions!R$98-YEAR(Assumptions!$C$8))</f>
        <v>1.035</v>
      </c>
      <c r="S104" s="135" t="n">
        <f aca="false">(1+Assumptions!$C$41)^(Assumptions!S$98-YEAR(Assumptions!$C$8))</f>
        <v>1.035</v>
      </c>
      <c r="T104" s="135" t="n">
        <f aca="false">(1+Assumptions!$C$41)^(Assumptions!T$98-YEAR(Assumptions!$C$8))</f>
        <v>1.035</v>
      </c>
      <c r="U104" s="135" t="n">
        <f aca="false">(1+Assumptions!$C$41)^(Assumptions!U$98-YEAR(Assumptions!$C$8))</f>
        <v>1.035</v>
      </c>
      <c r="V104" s="135" t="n">
        <f aca="false">(1+Assumptions!$C$41)^(Assumptions!V$98-YEAR(Assumptions!$C$8))</f>
        <v>1.035</v>
      </c>
      <c r="W104" s="135" t="n">
        <f aca="false">(1+Assumptions!$C$41)^(Assumptions!W$98-YEAR(Assumptions!$C$8))</f>
        <v>1.035</v>
      </c>
      <c r="X104" s="135" t="n">
        <f aca="false">(1+Assumptions!$C$41)^(Assumptions!X$98-YEAR(Assumptions!$C$8))</f>
        <v>1.035</v>
      </c>
      <c r="Y104" s="135" t="n">
        <f aca="false">(1+Assumptions!$C$41)^(Assumptions!Y$98-YEAR(Assumptions!$C$8))</f>
        <v>1.035</v>
      </c>
      <c r="Z104" s="135" t="n">
        <f aca="false">(1+Assumptions!$C$41)^(Assumptions!Z$98-YEAR(Assumptions!$C$8))</f>
        <v>1.035</v>
      </c>
      <c r="AA104" s="135" t="n">
        <f aca="false">(1+Assumptions!$C$41)^(Assumptions!AA$98-YEAR(Assumptions!$C$8))</f>
        <v>1.035</v>
      </c>
      <c r="AB104" s="135" t="n">
        <f aca="false">(1+Assumptions!$C$41)^(Assumptions!AB$98-YEAR(Assumptions!$C$8))</f>
        <v>1.035</v>
      </c>
    </row>
    <row r="105" customFormat="false" ht="15" hidden="false" customHeight="false" outlineLevel="0" collapsed="false">
      <c r="A105" s="27" t="s">
        <v>1551</v>
      </c>
      <c r="E105" s="131" t="n">
        <f aca="false">IF(MOD(Assumptions!E$99,2)=1,1,0)</f>
        <v>1</v>
      </c>
      <c r="F105" s="131" t="n">
        <f aca="false">IF(MOD(Assumptions!F$99,2)=1,1,0)</f>
        <v>0</v>
      </c>
      <c r="G105" s="131" t="n">
        <f aca="false">IF(MOD(Assumptions!G$99,2)=1,1,0)</f>
        <v>1</v>
      </c>
      <c r="H105" s="131" t="n">
        <f aca="false">IF(MOD(Assumptions!H$99,2)=1,1,0)</f>
        <v>0</v>
      </c>
      <c r="I105" s="131" t="n">
        <f aca="false">IF(MOD(Assumptions!I$99,2)=1,1,0)</f>
        <v>1</v>
      </c>
      <c r="J105" s="131" t="n">
        <f aca="false">IF(MOD(Assumptions!J$99,2)=1,1,0)</f>
        <v>0</v>
      </c>
      <c r="K105" s="131" t="n">
        <f aca="false">IF(MOD(Assumptions!K$99,2)=1,1,0)</f>
        <v>1</v>
      </c>
      <c r="L105" s="131" t="n">
        <f aca="false">IF(MOD(Assumptions!L$99,2)=1,1,0)</f>
        <v>0</v>
      </c>
      <c r="M105" s="131" t="n">
        <f aca="false">IF(MOD(Assumptions!M$99,2)=1,1,0)</f>
        <v>1</v>
      </c>
      <c r="N105" s="131" t="n">
        <f aca="false">IF(MOD(Assumptions!N$99,2)=1,1,0)</f>
        <v>0</v>
      </c>
      <c r="O105" s="131" t="n">
        <f aca="false">IF(MOD(Assumptions!O$99,2)=1,1,0)</f>
        <v>1</v>
      </c>
      <c r="P105" s="131" t="n">
        <f aca="false">IF(MOD(Assumptions!P$99,2)=1,1,0)</f>
        <v>0</v>
      </c>
      <c r="Q105" s="131" t="n">
        <f aca="false">IF(MOD(Assumptions!Q$99,2)=1,1,0)</f>
        <v>1</v>
      </c>
      <c r="R105" s="131" t="n">
        <f aca="false">IF(MOD(Assumptions!R$99,2)=1,1,0)</f>
        <v>0</v>
      </c>
      <c r="S105" s="131" t="n">
        <f aca="false">IF(MOD(Assumptions!S$99,2)=1,1,0)</f>
        <v>1</v>
      </c>
      <c r="T105" s="131" t="n">
        <f aca="false">IF(MOD(Assumptions!T$99,2)=1,1,0)</f>
        <v>0</v>
      </c>
      <c r="U105" s="131" t="n">
        <f aca="false">IF(MOD(Assumptions!U$99,2)=1,1,0)</f>
        <v>1</v>
      </c>
      <c r="V105" s="131" t="n">
        <f aca="false">IF(MOD(Assumptions!V$99,2)=1,1,0)</f>
        <v>0</v>
      </c>
      <c r="W105" s="131" t="n">
        <f aca="false">IF(MOD(Assumptions!W$99,2)=1,1,0)</f>
        <v>1</v>
      </c>
      <c r="X105" s="131" t="n">
        <f aca="false">IF(MOD(Assumptions!X$99,2)=1,1,0)</f>
        <v>0</v>
      </c>
      <c r="Y105" s="131" t="n">
        <f aca="false">IF(MOD(Assumptions!Y$99,2)=1,1,0)</f>
        <v>1</v>
      </c>
      <c r="Z105" s="131" t="n">
        <f aca="false">IF(MOD(Assumptions!Z$99,2)=1,1,0)</f>
        <v>0</v>
      </c>
      <c r="AA105" s="131" t="n">
        <f aca="false">IF(MOD(Assumptions!AA$99,2)=1,1,0)</f>
        <v>1</v>
      </c>
      <c r="AB105" s="131" t="n">
        <f aca="false">IF(MOD(Assumptions!AB$99,2)=1,1,0)</f>
        <v>0</v>
      </c>
    </row>
    <row r="106" customFormat="false" ht="15" hidden="false" customHeight="false" outlineLevel="0" collapsed="false">
      <c r="A106" s="27" t="s">
        <v>1552</v>
      </c>
      <c r="E106" s="131" t="n">
        <f aca="false">IF(Assumptions!E$99=9,1,0)</f>
        <v>0</v>
      </c>
      <c r="F106" s="131" t="n">
        <f aca="false">IF(Assumptions!F$99=9,1,0)</f>
        <v>0</v>
      </c>
      <c r="G106" s="131" t="n">
        <f aca="false">IF(Assumptions!G$99=9,1,0)</f>
        <v>0</v>
      </c>
      <c r="H106" s="131" t="n">
        <f aca="false">IF(Assumptions!H$99=9,1,0)</f>
        <v>0</v>
      </c>
      <c r="I106" s="131" t="n">
        <f aca="false">IF(Assumptions!I$99=9,1,0)</f>
        <v>0</v>
      </c>
      <c r="J106" s="131" t="n">
        <f aca="false">IF(Assumptions!J$99=9,1,0)</f>
        <v>0</v>
      </c>
      <c r="K106" s="131" t="n">
        <f aca="false">IF(Assumptions!K$99=9,1,0)</f>
        <v>0</v>
      </c>
      <c r="L106" s="131" t="n">
        <f aca="false">IF(Assumptions!L$99=9,1,0)</f>
        <v>0</v>
      </c>
      <c r="M106" s="131" t="n">
        <f aca="false">IF(Assumptions!M$99=9,1,0)</f>
        <v>1</v>
      </c>
      <c r="N106" s="131" t="n">
        <f aca="false">IF(Assumptions!N$99=9,1,0)</f>
        <v>0</v>
      </c>
      <c r="O106" s="131" t="n">
        <f aca="false">IF(Assumptions!O$99=9,1,0)</f>
        <v>0</v>
      </c>
      <c r="P106" s="131" t="n">
        <f aca="false">IF(Assumptions!P$99=9,1,0)</f>
        <v>0</v>
      </c>
      <c r="Q106" s="131" t="n">
        <f aca="false">IF(Assumptions!Q$99=9,1,0)</f>
        <v>0</v>
      </c>
      <c r="R106" s="131" t="n">
        <f aca="false">IF(Assumptions!R$99=9,1,0)</f>
        <v>0</v>
      </c>
      <c r="S106" s="131" t="n">
        <f aca="false">IF(Assumptions!S$99=9,1,0)</f>
        <v>0</v>
      </c>
      <c r="T106" s="131" t="n">
        <f aca="false">IF(Assumptions!T$99=9,1,0)</f>
        <v>0</v>
      </c>
      <c r="U106" s="131" t="n">
        <f aca="false">IF(Assumptions!U$99=9,1,0)</f>
        <v>0</v>
      </c>
      <c r="V106" s="131" t="n">
        <f aca="false">IF(Assumptions!V$99=9,1,0)</f>
        <v>0</v>
      </c>
      <c r="W106" s="131" t="n">
        <f aca="false">IF(Assumptions!W$99=9,1,0)</f>
        <v>0</v>
      </c>
      <c r="X106" s="131" t="n">
        <f aca="false">IF(Assumptions!X$99=9,1,0)</f>
        <v>0</v>
      </c>
      <c r="Y106" s="131" t="n">
        <f aca="false">IF(Assumptions!Y$99=9,1,0)</f>
        <v>1</v>
      </c>
      <c r="Z106" s="131" t="n">
        <f aca="false">IF(Assumptions!Z$99=9,1,0)</f>
        <v>0</v>
      </c>
      <c r="AA106" s="131" t="n">
        <f aca="false">IF(Assumptions!AA$99=9,1,0)</f>
        <v>0</v>
      </c>
      <c r="AB106" s="131" t="n">
        <f aca="false">IF(Assumptions!AB$99=9,1,0)</f>
        <v>0</v>
      </c>
    </row>
    <row r="107" customFormat="false" ht="15" hidden="false" customHeight="false" outlineLevel="0" collapsed="false">
      <c r="A107" s="27" t="s">
        <v>1553</v>
      </c>
      <c r="E107" s="131" t="n">
        <f aca="false">IF(Assumptions!E$99=11,1,0)</f>
        <v>0</v>
      </c>
      <c r="F107" s="131" t="n">
        <f aca="false">IF(Assumptions!F$99=11,1,0)</f>
        <v>0</v>
      </c>
      <c r="G107" s="131" t="n">
        <f aca="false">IF(Assumptions!G$99=11,1,0)</f>
        <v>0</v>
      </c>
      <c r="H107" s="131" t="n">
        <f aca="false">IF(Assumptions!H$99=11,1,0)</f>
        <v>0</v>
      </c>
      <c r="I107" s="131" t="n">
        <f aca="false">IF(Assumptions!I$99=11,1,0)</f>
        <v>0</v>
      </c>
      <c r="J107" s="131" t="n">
        <f aca="false">IF(Assumptions!J$99=11,1,0)</f>
        <v>0</v>
      </c>
      <c r="K107" s="131" t="n">
        <f aca="false">IF(Assumptions!K$99=11,1,0)</f>
        <v>0</v>
      </c>
      <c r="L107" s="131" t="n">
        <f aca="false">IF(Assumptions!L$99=11,1,0)</f>
        <v>0</v>
      </c>
      <c r="M107" s="131" t="n">
        <f aca="false">IF(Assumptions!M$99=11,1,0)</f>
        <v>0</v>
      </c>
      <c r="N107" s="131" t="n">
        <f aca="false">IF(Assumptions!N$99=11,1,0)</f>
        <v>0</v>
      </c>
      <c r="O107" s="131" t="n">
        <f aca="false">IF(Assumptions!O$99=11,1,0)</f>
        <v>1</v>
      </c>
      <c r="P107" s="131" t="n">
        <f aca="false">IF(Assumptions!P$99=11,1,0)</f>
        <v>0</v>
      </c>
      <c r="Q107" s="131" t="n">
        <f aca="false">IF(Assumptions!Q$99=11,1,0)</f>
        <v>0</v>
      </c>
      <c r="R107" s="131" t="n">
        <f aca="false">IF(Assumptions!R$99=11,1,0)</f>
        <v>0</v>
      </c>
      <c r="S107" s="131" t="n">
        <f aca="false">IF(Assumptions!S$99=11,1,0)</f>
        <v>0</v>
      </c>
      <c r="T107" s="131" t="n">
        <f aca="false">IF(Assumptions!T$99=11,1,0)</f>
        <v>0</v>
      </c>
      <c r="U107" s="131" t="n">
        <f aca="false">IF(Assumptions!U$99=11,1,0)</f>
        <v>0</v>
      </c>
      <c r="V107" s="131" t="n">
        <f aca="false">IF(Assumptions!V$99=11,1,0)</f>
        <v>0</v>
      </c>
      <c r="W107" s="131" t="n">
        <f aca="false">IF(Assumptions!W$99=11,1,0)</f>
        <v>0</v>
      </c>
      <c r="X107" s="131" t="n">
        <f aca="false">IF(Assumptions!X$99=11,1,0)</f>
        <v>0</v>
      </c>
      <c r="Y107" s="131" t="n">
        <f aca="false">IF(Assumptions!Y$99=11,1,0)</f>
        <v>0</v>
      </c>
      <c r="Z107" s="131" t="n">
        <f aca="false">IF(Assumptions!Z$99=11,1,0)</f>
        <v>0</v>
      </c>
      <c r="AA107" s="131" t="n">
        <f aca="false">IF(Assumptions!AA$99=11,1,0)</f>
        <v>1</v>
      </c>
      <c r="AB107" s="131" t="n">
        <f aca="false">IF(Assumptions!AB$99=11,1,0)</f>
        <v>0</v>
      </c>
    </row>
    <row r="109" customFormat="false" ht="15" hidden="false" customHeight="false" outlineLevel="0" collapsed="false">
      <c r="A109" s="21" t="s">
        <v>1554</v>
      </c>
      <c r="B109" s="22"/>
      <c r="C109" s="22"/>
      <c r="D109" s="22"/>
      <c r="E109" s="22"/>
      <c r="F109" s="22"/>
      <c r="G109" s="22"/>
      <c r="H109" s="22"/>
    </row>
    <row r="110" customFormat="false" ht="15" hidden="false" customHeight="false" outlineLevel="0" collapsed="false">
      <c r="A110" s="25" t="s">
        <v>1555</v>
      </c>
      <c r="B110" s="26" t="s">
        <v>532</v>
      </c>
      <c r="C110" s="26" t="s">
        <v>533</v>
      </c>
      <c r="D110" s="26" t="s">
        <v>534</v>
      </c>
      <c r="E110" s="26" t="s">
        <v>535</v>
      </c>
      <c r="F110" s="26" t="s">
        <v>1556</v>
      </c>
      <c r="G110" s="26" t="s">
        <v>491</v>
      </c>
      <c r="H110" s="26" t="s">
        <v>1557</v>
      </c>
    </row>
    <row r="111" customFormat="false" ht="15" hidden="false" customHeight="false" outlineLevel="0" collapsed="false">
      <c r="A111" s="27" t="s">
        <v>1558</v>
      </c>
      <c r="B111" s="56"/>
      <c r="C111" s="115" t="n">
        <v>0.2</v>
      </c>
      <c r="D111" s="115" t="n">
        <v>-0.1</v>
      </c>
      <c r="E111" s="115" t="n">
        <v>0.35</v>
      </c>
      <c r="F111" s="59" t="n">
        <f aca="false">CHOOSE(Assumptions!$C$11,C111,D111,E111)</f>
        <v>0.2</v>
      </c>
      <c r="H111" s="56" t="s">
        <v>1559</v>
      </c>
    </row>
    <row r="112" customFormat="false" ht="15" hidden="false" customHeight="false" outlineLevel="0" collapsed="false">
      <c r="A112" s="27" t="s">
        <v>1560</v>
      </c>
      <c r="B112" s="56"/>
      <c r="C112" s="115" t="n">
        <v>0.05</v>
      </c>
      <c r="D112" s="115" t="n">
        <v>-0.15</v>
      </c>
      <c r="E112" s="115" t="n">
        <v>0.12</v>
      </c>
      <c r="F112" s="59" t="n">
        <f aca="false">CHOOSE(Assumptions!$C$11,C112,D112,E112)</f>
        <v>0.05</v>
      </c>
    </row>
    <row r="113" customFormat="false" ht="15" hidden="false" customHeight="false" outlineLevel="0" collapsed="false">
      <c r="A113" s="27" t="s">
        <v>1561</v>
      </c>
      <c r="B113" s="56"/>
      <c r="C113" s="115" t="n">
        <v>0.03</v>
      </c>
      <c r="D113" s="115" t="n">
        <v>0</v>
      </c>
      <c r="E113" s="115" t="n">
        <v>0.04</v>
      </c>
      <c r="F113" s="59" t="n">
        <f aca="false">CHOOSE(Assumptions!$C$11,C113,D113,E113)</f>
        <v>0.03</v>
      </c>
    </row>
    <row r="114" customFormat="false" ht="15" hidden="false" customHeight="false" outlineLevel="0" collapsed="false">
      <c r="A114" s="27" t="s">
        <v>1562</v>
      </c>
      <c r="B114" s="56"/>
      <c r="C114" s="115" t="n">
        <v>0.03</v>
      </c>
      <c r="D114" s="115" t="n">
        <v>0</v>
      </c>
      <c r="E114" s="115" t="n">
        <v>0.04</v>
      </c>
      <c r="F114" s="59" t="n">
        <f aca="false">CHOOSE(Assumptions!$C$11,C114,D114,E114)</f>
        <v>0.03</v>
      </c>
    </row>
    <row r="115" customFormat="false" ht="15" hidden="false" customHeight="false" outlineLevel="0" collapsed="false">
      <c r="A115" s="27" t="s">
        <v>1563</v>
      </c>
      <c r="B115" s="56"/>
      <c r="C115" s="115" t="n">
        <v>0.235</v>
      </c>
      <c r="D115" s="115" t="n">
        <v>0.205</v>
      </c>
      <c r="E115" s="115" t="n">
        <v>0.245</v>
      </c>
      <c r="F115" s="59" t="n">
        <f aca="false">CHOOSE(Assumptions!$C$11,C115,D115,E115)</f>
        <v>0.235</v>
      </c>
      <c r="G115" s="61" t="n">
        <f aca="false">IFERROR(SUMIFS(Residential!$E$23:$AB$23,Assumptions!$E$97:$AB$97,"A")/SUMIFS(Residential!$E$16:$AB$16,Assumptions!$E$97:$AB$97,"A"),0)</f>
        <v>0.219124607554492</v>
      </c>
    </row>
    <row r="116" customFormat="false" ht="15" hidden="false" customHeight="false" outlineLevel="0" collapsed="false">
      <c r="A116" s="27" t="s">
        <v>1564</v>
      </c>
      <c r="B116" s="56"/>
      <c r="C116" s="115" t="n">
        <v>0.24</v>
      </c>
      <c r="D116" s="115" t="n">
        <v>0.21</v>
      </c>
      <c r="E116" s="115" t="n">
        <v>0.255</v>
      </c>
      <c r="F116" s="59" t="n">
        <f aca="false">CHOOSE(Assumptions!$C$11,C116,D116,E116)</f>
        <v>0.24</v>
      </c>
      <c r="G116" s="61" t="n">
        <f aca="false">IFERROR(SUMIFS(Residential!$E$55:$AB$55,Assumptions!$E$97:$AB$97,"A")/SUMIFS(Residential!$E$48:$AB$48,Assumptions!$E$97:$AB$97,"A"),0)</f>
        <v>0.253548761077643</v>
      </c>
    </row>
    <row r="117" customFormat="false" ht="15" hidden="false" customHeight="false" outlineLevel="0" collapsed="false">
      <c r="A117" s="27" t="s">
        <v>1565</v>
      </c>
      <c r="B117" s="56" t="s">
        <v>1482</v>
      </c>
      <c r="C117" s="119" t="n">
        <v>0</v>
      </c>
      <c r="D117" s="119" t="n">
        <v>2</v>
      </c>
      <c r="E117" s="119" t="n">
        <v>0</v>
      </c>
      <c r="F117" s="65" t="n">
        <f aca="false">CHOOSE(Assumptions!$C$11,C117,D117,E117)</f>
        <v>0</v>
      </c>
    </row>
    <row r="118" customFormat="false" ht="15" hidden="false" customHeight="false" outlineLevel="0" collapsed="false">
      <c r="A118" s="27" t="s">
        <v>1566</v>
      </c>
      <c r="B118" s="56" t="s">
        <v>1482</v>
      </c>
      <c r="C118" s="119" t="n">
        <v>0</v>
      </c>
      <c r="D118" s="119" t="n">
        <v>1</v>
      </c>
      <c r="E118" s="119" t="n">
        <v>0</v>
      </c>
      <c r="F118" s="65" t="n">
        <f aca="false">CHOOSE(Assumptions!$C$11,C118,D118,E118)</f>
        <v>0</v>
      </c>
    </row>
    <row r="119" customFormat="false" ht="15" hidden="false" customHeight="false" outlineLevel="0" collapsed="false">
      <c r="A119" s="27" t="s">
        <v>1567</v>
      </c>
      <c r="B119" s="56"/>
      <c r="C119" s="115" t="n">
        <v>0</v>
      </c>
      <c r="D119" s="115" t="n">
        <v>0.05</v>
      </c>
      <c r="E119" s="115" t="n">
        <v>-0.01</v>
      </c>
      <c r="F119" s="59" t="n">
        <f aca="false">CHOOSE(Assumptions!$C$11,C119,D119,E119)</f>
        <v>0</v>
      </c>
      <c r="H119" s="56" t="s">
        <v>1568</v>
      </c>
    </row>
    <row r="120" customFormat="false" ht="15" hidden="false" customHeight="false" outlineLevel="0" collapsed="false">
      <c r="A120" s="27" t="s">
        <v>1569</v>
      </c>
      <c r="B120" s="56"/>
      <c r="C120" s="115" t="n">
        <v>0</v>
      </c>
      <c r="D120" s="115" t="n">
        <v>0.04</v>
      </c>
      <c r="E120" s="115" t="n">
        <v>-0.01</v>
      </c>
      <c r="F120" s="59" t="n">
        <f aca="false">CHOOSE(Assumptions!$C$11,C120,D120,E120)</f>
        <v>0</v>
      </c>
    </row>
    <row r="121" customFormat="false" ht="15" hidden="false" customHeight="false" outlineLevel="0" collapsed="false">
      <c r="A121" s="27" t="s">
        <v>1570</v>
      </c>
      <c r="B121" s="56"/>
      <c r="C121" s="115" t="n">
        <v>0.65</v>
      </c>
      <c r="D121" s="115" t="n">
        <v>0.35</v>
      </c>
      <c r="E121" s="115" t="n">
        <v>0.85</v>
      </c>
      <c r="F121" s="59" t="n">
        <f aca="false">CHOOSE(Assumptions!$C$11,C121,D121,E121)</f>
        <v>0.65</v>
      </c>
      <c r="H121" s="56" t="s">
        <v>1571</v>
      </c>
    </row>
    <row r="122" customFormat="false" ht="15" hidden="false" customHeight="false" outlineLevel="0" collapsed="false">
      <c r="A122" s="27" t="s">
        <v>1572</v>
      </c>
      <c r="B122" s="56" t="s">
        <v>1522</v>
      </c>
      <c r="C122" s="119" t="n">
        <v>0</v>
      </c>
      <c r="D122" s="119" t="n">
        <v>15</v>
      </c>
      <c r="E122" s="119" t="n">
        <v>0</v>
      </c>
      <c r="F122" s="65" t="n">
        <f aca="false">CHOOSE(Assumptions!$C$11,C122,D122,E122)</f>
        <v>0</v>
      </c>
    </row>
    <row r="123" customFormat="false" ht="15" hidden="false" customHeight="false" outlineLevel="0" collapsed="false">
      <c r="A123" s="27" t="s">
        <v>1573</v>
      </c>
      <c r="B123" s="56" t="s">
        <v>1522</v>
      </c>
      <c r="C123" s="119" t="n">
        <v>60</v>
      </c>
      <c r="D123" s="119" t="n">
        <v>90</v>
      </c>
      <c r="E123" s="119" t="n">
        <v>45</v>
      </c>
      <c r="F123" s="65" t="n">
        <f aca="false">CHOOSE(Assumptions!$C$11,C123,D123,E123)</f>
        <v>60</v>
      </c>
      <c r="G123" s="63" t="n">
        <f aca="false">INDEX(Residential!$E$38:$AB$38,Assumptions!$C$10)</f>
        <v>60.4426203606172</v>
      </c>
    </row>
    <row r="124" customFormat="false" ht="15" hidden="false" customHeight="false" outlineLevel="0" collapsed="false">
      <c r="A124" s="27" t="s">
        <v>1574</v>
      </c>
      <c r="B124" s="56" t="s">
        <v>1522</v>
      </c>
      <c r="C124" s="119" t="n">
        <v>10</v>
      </c>
      <c r="D124" s="119" t="n">
        <v>20</v>
      </c>
      <c r="E124" s="119" t="n">
        <v>7</v>
      </c>
      <c r="F124" s="65" t="n">
        <f aca="false">CHOOSE(Assumptions!$C$11,C124,D124,E124)</f>
        <v>10</v>
      </c>
      <c r="G124" s="63" t="n">
        <f aca="false">IFERROR((INDEX(Residential!$E$35:$AB$35,Assumptions!$C$10)+INDEX(Residential!$E$64:$AB$64,Assumptions!$C$10))/(INDEX(Residential!$E$26:$AB$26,Assumptions!$C$10)+INDEX(Residential!$E$57:$AB$57,Assumptions!$C$10))*30,0)</f>
        <v>11.5398617588403</v>
      </c>
    </row>
    <row r="125" customFormat="false" ht="15" hidden="false" customHeight="false" outlineLevel="0" collapsed="false">
      <c r="A125" s="27" t="s">
        <v>1575</v>
      </c>
      <c r="B125" s="56" t="s">
        <v>1576</v>
      </c>
      <c r="C125" s="119" t="n">
        <v>1</v>
      </c>
      <c r="D125" s="119" t="n">
        <v>0</v>
      </c>
      <c r="E125" s="119" t="n">
        <v>1</v>
      </c>
      <c r="F125" s="65" t="n">
        <f aca="false">CHOOSE(Assumptions!$C$11,C125,D125,E125)</f>
        <v>1</v>
      </c>
    </row>
    <row r="126" customFormat="false" ht="15" hidden="false" customHeight="false" outlineLevel="0" collapsed="false">
      <c r="A126" s="27" t="s">
        <v>1577</v>
      </c>
      <c r="B126" s="56" t="s">
        <v>1576</v>
      </c>
      <c r="C126" s="119" t="n">
        <v>1</v>
      </c>
      <c r="D126" s="119" t="n">
        <v>0</v>
      </c>
      <c r="E126" s="119" t="n">
        <v>1</v>
      </c>
      <c r="F126" s="65" t="n">
        <f aca="false">CHOOSE(Assumptions!$C$11,C126,D126,E126)</f>
        <v>1</v>
      </c>
    </row>
    <row r="127" customFormat="false" ht="15" hidden="false" customHeight="false" outlineLevel="0" collapsed="false">
      <c r="A127" s="27" t="s">
        <v>1578</v>
      </c>
      <c r="B127" s="56" t="s">
        <v>1579</v>
      </c>
      <c r="C127" s="136" t="n">
        <v>1</v>
      </c>
      <c r="D127" s="136" t="n">
        <v>0.9</v>
      </c>
      <c r="E127" s="136" t="n">
        <v>1</v>
      </c>
      <c r="F127" s="108" t="n">
        <f aca="false">CHOOSE(Assumptions!$C$11,C127,D127,E127)</f>
        <v>1</v>
      </c>
    </row>
    <row r="128" customFormat="false" ht="15" hidden="false" customHeight="false" outlineLevel="0" collapsed="false">
      <c r="A128" s="27" t="s">
        <v>1580</v>
      </c>
      <c r="B128" s="56"/>
      <c r="C128" s="115" t="n">
        <v>0.75</v>
      </c>
      <c r="D128" s="115" t="n">
        <v>0.5</v>
      </c>
      <c r="E128" s="115" t="n">
        <v>0.9</v>
      </c>
      <c r="F128" s="59" t="n">
        <f aca="false">CHOOSE(Assumptions!$C$11,C128,D128,E128)</f>
        <v>0.75</v>
      </c>
    </row>
    <row r="129" customFormat="false" ht="15" hidden="false" customHeight="false" outlineLevel="0" collapsed="false">
      <c r="A129" s="27" t="s">
        <v>1581</v>
      </c>
      <c r="B129" s="56" t="s">
        <v>554</v>
      </c>
      <c r="C129" s="124" t="n">
        <v>46356</v>
      </c>
      <c r="D129" s="124" t="n">
        <v>46446</v>
      </c>
      <c r="E129" s="124" t="n">
        <v>46326</v>
      </c>
      <c r="F129" s="137" t="n">
        <f aca="false">CHOOSE(Assumptions!$C$11,C129,D129,E129)</f>
        <v>46356</v>
      </c>
    </row>
  </sheetData>
  <dataValidations count="1">
    <dataValidation allowBlank="false" errorStyle="stop" operator="between" showDropDown="false" showErrorMessage="false" showInputMessage="false" sqref="C11" type="list">
      <formula1>"1,2,3"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4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1582</v>
      </c>
    </row>
    <row r="3" customFormat="false" ht="15" hidden="false" customHeight="false" outlineLevel="0" collapsed="false">
      <c r="A3" s="47" t="s">
        <v>1583</v>
      </c>
    </row>
    <row r="4" customFormat="false" ht="15" hidden="false" customHeight="false" outlineLevel="0" collapsed="false">
      <c r="A4" s="48" t="s">
        <v>292</v>
      </c>
      <c r="B4" s="48" t="s">
        <v>293</v>
      </c>
      <c r="C4" s="49" t="s">
        <v>294</v>
      </c>
      <c r="D4" s="49" t="s">
        <v>295</v>
      </c>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c r="Q4" s="50" t="n">
        <f aca="false">Assumptions!Q$95</f>
        <v>46418</v>
      </c>
      <c r="R4" s="50" t="n">
        <f aca="false">Assumptions!R$95</f>
        <v>46446</v>
      </c>
      <c r="S4" s="50" t="n">
        <f aca="false">Assumptions!S$95</f>
        <v>46477</v>
      </c>
      <c r="T4" s="50" t="n">
        <f aca="false">Assumptions!T$95</f>
        <v>46507</v>
      </c>
      <c r="U4" s="50" t="n">
        <f aca="false">Assumptions!U$95</f>
        <v>46538</v>
      </c>
      <c r="V4" s="50" t="n">
        <f aca="false">Assumptions!V$95</f>
        <v>46568</v>
      </c>
      <c r="W4" s="50" t="n">
        <f aca="false">Assumptions!W$95</f>
        <v>46599</v>
      </c>
      <c r="X4" s="50" t="n">
        <f aca="false">Assumptions!X$95</f>
        <v>46630</v>
      </c>
      <c r="Y4" s="50" t="n">
        <f aca="false">Assumptions!Y$95</f>
        <v>46660</v>
      </c>
      <c r="Z4" s="50" t="n">
        <f aca="false">Assumptions!Z$95</f>
        <v>46691</v>
      </c>
      <c r="AA4" s="50" t="n">
        <f aca="false">Assumptions!AA$95</f>
        <v>46721</v>
      </c>
      <c r="AB4" s="50" t="n">
        <f aca="false">Assumptions!AB$95</f>
        <v>46752</v>
      </c>
    </row>
    <row r="5" customFormat="false" ht="15" hidden="false" customHeight="false" outlineLevel="0" collapsed="false">
      <c r="A5" s="51" t="s">
        <v>296</v>
      </c>
      <c r="B5" s="52"/>
      <c r="C5" s="53" t="s">
        <v>297</v>
      </c>
      <c r="D5" s="53" t="s">
        <v>298</v>
      </c>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c r="Q5" s="53" t="str">
        <f aca="false">Assumptions!Q$97</f>
        <v>F</v>
      </c>
      <c r="R5" s="53" t="str">
        <f aca="false">Assumptions!R$97</f>
        <v>F</v>
      </c>
      <c r="S5" s="53" t="str">
        <f aca="false">Assumptions!S$97</f>
        <v>F</v>
      </c>
      <c r="T5" s="53" t="str">
        <f aca="false">Assumptions!T$97</f>
        <v>F</v>
      </c>
      <c r="U5" s="53" t="str">
        <f aca="false">Assumptions!U$97</f>
        <v>F</v>
      </c>
      <c r="V5" s="53" t="str">
        <f aca="false">Assumptions!V$97</f>
        <v>F</v>
      </c>
      <c r="W5" s="53" t="str">
        <f aca="false">Assumptions!W$97</f>
        <v>F</v>
      </c>
      <c r="X5" s="53" t="str">
        <f aca="false">Assumptions!X$97</f>
        <v>F</v>
      </c>
      <c r="Y5" s="53" t="str">
        <f aca="false">Assumptions!Y$97</f>
        <v>F</v>
      </c>
      <c r="Z5" s="53" t="str">
        <f aca="false">Assumptions!Z$97</f>
        <v>F</v>
      </c>
      <c r="AA5" s="53" t="str">
        <f aca="false">Assumptions!AA$97</f>
        <v>F</v>
      </c>
      <c r="AB5" s="53" t="str">
        <f aca="false">Assumptions!AB$97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c r="Q6" s="55" t="n">
        <f aca="false">Assumptions!Q$96</f>
        <v>13</v>
      </c>
      <c r="R6" s="55" t="n">
        <f aca="false">Assumptions!R$96</f>
        <v>14</v>
      </c>
      <c r="S6" s="55" t="n">
        <f aca="false">Assumptions!S$96</f>
        <v>15</v>
      </c>
      <c r="T6" s="55" t="n">
        <f aca="false">Assumptions!T$96</f>
        <v>16</v>
      </c>
      <c r="U6" s="55" t="n">
        <f aca="false">Assumptions!U$96</f>
        <v>17</v>
      </c>
      <c r="V6" s="55" t="n">
        <f aca="false">Assumptions!V$96</f>
        <v>18</v>
      </c>
      <c r="W6" s="55" t="n">
        <f aca="false">Assumptions!W$96</f>
        <v>19</v>
      </c>
      <c r="X6" s="55" t="n">
        <f aca="false">Assumptions!X$96</f>
        <v>20</v>
      </c>
      <c r="Y6" s="55" t="n">
        <f aca="false">Assumptions!Y$96</f>
        <v>21</v>
      </c>
      <c r="Z6" s="55" t="n">
        <f aca="false">Assumptions!Z$96</f>
        <v>22</v>
      </c>
      <c r="AA6" s="55" t="n">
        <f aca="false">Assumptions!AA$96</f>
        <v>23</v>
      </c>
      <c r="AB6" s="55" t="n">
        <f aca="false">Assumptions!AB$96</f>
        <v>24</v>
      </c>
    </row>
    <row r="8" customFormat="false" ht="15" hidden="false" customHeight="false" outlineLevel="0" collapsed="false">
      <c r="A8" s="21" t="s">
        <v>1584</v>
      </c>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customFormat="false" ht="15" hidden="false" customHeight="false" outlineLevel="0" collapsed="false">
      <c r="A9" s="27" t="s">
        <v>1585</v>
      </c>
      <c r="B9" s="56" t="s">
        <v>1586</v>
      </c>
      <c r="C9" s="57" t="n">
        <f aca="false">SUM(E9:P9)</f>
        <v>46241.49</v>
      </c>
      <c r="E9" s="71" t="n">
        <v>20871.48</v>
      </c>
      <c r="F9" s="71" t="n">
        <v>17684.27</v>
      </c>
      <c r="G9" s="71" t="n">
        <v>7685.74</v>
      </c>
      <c r="H9" s="71" t="n">
        <v>0</v>
      </c>
      <c r="I9" s="71" t="n">
        <v>0</v>
      </c>
      <c r="J9" s="71" t="n">
        <v>0</v>
      </c>
      <c r="K9" s="71" t="n">
        <v>0</v>
      </c>
      <c r="L9" s="71" t="n">
        <v>0</v>
      </c>
    </row>
    <row r="10" customFormat="false" ht="15" hidden="false" customHeight="false" outlineLevel="0" collapsed="false">
      <c r="A10" s="27" t="s">
        <v>1587</v>
      </c>
      <c r="B10" s="56" t="s">
        <v>1586</v>
      </c>
      <c r="C10" s="57" t="n">
        <f aca="false">SUM(E10:P10)</f>
        <v>139442.55</v>
      </c>
      <c r="E10" s="71" t="n">
        <v>61951.26</v>
      </c>
      <c r="F10" s="71" t="n">
        <v>52022.57</v>
      </c>
      <c r="G10" s="71" t="n">
        <v>25468.72</v>
      </c>
      <c r="H10" s="71" t="n">
        <v>0</v>
      </c>
      <c r="I10" s="71" t="n">
        <v>0</v>
      </c>
      <c r="J10" s="71" t="n">
        <v>0</v>
      </c>
      <c r="K10" s="71" t="n">
        <v>0</v>
      </c>
      <c r="L10" s="71" t="n">
        <v>0</v>
      </c>
    </row>
    <row r="11" customFormat="false" ht="15" hidden="false" customHeight="false" outlineLevel="0" collapsed="false">
      <c r="A11" s="27" t="s">
        <v>1588</v>
      </c>
      <c r="B11" s="56" t="s">
        <v>1586</v>
      </c>
      <c r="C11" s="57" t="n">
        <f aca="false">SUM(E11:P11)</f>
        <v>68644.3</v>
      </c>
      <c r="E11" s="71" t="n">
        <v>31369.52</v>
      </c>
      <c r="F11" s="71" t="n">
        <v>25055.71</v>
      </c>
      <c r="G11" s="71" t="n">
        <v>12219.07</v>
      </c>
      <c r="H11" s="71" t="n">
        <v>0</v>
      </c>
      <c r="I11" s="71" t="n">
        <v>0</v>
      </c>
      <c r="J11" s="71" t="n">
        <v>0</v>
      </c>
      <c r="K11" s="71" t="n">
        <v>0</v>
      </c>
      <c r="L11" s="71" t="n">
        <v>0</v>
      </c>
    </row>
    <row r="12" customFormat="false" ht="15" hidden="false" customHeight="false" outlineLevel="0" collapsed="false">
      <c r="A12" s="27" t="s">
        <v>1589</v>
      </c>
      <c r="B12" s="56" t="s">
        <v>1586</v>
      </c>
      <c r="C12" s="57" t="n">
        <f aca="false">SUM(E12:P12)</f>
        <v>8504.12</v>
      </c>
      <c r="E12" s="71" t="n">
        <v>3705.32</v>
      </c>
      <c r="F12" s="71" t="n">
        <v>3404.59</v>
      </c>
      <c r="G12" s="71" t="n">
        <v>1394.21</v>
      </c>
      <c r="H12" s="71" t="n">
        <v>0</v>
      </c>
      <c r="I12" s="71" t="n">
        <v>0</v>
      </c>
      <c r="J12" s="71" t="n">
        <v>0</v>
      </c>
      <c r="K12" s="71" t="n">
        <v>0</v>
      </c>
      <c r="L12" s="71" t="n">
        <v>0</v>
      </c>
    </row>
    <row r="13" customFormat="false" ht="15" hidden="false" customHeight="false" outlineLevel="0" collapsed="false">
      <c r="A13" s="27" t="s">
        <v>1590</v>
      </c>
      <c r="B13" s="56" t="s">
        <v>1586</v>
      </c>
      <c r="C13" s="57" t="n">
        <f aca="false">SUM(E13:P13)</f>
        <v>19521.52</v>
      </c>
      <c r="E13" s="71" t="n">
        <v>8828.56</v>
      </c>
      <c r="F13" s="71" t="n">
        <v>7071.15</v>
      </c>
      <c r="G13" s="71" t="n">
        <v>3621.81</v>
      </c>
      <c r="H13" s="71" t="n">
        <v>0</v>
      </c>
      <c r="I13" s="71" t="n">
        <v>0</v>
      </c>
      <c r="J13" s="71" t="n">
        <v>0</v>
      </c>
      <c r="K13" s="71" t="n">
        <v>0</v>
      </c>
      <c r="L13" s="71" t="n">
        <v>0</v>
      </c>
    </row>
    <row r="14" customFormat="false" ht="15" hidden="false" customHeight="false" outlineLevel="0" collapsed="false">
      <c r="A14" s="27" t="s">
        <v>1591</v>
      </c>
      <c r="B14" s="56" t="s">
        <v>1592</v>
      </c>
      <c r="E14" s="71" t="n">
        <v>155627.84</v>
      </c>
      <c r="F14" s="71" t="n">
        <v>50389.55</v>
      </c>
      <c r="G14" s="71" t="n">
        <v>0</v>
      </c>
      <c r="H14" s="71" t="n">
        <v>0</v>
      </c>
      <c r="I14" s="71" t="n">
        <v>0</v>
      </c>
      <c r="J14" s="71" t="n">
        <v>0</v>
      </c>
      <c r="K14" s="71" t="n">
        <v>0</v>
      </c>
      <c r="L14" s="71" t="n">
        <v>0</v>
      </c>
    </row>
    <row r="15" customFormat="false" ht="15" hidden="false" customHeight="false" outlineLevel="0" collapsed="false">
      <c r="A15" s="27" t="s">
        <v>1593</v>
      </c>
      <c r="B15" s="56" t="s">
        <v>1594</v>
      </c>
      <c r="C15" s="57" t="n">
        <f aca="false">SUM(E15:P15)</f>
        <v>363553.44</v>
      </c>
      <c r="E15" s="71" t="n">
        <v>158017.94</v>
      </c>
      <c r="F15" s="71" t="n">
        <v>139314.06</v>
      </c>
      <c r="G15" s="71" t="n">
        <v>74221.44</v>
      </c>
      <c r="H15" s="71" t="n">
        <v>0</v>
      </c>
      <c r="I15" s="71" t="n">
        <v>-8000</v>
      </c>
      <c r="J15" s="71" t="n">
        <v>0</v>
      </c>
      <c r="K15" s="71" t="n">
        <v>0</v>
      </c>
      <c r="L15" s="71" t="n">
        <v>0</v>
      </c>
    </row>
    <row r="16" customFormat="false" ht="15" hidden="false" customHeight="false" outlineLevel="0" collapsed="false">
      <c r="A16" s="27" t="s">
        <v>1595</v>
      </c>
      <c r="B16" s="56" t="s">
        <v>1596</v>
      </c>
      <c r="C16" s="57" t="n">
        <f aca="false">SUM(E16:P16)</f>
        <v>541726.44</v>
      </c>
      <c r="E16" s="71" t="n">
        <v>174998.85</v>
      </c>
      <c r="F16" s="71" t="n">
        <v>142112.26</v>
      </c>
      <c r="G16" s="71" t="n">
        <v>150867.59</v>
      </c>
      <c r="H16" s="71" t="n">
        <v>61047.74</v>
      </c>
      <c r="I16" s="71" t="n">
        <v>12700</v>
      </c>
      <c r="J16" s="71" t="n">
        <v>0</v>
      </c>
      <c r="K16" s="71" t="n">
        <v>0</v>
      </c>
      <c r="L16" s="71" t="n">
        <v>0</v>
      </c>
    </row>
    <row r="17" customFormat="false" ht="15" hidden="false" customHeight="false" outlineLevel="0" collapsed="false">
      <c r="A17" s="27" t="s">
        <v>1597</v>
      </c>
      <c r="B17" s="56" t="s">
        <v>1598</v>
      </c>
      <c r="C17" s="57" t="n">
        <f aca="false">SUM(E17:P17)</f>
        <v>834128.26</v>
      </c>
      <c r="E17" s="71" t="n">
        <v>217597.9</v>
      </c>
      <c r="F17" s="71" t="n">
        <v>205867.58</v>
      </c>
      <c r="G17" s="71" t="n">
        <v>125893.45</v>
      </c>
      <c r="H17" s="71" t="n">
        <v>155017.36</v>
      </c>
      <c r="I17" s="71" t="n">
        <v>115232.36</v>
      </c>
      <c r="J17" s="71" t="n">
        <v>14519.61</v>
      </c>
      <c r="K17" s="71" t="n">
        <v>0</v>
      </c>
      <c r="L17" s="71" t="n">
        <v>0</v>
      </c>
    </row>
    <row r="18" customFormat="false" ht="15" hidden="false" customHeight="false" outlineLevel="0" collapsed="false">
      <c r="A18" s="27" t="s">
        <v>1599</v>
      </c>
      <c r="B18" s="56" t="s">
        <v>1586</v>
      </c>
      <c r="C18" s="57" t="n">
        <f aca="false">SUM(E18:P18)</f>
        <v>62064.74</v>
      </c>
      <c r="E18" s="71" t="n">
        <v>25139.45</v>
      </c>
      <c r="F18" s="71" t="n">
        <v>19305.56</v>
      </c>
      <c r="G18" s="71" t="n">
        <v>11616.66</v>
      </c>
      <c r="H18" s="71" t="n">
        <v>6003.07</v>
      </c>
      <c r="I18" s="71" t="n">
        <v>0</v>
      </c>
      <c r="J18" s="71" t="n">
        <v>0</v>
      </c>
      <c r="K18" s="71" t="n">
        <v>0</v>
      </c>
      <c r="L18" s="71" t="n">
        <v>0</v>
      </c>
    </row>
    <row r="19" customFormat="false" ht="15" hidden="false" customHeight="false" outlineLevel="0" collapsed="false">
      <c r="A19" s="27" t="s">
        <v>1600</v>
      </c>
      <c r="B19" s="56" t="s">
        <v>1586</v>
      </c>
      <c r="C19" s="57" t="n">
        <f aca="false">SUM(E19:P19)</f>
        <v>271319.35</v>
      </c>
      <c r="E19" s="71" t="n">
        <v>115846.57</v>
      </c>
      <c r="F19" s="71" t="n">
        <v>86983.55</v>
      </c>
      <c r="G19" s="71" t="n">
        <v>45995.01</v>
      </c>
      <c r="H19" s="71" t="n">
        <v>22494.22</v>
      </c>
      <c r="I19" s="71" t="n">
        <v>0</v>
      </c>
      <c r="J19" s="71" t="n">
        <v>0</v>
      </c>
      <c r="K19" s="71" t="n">
        <v>0</v>
      </c>
      <c r="L19" s="71" t="n">
        <v>0</v>
      </c>
    </row>
    <row r="20" customFormat="false" ht="15" hidden="false" customHeight="false" outlineLevel="0" collapsed="false">
      <c r="A20" s="27" t="s">
        <v>1601</v>
      </c>
      <c r="B20" s="56" t="s">
        <v>1586</v>
      </c>
      <c r="C20" s="57" t="n">
        <f aca="false">SUM(E20:P20)</f>
        <v>111445.86</v>
      </c>
      <c r="E20" s="71" t="n">
        <v>47365.64</v>
      </c>
      <c r="F20" s="71" t="n">
        <v>34162.6</v>
      </c>
      <c r="G20" s="71" t="n">
        <v>19879.12</v>
      </c>
      <c r="H20" s="71" t="n">
        <v>10038.5</v>
      </c>
      <c r="I20" s="71" t="n">
        <v>0</v>
      </c>
      <c r="J20" s="71" t="n">
        <v>0</v>
      </c>
      <c r="K20" s="71" t="n">
        <v>0</v>
      </c>
      <c r="L20" s="71" t="n">
        <v>0</v>
      </c>
    </row>
    <row r="21" customFormat="false" ht="15" hidden="false" customHeight="false" outlineLevel="0" collapsed="false">
      <c r="A21" s="27" t="s">
        <v>1602</v>
      </c>
      <c r="B21" s="56" t="s">
        <v>1586</v>
      </c>
      <c r="C21" s="57" t="n">
        <f aca="false">SUM(E21:P21)</f>
        <v>14462.99</v>
      </c>
      <c r="E21" s="71" t="n">
        <v>5935.65</v>
      </c>
      <c r="F21" s="71" t="n">
        <v>4596.24</v>
      </c>
      <c r="G21" s="71" t="n">
        <v>2738.29</v>
      </c>
      <c r="H21" s="71" t="n">
        <v>1192.81</v>
      </c>
      <c r="I21" s="71" t="n">
        <v>0</v>
      </c>
      <c r="J21" s="71" t="n">
        <v>0</v>
      </c>
      <c r="K21" s="71" t="n">
        <v>0</v>
      </c>
      <c r="L21" s="71" t="n">
        <v>0</v>
      </c>
    </row>
    <row r="22" customFormat="false" ht="15" hidden="false" customHeight="false" outlineLevel="0" collapsed="false">
      <c r="A22" s="27" t="s">
        <v>1603</v>
      </c>
      <c r="B22" s="56" t="s">
        <v>1586</v>
      </c>
      <c r="C22" s="57" t="n">
        <f aca="false">SUM(E22:P22)</f>
        <v>24540.69</v>
      </c>
      <c r="E22" s="71" t="n">
        <v>11112.56</v>
      </c>
      <c r="F22" s="71" t="n">
        <v>7506.6</v>
      </c>
      <c r="G22" s="71" t="n">
        <v>3978.11</v>
      </c>
      <c r="H22" s="71" t="n">
        <v>1943.42</v>
      </c>
      <c r="I22" s="71" t="n">
        <v>0</v>
      </c>
      <c r="J22" s="71" t="n">
        <v>0</v>
      </c>
      <c r="K22" s="71" t="n">
        <v>0</v>
      </c>
      <c r="L22" s="71" t="n">
        <v>0</v>
      </c>
    </row>
    <row r="23" customFormat="false" ht="15" hidden="false" customHeight="false" outlineLevel="0" collapsed="false">
      <c r="A23" s="27" t="s">
        <v>1604</v>
      </c>
      <c r="B23" s="56" t="s">
        <v>1592</v>
      </c>
      <c r="E23" s="71" t="n">
        <v>285433.75</v>
      </c>
      <c r="F23" s="71" t="n">
        <v>132879.2</v>
      </c>
      <c r="G23" s="71" t="n">
        <v>41672.01</v>
      </c>
      <c r="H23" s="71" t="n">
        <v>0</v>
      </c>
      <c r="I23" s="71" t="n">
        <v>0</v>
      </c>
      <c r="J23" s="71" t="n">
        <v>0</v>
      </c>
      <c r="K23" s="71" t="n">
        <v>0</v>
      </c>
      <c r="L23" s="71" t="n">
        <v>0</v>
      </c>
    </row>
    <row r="24" customFormat="false" ht="15" hidden="false" customHeight="false" outlineLevel="0" collapsed="false">
      <c r="A24" s="27" t="s">
        <v>1605</v>
      </c>
      <c r="B24" s="56" t="s">
        <v>1594</v>
      </c>
      <c r="C24" s="57" t="n">
        <f aca="false">SUM(E24:P24)</f>
        <v>583692.68</v>
      </c>
      <c r="E24" s="71" t="n">
        <v>236014.85</v>
      </c>
      <c r="F24" s="71" t="n">
        <v>188104.4</v>
      </c>
      <c r="G24" s="71" t="n">
        <v>105874.14</v>
      </c>
      <c r="H24" s="71" t="n">
        <v>53699.29</v>
      </c>
      <c r="I24" s="71" t="n">
        <v>0</v>
      </c>
      <c r="J24" s="71" t="n">
        <v>0</v>
      </c>
      <c r="K24" s="71" t="n">
        <v>0</v>
      </c>
      <c r="L24" s="71" t="n">
        <v>0</v>
      </c>
    </row>
    <row r="25" customFormat="false" ht="15" hidden="false" customHeight="false" outlineLevel="0" collapsed="false">
      <c r="A25" s="27" t="s">
        <v>1606</v>
      </c>
      <c r="B25" s="56" t="s">
        <v>1596</v>
      </c>
      <c r="C25" s="57" t="n">
        <f aca="false">SUM(E25:P25)</f>
        <v>777258.13</v>
      </c>
      <c r="E25" s="71" t="n">
        <v>189080.59</v>
      </c>
      <c r="F25" s="71" t="n">
        <v>246999.57</v>
      </c>
      <c r="G25" s="71" t="n">
        <v>176789.48</v>
      </c>
      <c r="H25" s="71" t="n">
        <v>115276.63</v>
      </c>
      <c r="I25" s="71" t="n">
        <v>49111.86</v>
      </c>
      <c r="J25" s="71" t="n">
        <v>0</v>
      </c>
      <c r="K25" s="71" t="n">
        <v>0</v>
      </c>
      <c r="L25" s="71" t="n">
        <v>0</v>
      </c>
    </row>
    <row r="26" customFormat="false" ht="15" hidden="false" customHeight="false" outlineLevel="0" collapsed="false">
      <c r="A26" s="27" t="s">
        <v>1607</v>
      </c>
      <c r="B26" s="56" t="s">
        <v>1598</v>
      </c>
      <c r="C26" s="57" t="n">
        <f aca="false">SUM(E26:P26)</f>
        <v>922317.43</v>
      </c>
      <c r="E26" s="71" t="n">
        <v>144766.1</v>
      </c>
      <c r="F26" s="71" t="n">
        <v>163070.87</v>
      </c>
      <c r="G26" s="71" t="n">
        <v>253854.78</v>
      </c>
      <c r="H26" s="71" t="n">
        <v>178666.93</v>
      </c>
      <c r="I26" s="71" t="n">
        <v>112812.06</v>
      </c>
      <c r="J26" s="71" t="n">
        <v>69146.69</v>
      </c>
      <c r="K26" s="71" t="n">
        <v>0</v>
      </c>
      <c r="L26" s="71" t="n">
        <v>0</v>
      </c>
    </row>
    <row r="27" customFormat="false" ht="15" hidden="false" customHeight="false" outlineLevel="0" collapsed="false">
      <c r="A27" s="27" t="s">
        <v>1608</v>
      </c>
      <c r="B27" s="56" t="s">
        <v>1586</v>
      </c>
      <c r="C27" s="57" t="n">
        <f aca="false">SUM(E27:P27)</f>
        <v>136231.64</v>
      </c>
      <c r="E27" s="71" t="n">
        <v>0</v>
      </c>
      <c r="F27" s="71" t="n">
        <v>0</v>
      </c>
      <c r="G27" s="71" t="n">
        <v>4847.06</v>
      </c>
      <c r="H27" s="71" t="n">
        <v>13397.14</v>
      </c>
      <c r="I27" s="71" t="n">
        <v>23717.38</v>
      </c>
      <c r="J27" s="71" t="n">
        <v>29166.41</v>
      </c>
      <c r="K27" s="71" t="n">
        <v>35066.67</v>
      </c>
      <c r="L27" s="71" t="n">
        <v>30036.98</v>
      </c>
    </row>
    <row r="28" customFormat="false" ht="15" hidden="false" customHeight="false" outlineLevel="0" collapsed="false">
      <c r="A28" s="27" t="s">
        <v>1609</v>
      </c>
      <c r="B28" s="56" t="s">
        <v>1586</v>
      </c>
      <c r="C28" s="57" t="n">
        <f aca="false">SUM(E28:P28)</f>
        <v>423132.33</v>
      </c>
      <c r="E28" s="71" t="n">
        <v>0</v>
      </c>
      <c r="F28" s="71" t="n">
        <v>0</v>
      </c>
      <c r="G28" s="71" t="n">
        <v>18113.03</v>
      </c>
      <c r="H28" s="71" t="n">
        <v>44923.87</v>
      </c>
      <c r="I28" s="71" t="n">
        <v>70640.96</v>
      </c>
      <c r="J28" s="71" t="n">
        <v>89625.98</v>
      </c>
      <c r="K28" s="71" t="n">
        <v>109569.75</v>
      </c>
      <c r="L28" s="71" t="n">
        <v>90258.74</v>
      </c>
    </row>
    <row r="29" customFormat="false" ht="15" hidden="false" customHeight="false" outlineLevel="0" collapsed="false">
      <c r="A29" s="27" t="s">
        <v>1610</v>
      </c>
      <c r="B29" s="56" t="s">
        <v>1586</v>
      </c>
      <c r="C29" s="57" t="n">
        <f aca="false">SUM(E29:P29)</f>
        <v>204717.81</v>
      </c>
      <c r="E29" s="71" t="n">
        <v>0</v>
      </c>
      <c r="F29" s="71" t="n">
        <v>0</v>
      </c>
      <c r="G29" s="71" t="n">
        <v>7969.6</v>
      </c>
      <c r="H29" s="71" t="n">
        <v>21409.7</v>
      </c>
      <c r="I29" s="71" t="n">
        <v>34121.09</v>
      </c>
      <c r="J29" s="71" t="n">
        <v>47617.47</v>
      </c>
      <c r="K29" s="71" t="n">
        <v>55295.75</v>
      </c>
      <c r="L29" s="71" t="n">
        <v>38304.2</v>
      </c>
    </row>
    <row r="30" customFormat="false" ht="15" hidden="false" customHeight="false" outlineLevel="0" collapsed="false">
      <c r="A30" s="27" t="s">
        <v>1611</v>
      </c>
      <c r="B30" s="56" t="s">
        <v>1586</v>
      </c>
      <c r="C30" s="57" t="n">
        <f aca="false">SUM(E30:P30)</f>
        <v>25174.65</v>
      </c>
      <c r="E30" s="71" t="n">
        <v>0</v>
      </c>
      <c r="F30" s="71" t="n">
        <v>0</v>
      </c>
      <c r="G30" s="71" t="n">
        <v>989.86</v>
      </c>
      <c r="H30" s="71" t="n">
        <v>2574.07</v>
      </c>
      <c r="I30" s="71" t="n">
        <v>4285.88</v>
      </c>
      <c r="J30" s="71" t="n">
        <v>5906.54</v>
      </c>
      <c r="K30" s="71" t="n">
        <v>6585.68</v>
      </c>
      <c r="L30" s="71" t="n">
        <v>4832.62</v>
      </c>
    </row>
    <row r="31" customFormat="false" ht="15" hidden="false" customHeight="false" outlineLevel="0" collapsed="false">
      <c r="A31" s="27" t="s">
        <v>1612</v>
      </c>
      <c r="B31" s="56" t="s">
        <v>1586</v>
      </c>
      <c r="C31" s="57" t="n">
        <f aca="false">SUM(E31:P31)</f>
        <v>61214.51</v>
      </c>
      <c r="E31" s="71" t="n">
        <v>0</v>
      </c>
      <c r="F31" s="71" t="n">
        <v>0</v>
      </c>
      <c r="G31" s="71" t="n">
        <v>2446.98</v>
      </c>
      <c r="H31" s="71" t="n">
        <v>6577.39</v>
      </c>
      <c r="I31" s="71" t="n">
        <v>10558.36</v>
      </c>
      <c r="J31" s="71" t="n">
        <v>13057.1</v>
      </c>
      <c r="K31" s="71" t="n">
        <v>16107.85</v>
      </c>
      <c r="L31" s="71" t="n">
        <v>12466.83</v>
      </c>
    </row>
    <row r="32" customFormat="false" ht="15" hidden="false" customHeight="false" outlineLevel="0" collapsed="false">
      <c r="A32" s="27" t="s">
        <v>1613</v>
      </c>
      <c r="B32" s="56" t="s">
        <v>1592</v>
      </c>
      <c r="G32" s="71" t="n">
        <v>983633.47</v>
      </c>
      <c r="H32" s="71" t="n">
        <v>894751.3</v>
      </c>
      <c r="I32" s="71" t="n">
        <v>847427.63</v>
      </c>
      <c r="J32" s="71" t="n">
        <v>706054.13</v>
      </c>
      <c r="K32" s="71" t="n">
        <v>483428.43</v>
      </c>
      <c r="L32" s="71" t="n">
        <v>339529.06</v>
      </c>
    </row>
    <row r="33" customFormat="false" ht="15" hidden="false" customHeight="false" outlineLevel="0" collapsed="false">
      <c r="A33" s="27" t="s">
        <v>1614</v>
      </c>
      <c r="B33" s="56" t="s">
        <v>1594</v>
      </c>
      <c r="C33" s="57" t="n">
        <f aca="false">SUM(E33:P33)</f>
        <v>909074.82</v>
      </c>
      <c r="E33" s="71" t="n">
        <v>0</v>
      </c>
      <c r="F33" s="71" t="n">
        <v>0</v>
      </c>
      <c r="G33" s="71" t="n">
        <v>39835.47</v>
      </c>
      <c r="H33" s="71" t="n">
        <v>103444.17</v>
      </c>
      <c r="I33" s="71" t="n">
        <v>144039.43</v>
      </c>
      <c r="J33" s="71" t="n">
        <v>188102.23</v>
      </c>
      <c r="K33" s="71" t="n">
        <v>254607.28</v>
      </c>
      <c r="L33" s="71" t="n">
        <v>179046.24</v>
      </c>
    </row>
    <row r="34" customFormat="false" ht="15" hidden="false" customHeight="false" outlineLevel="0" collapsed="false">
      <c r="A34" s="27" t="s">
        <v>1615</v>
      </c>
      <c r="B34" s="56" t="s">
        <v>1596</v>
      </c>
      <c r="C34" s="57" t="n">
        <f aca="false">SUM(E34:P34)</f>
        <v>706610.81</v>
      </c>
      <c r="E34" s="71" t="n">
        <v>0</v>
      </c>
      <c r="F34" s="71" t="n">
        <v>0</v>
      </c>
      <c r="G34" s="71" t="n">
        <v>0</v>
      </c>
      <c r="H34" s="71" t="n">
        <v>39835.47</v>
      </c>
      <c r="I34" s="71" t="n">
        <v>103026.48</v>
      </c>
      <c r="J34" s="71" t="n">
        <v>139503.76</v>
      </c>
      <c r="K34" s="71" t="n">
        <v>191045.64</v>
      </c>
      <c r="L34" s="71" t="n">
        <v>233199.46</v>
      </c>
    </row>
    <row r="35" customFormat="false" ht="15" hidden="false" customHeight="false" outlineLevel="0" collapsed="false">
      <c r="A35" s="27" t="s">
        <v>1616</v>
      </c>
      <c r="B35" s="56" t="s">
        <v>1598</v>
      </c>
      <c r="C35" s="57" t="n">
        <f aca="false">SUM(E35:P35)</f>
        <v>527747</v>
      </c>
      <c r="E35" s="71" t="n">
        <v>0</v>
      </c>
      <c r="F35" s="71" t="n">
        <v>0</v>
      </c>
      <c r="G35" s="71" t="n">
        <v>0</v>
      </c>
      <c r="H35" s="71" t="n">
        <v>4497.27</v>
      </c>
      <c r="I35" s="71" t="n">
        <v>40564.92</v>
      </c>
      <c r="J35" s="71" t="n">
        <v>122518.96</v>
      </c>
      <c r="K35" s="71" t="n">
        <v>136091.39</v>
      </c>
      <c r="L35" s="71" t="n">
        <v>224074.46</v>
      </c>
    </row>
    <row r="36" customFormat="false" ht="15" hidden="false" customHeight="false" outlineLevel="0" collapsed="false">
      <c r="A36" s="27" t="s">
        <v>1617</v>
      </c>
      <c r="B36" s="56" t="s">
        <v>1586</v>
      </c>
      <c r="C36" s="57" t="n">
        <f aca="false">SUM(E36:P36)</f>
        <v>34526.9</v>
      </c>
      <c r="E36" s="71" t="n">
        <v>0</v>
      </c>
      <c r="F36" s="71" t="n">
        <v>0</v>
      </c>
      <c r="G36" s="71" t="n">
        <v>0</v>
      </c>
      <c r="H36" s="71" t="n">
        <v>0</v>
      </c>
      <c r="I36" s="71" t="n">
        <v>0</v>
      </c>
      <c r="J36" s="71" t="n">
        <v>3938.24</v>
      </c>
      <c r="K36" s="71" t="n">
        <v>12971.66</v>
      </c>
      <c r="L36" s="71" t="n">
        <v>17617</v>
      </c>
    </row>
    <row r="37" customFormat="false" ht="15" hidden="false" customHeight="false" outlineLevel="0" collapsed="false">
      <c r="A37" s="27" t="s">
        <v>1618</v>
      </c>
      <c r="B37" s="56" t="s">
        <v>1586</v>
      </c>
      <c r="C37" s="57" t="n">
        <f aca="false">SUM(E37:P37)</f>
        <v>100244.68</v>
      </c>
      <c r="E37" s="71" t="n">
        <v>0</v>
      </c>
      <c r="F37" s="71" t="n">
        <v>0</v>
      </c>
      <c r="G37" s="71" t="n">
        <v>0</v>
      </c>
      <c r="H37" s="71" t="n">
        <v>0</v>
      </c>
      <c r="I37" s="71" t="n">
        <v>0</v>
      </c>
      <c r="J37" s="71" t="n">
        <v>13677.06</v>
      </c>
      <c r="K37" s="71" t="n">
        <v>35197.37</v>
      </c>
      <c r="L37" s="71" t="n">
        <v>51370.25</v>
      </c>
    </row>
    <row r="38" customFormat="false" ht="15" hidden="false" customHeight="false" outlineLevel="0" collapsed="false">
      <c r="A38" s="27" t="s">
        <v>1619</v>
      </c>
      <c r="B38" s="56" t="s">
        <v>1586</v>
      </c>
      <c r="C38" s="57" t="n">
        <f aca="false">SUM(E38:P38)</f>
        <v>51347.16</v>
      </c>
      <c r="E38" s="71" t="n">
        <v>0</v>
      </c>
      <c r="F38" s="71" t="n">
        <v>0</v>
      </c>
      <c r="G38" s="71" t="n">
        <v>0</v>
      </c>
      <c r="H38" s="71" t="n">
        <v>0</v>
      </c>
      <c r="I38" s="71" t="n">
        <v>0</v>
      </c>
      <c r="J38" s="71" t="n">
        <v>5956.3</v>
      </c>
      <c r="K38" s="71" t="n">
        <v>20397.19</v>
      </c>
      <c r="L38" s="71" t="n">
        <v>24993.67</v>
      </c>
    </row>
    <row r="39" customFormat="false" ht="15" hidden="false" customHeight="false" outlineLevel="0" collapsed="false">
      <c r="A39" s="27" t="s">
        <v>1620</v>
      </c>
      <c r="B39" s="56" t="s">
        <v>1586</v>
      </c>
      <c r="C39" s="57" t="n">
        <f aca="false">SUM(E39:P39)</f>
        <v>6364.38</v>
      </c>
      <c r="E39" s="71" t="n">
        <v>0</v>
      </c>
      <c r="F39" s="71" t="n">
        <v>0</v>
      </c>
      <c r="G39" s="71" t="n">
        <v>0</v>
      </c>
      <c r="H39" s="71" t="n">
        <v>0</v>
      </c>
      <c r="I39" s="71" t="n">
        <v>0</v>
      </c>
      <c r="J39" s="71" t="n">
        <v>766.17</v>
      </c>
      <c r="K39" s="71" t="n">
        <v>2359.28</v>
      </c>
      <c r="L39" s="71" t="n">
        <v>3238.93</v>
      </c>
    </row>
    <row r="40" customFormat="false" ht="15" hidden="false" customHeight="false" outlineLevel="0" collapsed="false">
      <c r="A40" s="27" t="s">
        <v>1621</v>
      </c>
      <c r="B40" s="56" t="s">
        <v>1586</v>
      </c>
      <c r="C40" s="57" t="n">
        <f aca="false">SUM(E40:P40)</f>
        <v>14563.92</v>
      </c>
      <c r="E40" s="71" t="n">
        <v>0</v>
      </c>
      <c r="F40" s="71" t="n">
        <v>0</v>
      </c>
      <c r="G40" s="71" t="n">
        <v>0</v>
      </c>
      <c r="H40" s="71" t="n">
        <v>0</v>
      </c>
      <c r="I40" s="71" t="n">
        <v>0</v>
      </c>
      <c r="J40" s="71" t="n">
        <v>1720.39</v>
      </c>
      <c r="K40" s="71" t="n">
        <v>5192.47</v>
      </c>
      <c r="L40" s="71" t="n">
        <v>7651.06</v>
      </c>
    </row>
    <row r="41" customFormat="false" ht="15" hidden="false" customHeight="false" outlineLevel="0" collapsed="false">
      <c r="A41" s="27" t="s">
        <v>1622</v>
      </c>
      <c r="B41" s="56" t="s">
        <v>1592</v>
      </c>
      <c r="J41" s="71" t="n">
        <v>785941.84</v>
      </c>
      <c r="K41" s="71" t="n">
        <v>715823.87</v>
      </c>
      <c r="L41" s="71" t="n">
        <v>610952.96</v>
      </c>
    </row>
    <row r="42" customFormat="false" ht="15" hidden="false" customHeight="false" outlineLevel="0" collapsed="false">
      <c r="A42" s="27" t="s">
        <v>1623</v>
      </c>
      <c r="B42" s="56" t="s">
        <v>1594</v>
      </c>
      <c r="C42" s="57" t="n">
        <f aca="false">SUM(E42:P42)</f>
        <v>247330.09</v>
      </c>
      <c r="E42" s="71" t="n">
        <v>0</v>
      </c>
      <c r="F42" s="71" t="n">
        <v>0</v>
      </c>
      <c r="G42" s="71" t="n">
        <v>0</v>
      </c>
      <c r="H42" s="71" t="n">
        <v>0</v>
      </c>
      <c r="I42" s="71" t="n">
        <v>0</v>
      </c>
      <c r="J42" s="71" t="n">
        <v>30627.97</v>
      </c>
      <c r="K42" s="71" t="n">
        <v>88585.84</v>
      </c>
      <c r="L42" s="71" t="n">
        <v>128116.28</v>
      </c>
    </row>
    <row r="43" customFormat="false" ht="15" hidden="false" customHeight="false" outlineLevel="0" collapsed="false">
      <c r="A43" s="27" t="s">
        <v>1624</v>
      </c>
      <c r="B43" s="56" t="s">
        <v>1596</v>
      </c>
      <c r="C43" s="57" t="n">
        <f aca="false">SUM(E43:P43)</f>
        <v>120837.64</v>
      </c>
      <c r="E43" s="71" t="n">
        <v>0</v>
      </c>
      <c r="F43" s="71" t="n">
        <v>0</v>
      </c>
      <c r="G43" s="71" t="n">
        <v>0</v>
      </c>
      <c r="H43" s="71" t="n">
        <v>0</v>
      </c>
      <c r="I43" s="71" t="n">
        <v>0</v>
      </c>
      <c r="J43" s="71" t="n">
        <v>0</v>
      </c>
      <c r="K43" s="71" t="n">
        <v>30165.85</v>
      </c>
      <c r="L43" s="71" t="n">
        <v>90671.79</v>
      </c>
    </row>
    <row r="44" customFormat="false" ht="15" hidden="false" customHeight="false" outlineLevel="0" collapsed="false">
      <c r="A44" s="27" t="s">
        <v>1625</v>
      </c>
      <c r="B44" s="56" t="s">
        <v>1598</v>
      </c>
      <c r="C44" s="57" t="n">
        <f aca="false">SUM(E44:P44)</f>
        <v>17589.69</v>
      </c>
      <c r="E44" s="71" t="n">
        <v>0</v>
      </c>
      <c r="F44" s="71" t="n">
        <v>0</v>
      </c>
      <c r="G44" s="71" t="n">
        <v>0</v>
      </c>
      <c r="H44" s="71" t="n">
        <v>0</v>
      </c>
      <c r="I44" s="71" t="n">
        <v>0</v>
      </c>
      <c r="J44" s="71" t="n">
        <v>0</v>
      </c>
      <c r="K44" s="71" t="n">
        <v>-6040.66</v>
      </c>
      <c r="L44" s="71" t="n">
        <v>23630.35</v>
      </c>
    </row>
    <row r="45" customFormat="false" ht="15" hidden="false" customHeight="false" outlineLevel="0" collapsed="false">
      <c r="A45" s="27" t="s">
        <v>1626</v>
      </c>
      <c r="B45" s="56" t="s">
        <v>1586</v>
      </c>
      <c r="C45" s="57" t="n">
        <f aca="false">SUM(E45:P45)</f>
        <v>5535.27</v>
      </c>
      <c r="E45" s="71" t="n">
        <v>0</v>
      </c>
      <c r="F45" s="71" t="n">
        <v>0</v>
      </c>
      <c r="G45" s="71" t="n">
        <v>0</v>
      </c>
      <c r="H45" s="71" t="n">
        <v>0</v>
      </c>
      <c r="I45" s="71" t="n">
        <v>0</v>
      </c>
      <c r="J45" s="71" t="n">
        <v>0</v>
      </c>
      <c r="K45" s="71" t="n">
        <v>0</v>
      </c>
      <c r="L45" s="71" t="n">
        <v>5535.27</v>
      </c>
    </row>
    <row r="46" customFormat="false" ht="15" hidden="false" customHeight="false" outlineLevel="0" collapsed="false">
      <c r="A46" s="27" t="s">
        <v>1627</v>
      </c>
      <c r="B46" s="56" t="s">
        <v>1586</v>
      </c>
      <c r="C46" s="57" t="n">
        <f aca="false">SUM(E46:P46)</f>
        <v>16135.07</v>
      </c>
      <c r="E46" s="71" t="n">
        <v>0</v>
      </c>
      <c r="F46" s="71" t="n">
        <v>0</v>
      </c>
      <c r="G46" s="71" t="n">
        <v>0</v>
      </c>
      <c r="H46" s="71" t="n">
        <v>0</v>
      </c>
      <c r="I46" s="71" t="n">
        <v>0</v>
      </c>
      <c r="J46" s="71" t="n">
        <v>0</v>
      </c>
      <c r="K46" s="71" t="n">
        <v>0</v>
      </c>
      <c r="L46" s="71" t="n">
        <v>16135.07</v>
      </c>
    </row>
    <row r="47" customFormat="false" ht="15" hidden="false" customHeight="false" outlineLevel="0" collapsed="false">
      <c r="A47" s="27" t="s">
        <v>1628</v>
      </c>
      <c r="B47" s="56" t="s">
        <v>1586</v>
      </c>
      <c r="C47" s="57" t="n">
        <f aca="false">SUM(E47:P47)</f>
        <v>7763.05</v>
      </c>
      <c r="E47" s="71" t="n">
        <v>0</v>
      </c>
      <c r="F47" s="71" t="n">
        <v>0</v>
      </c>
      <c r="G47" s="71" t="n">
        <v>0</v>
      </c>
      <c r="H47" s="71" t="n">
        <v>0</v>
      </c>
      <c r="I47" s="71" t="n">
        <v>0</v>
      </c>
      <c r="J47" s="71" t="n">
        <v>0</v>
      </c>
      <c r="K47" s="71" t="n">
        <v>0</v>
      </c>
      <c r="L47" s="71" t="n">
        <v>7763.05</v>
      </c>
    </row>
    <row r="48" customFormat="false" ht="15" hidden="false" customHeight="false" outlineLevel="0" collapsed="false">
      <c r="A48" s="27" t="s">
        <v>1629</v>
      </c>
      <c r="B48" s="56" t="s">
        <v>1586</v>
      </c>
      <c r="C48" s="57" t="n">
        <f aca="false">SUM(E48:P48)</f>
        <v>1058.88</v>
      </c>
      <c r="E48" s="71" t="n">
        <v>0</v>
      </c>
      <c r="F48" s="71" t="n">
        <v>0</v>
      </c>
      <c r="G48" s="71" t="n">
        <v>0</v>
      </c>
      <c r="H48" s="71" t="n">
        <v>0</v>
      </c>
      <c r="I48" s="71" t="n">
        <v>0</v>
      </c>
      <c r="J48" s="71" t="n">
        <v>0</v>
      </c>
      <c r="K48" s="71" t="n">
        <v>0</v>
      </c>
      <c r="L48" s="71" t="n">
        <v>1058.88</v>
      </c>
    </row>
    <row r="49" customFormat="false" ht="15" hidden="false" customHeight="false" outlineLevel="0" collapsed="false">
      <c r="A49" s="27" t="s">
        <v>1630</v>
      </c>
      <c r="B49" s="56" t="s">
        <v>1586</v>
      </c>
      <c r="C49" s="57" t="n">
        <f aca="false">SUM(E49:P49)</f>
        <v>2395.86</v>
      </c>
      <c r="E49" s="71" t="n">
        <v>0</v>
      </c>
      <c r="F49" s="71" t="n">
        <v>0</v>
      </c>
      <c r="G49" s="71" t="n">
        <v>0</v>
      </c>
      <c r="H49" s="71" t="n">
        <v>0</v>
      </c>
      <c r="I49" s="71" t="n">
        <v>0</v>
      </c>
      <c r="J49" s="71" t="n">
        <v>0</v>
      </c>
      <c r="K49" s="71" t="n">
        <v>0</v>
      </c>
      <c r="L49" s="71" t="n">
        <v>2395.86</v>
      </c>
    </row>
    <row r="50" customFormat="false" ht="15" hidden="false" customHeight="false" outlineLevel="0" collapsed="false">
      <c r="A50" s="27" t="s">
        <v>1631</v>
      </c>
      <c r="B50" s="56" t="s">
        <v>1592</v>
      </c>
      <c r="L50" s="71" t="n">
        <v>300111.87</v>
      </c>
    </row>
    <row r="51" customFormat="false" ht="15" hidden="false" customHeight="false" outlineLevel="0" collapsed="false">
      <c r="A51" s="27" t="s">
        <v>1632</v>
      </c>
      <c r="B51" s="56" t="s">
        <v>1594</v>
      </c>
      <c r="C51" s="57" t="n">
        <f aca="false">SUM(E51:P51)</f>
        <v>39317.61</v>
      </c>
      <c r="E51" s="71" t="n">
        <v>0</v>
      </c>
      <c r="F51" s="71" t="n">
        <v>0</v>
      </c>
      <c r="G51" s="71" t="n">
        <v>0</v>
      </c>
      <c r="H51" s="71" t="n">
        <v>0</v>
      </c>
      <c r="I51" s="71" t="n">
        <v>0</v>
      </c>
      <c r="J51" s="71" t="n">
        <v>0</v>
      </c>
      <c r="K51" s="71" t="n">
        <v>0</v>
      </c>
      <c r="L51" s="71" t="n">
        <v>39317.61</v>
      </c>
    </row>
    <row r="52" customFormat="false" ht="15" hidden="false" customHeight="false" outlineLevel="0" collapsed="false">
      <c r="A52" s="27" t="s">
        <v>1633</v>
      </c>
      <c r="B52" s="56" t="s">
        <v>1596</v>
      </c>
      <c r="C52" s="57" t="n">
        <f aca="false">SUM(E52:P52)</f>
        <v>0</v>
      </c>
      <c r="E52" s="71" t="n">
        <v>0</v>
      </c>
      <c r="F52" s="71" t="n">
        <v>0</v>
      </c>
      <c r="G52" s="71" t="n">
        <v>0</v>
      </c>
      <c r="H52" s="71" t="n">
        <v>0</v>
      </c>
      <c r="I52" s="71" t="n">
        <v>0</v>
      </c>
      <c r="J52" s="71" t="n">
        <v>0</v>
      </c>
      <c r="K52" s="71" t="n">
        <v>0</v>
      </c>
      <c r="L52" s="71" t="n">
        <v>0</v>
      </c>
    </row>
    <row r="53" customFormat="false" ht="15" hidden="false" customHeight="false" outlineLevel="0" collapsed="false">
      <c r="A53" s="27" t="s">
        <v>1634</v>
      </c>
      <c r="B53" s="56" t="s">
        <v>1598</v>
      </c>
      <c r="C53" s="57" t="n">
        <f aca="false">SUM(E53:P53)</f>
        <v>0</v>
      </c>
      <c r="E53" s="71" t="n">
        <v>0</v>
      </c>
      <c r="F53" s="71" t="n">
        <v>0</v>
      </c>
      <c r="G53" s="71" t="n">
        <v>0</v>
      </c>
      <c r="H53" s="71" t="n">
        <v>0</v>
      </c>
      <c r="I53" s="71" t="n">
        <v>0</v>
      </c>
      <c r="J53" s="71" t="n">
        <v>0</v>
      </c>
      <c r="K53" s="71" t="n">
        <v>0</v>
      </c>
      <c r="L53" s="71" t="n">
        <v>0</v>
      </c>
    </row>
    <row r="54" customFormat="false" ht="15" hidden="false" customHeight="false" outlineLevel="0" collapsed="false">
      <c r="A54" s="27" t="s">
        <v>1635</v>
      </c>
      <c r="B54" s="56" t="s">
        <v>1586</v>
      </c>
      <c r="C54" s="57" t="n">
        <f aca="false">SUM(E54:P54)</f>
        <v>51779.48</v>
      </c>
      <c r="E54" s="71" t="n">
        <v>0</v>
      </c>
      <c r="F54" s="71" t="n">
        <v>0</v>
      </c>
      <c r="G54" s="71" t="n">
        <v>0</v>
      </c>
      <c r="H54" s="71" t="n">
        <v>0</v>
      </c>
      <c r="I54" s="71" t="n">
        <v>3765.57</v>
      </c>
      <c r="J54" s="71" t="n">
        <v>10550.21</v>
      </c>
      <c r="K54" s="71" t="n">
        <v>15618.82</v>
      </c>
      <c r="L54" s="71" t="n">
        <v>21844.88</v>
      </c>
    </row>
    <row r="55" customFormat="false" ht="15" hidden="false" customHeight="false" outlineLevel="0" collapsed="false">
      <c r="A55" s="27" t="s">
        <v>1636</v>
      </c>
      <c r="B55" s="56" t="s">
        <v>1586</v>
      </c>
      <c r="C55" s="57" t="n">
        <f aca="false">SUM(E55:P55)</f>
        <v>220616.95</v>
      </c>
      <c r="E55" s="71" t="n">
        <v>0</v>
      </c>
      <c r="F55" s="71" t="n">
        <v>0</v>
      </c>
      <c r="G55" s="71" t="n">
        <v>0</v>
      </c>
      <c r="H55" s="71" t="n">
        <v>0</v>
      </c>
      <c r="I55" s="71" t="n">
        <v>16519.7</v>
      </c>
      <c r="J55" s="71" t="n">
        <v>46285.24</v>
      </c>
      <c r="K55" s="71" t="n">
        <v>75715.48</v>
      </c>
      <c r="L55" s="71" t="n">
        <v>82096.53</v>
      </c>
    </row>
    <row r="56" customFormat="false" ht="15" hidden="false" customHeight="false" outlineLevel="0" collapsed="false">
      <c r="A56" s="27" t="s">
        <v>1637</v>
      </c>
      <c r="B56" s="56" t="s">
        <v>1586</v>
      </c>
      <c r="C56" s="57" t="n">
        <f aca="false">SUM(E56:P56)</f>
        <v>94650.95</v>
      </c>
      <c r="E56" s="71" t="n">
        <v>0</v>
      </c>
      <c r="F56" s="71" t="n">
        <v>0</v>
      </c>
      <c r="G56" s="71" t="n">
        <v>0</v>
      </c>
      <c r="H56" s="71" t="n">
        <v>0</v>
      </c>
      <c r="I56" s="71" t="n">
        <v>6470.19</v>
      </c>
      <c r="J56" s="71" t="n">
        <v>22278.85</v>
      </c>
      <c r="K56" s="71" t="n">
        <v>29929.2</v>
      </c>
      <c r="L56" s="71" t="n">
        <v>35972.71</v>
      </c>
    </row>
    <row r="57" customFormat="false" ht="15" hidden="false" customHeight="false" outlineLevel="0" collapsed="false">
      <c r="A57" s="27" t="s">
        <v>1638</v>
      </c>
      <c r="B57" s="56" t="s">
        <v>1586</v>
      </c>
      <c r="C57" s="57" t="n">
        <f aca="false">SUM(E57:P57)</f>
        <v>12152.23</v>
      </c>
      <c r="E57" s="71" t="n">
        <v>0</v>
      </c>
      <c r="F57" s="71" t="n">
        <v>0</v>
      </c>
      <c r="G57" s="71" t="n">
        <v>0</v>
      </c>
      <c r="H57" s="71" t="n">
        <v>0</v>
      </c>
      <c r="I57" s="71" t="n">
        <v>914.62</v>
      </c>
      <c r="J57" s="71" t="n">
        <v>2460.24</v>
      </c>
      <c r="K57" s="71" t="n">
        <v>4183.21</v>
      </c>
      <c r="L57" s="71" t="n">
        <v>4594.16</v>
      </c>
    </row>
    <row r="58" customFormat="false" ht="15" hidden="false" customHeight="false" outlineLevel="0" collapsed="false">
      <c r="A58" s="27" t="s">
        <v>1639</v>
      </c>
      <c r="B58" s="56" t="s">
        <v>1586</v>
      </c>
      <c r="C58" s="57" t="n">
        <f aca="false">SUM(E58:P58)</f>
        <v>20323.93</v>
      </c>
      <c r="E58" s="71" t="n">
        <v>0</v>
      </c>
      <c r="F58" s="71" t="n">
        <v>0</v>
      </c>
      <c r="G58" s="71" t="n">
        <v>0</v>
      </c>
      <c r="H58" s="71" t="n">
        <v>0</v>
      </c>
      <c r="I58" s="71" t="n">
        <v>1585.13</v>
      </c>
      <c r="J58" s="71" t="n">
        <v>4316.22</v>
      </c>
      <c r="K58" s="71" t="n">
        <v>6663.73</v>
      </c>
      <c r="L58" s="71" t="n">
        <v>7758.85</v>
      </c>
    </row>
    <row r="59" customFormat="false" ht="15" hidden="false" customHeight="false" outlineLevel="0" collapsed="false">
      <c r="A59" s="27" t="s">
        <v>1640</v>
      </c>
      <c r="B59" s="56" t="s">
        <v>1592</v>
      </c>
      <c r="I59" s="71" t="n">
        <v>1128744.79</v>
      </c>
      <c r="J59" s="71" t="n">
        <v>1042854.03</v>
      </c>
      <c r="K59" s="71" t="n">
        <v>922743.59</v>
      </c>
      <c r="L59" s="71" t="n">
        <v>770476.46</v>
      </c>
    </row>
    <row r="60" customFormat="false" ht="15" hidden="false" customHeight="false" outlineLevel="0" collapsed="false">
      <c r="A60" s="27" t="s">
        <v>1641</v>
      </c>
      <c r="B60" s="56" t="s">
        <v>1594</v>
      </c>
      <c r="C60" s="57" t="n">
        <f aca="false">SUM(E60:P60)</f>
        <v>460800.89</v>
      </c>
      <c r="E60" s="71" t="n">
        <v>0</v>
      </c>
      <c r="F60" s="71" t="n">
        <v>0</v>
      </c>
      <c r="G60" s="71" t="n">
        <v>0</v>
      </c>
      <c r="H60" s="71" t="n">
        <v>0</v>
      </c>
      <c r="I60" s="71" t="n">
        <v>33347.91</v>
      </c>
      <c r="J60" s="71" t="n">
        <v>99114.7</v>
      </c>
      <c r="K60" s="71" t="n">
        <v>149061</v>
      </c>
      <c r="L60" s="71" t="n">
        <v>179277.28</v>
      </c>
    </row>
    <row r="61" customFormat="false" ht="15" hidden="false" customHeight="false" outlineLevel="0" collapsed="false">
      <c r="A61" s="27" t="s">
        <v>1642</v>
      </c>
      <c r="B61" s="56" t="s">
        <v>1596</v>
      </c>
      <c r="C61" s="57" t="n">
        <f aca="false">SUM(E61:P61)</f>
        <v>283626.35</v>
      </c>
      <c r="E61" s="71" t="n">
        <v>0</v>
      </c>
      <c r="F61" s="71" t="n">
        <v>0</v>
      </c>
      <c r="G61" s="71" t="n">
        <v>0</v>
      </c>
      <c r="H61" s="71" t="n">
        <v>0</v>
      </c>
      <c r="I61" s="71" t="n">
        <v>0</v>
      </c>
      <c r="J61" s="71" t="n">
        <v>33347.91</v>
      </c>
      <c r="K61" s="71" t="n">
        <v>97906.56</v>
      </c>
      <c r="L61" s="71" t="n">
        <v>152371.88</v>
      </c>
    </row>
    <row r="62" customFormat="false" ht="15" hidden="false" customHeight="false" outlineLevel="0" collapsed="false">
      <c r="A62" s="27" t="s">
        <v>1643</v>
      </c>
      <c r="B62" s="56" t="s">
        <v>1598</v>
      </c>
      <c r="C62" s="57" t="n">
        <f aca="false">SUM(E62:P62)</f>
        <v>121982.95</v>
      </c>
      <c r="E62" s="71" t="n">
        <v>0</v>
      </c>
      <c r="F62" s="71" t="n">
        <v>0</v>
      </c>
      <c r="G62" s="71" t="n">
        <v>0</v>
      </c>
      <c r="H62" s="71" t="n">
        <v>0</v>
      </c>
      <c r="I62" s="71" t="n">
        <v>0</v>
      </c>
      <c r="J62" s="71" t="n">
        <v>-1130.93</v>
      </c>
      <c r="K62" s="71" t="n">
        <v>33354.11</v>
      </c>
      <c r="L62" s="71" t="n">
        <v>89759.77</v>
      </c>
    </row>
    <row r="63" customFormat="false" ht="15" hidden="false" customHeight="false" outlineLevel="0" collapsed="false">
      <c r="A63" s="21" t="s">
        <v>1644</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row>
    <row r="64" customFormat="false" ht="15" hidden="false" customHeight="false" outlineLevel="0" collapsed="false">
      <c r="A64" s="27" t="s">
        <v>1645</v>
      </c>
      <c r="B64" s="56" t="s">
        <v>1646</v>
      </c>
      <c r="C64" s="57" t="n">
        <f aca="false">SUM(E64:P64)</f>
        <v>22</v>
      </c>
      <c r="E64" s="71" t="n">
        <v>2</v>
      </c>
      <c r="F64" s="71" t="n">
        <v>2</v>
      </c>
      <c r="G64" s="71" t="n">
        <v>3</v>
      </c>
      <c r="H64" s="71" t="n">
        <v>2</v>
      </c>
      <c r="I64" s="71" t="n">
        <v>2</v>
      </c>
      <c r="J64" s="71" t="n">
        <v>3</v>
      </c>
      <c r="K64" s="71" t="n">
        <v>4</v>
      </c>
      <c r="L64" s="71" t="n">
        <v>4</v>
      </c>
    </row>
    <row r="65" customFormat="false" ht="15" hidden="false" customHeight="false" outlineLevel="0" collapsed="false">
      <c r="A65" s="27" t="s">
        <v>1647</v>
      </c>
      <c r="B65" s="56" t="s">
        <v>1646</v>
      </c>
      <c r="C65" s="57" t="n">
        <f aca="false">AVERAGE(E65:P65)</f>
        <v>61247.875</v>
      </c>
      <c r="E65" s="71" t="n">
        <v>60550</v>
      </c>
      <c r="F65" s="71" t="n">
        <v>64205</v>
      </c>
      <c r="G65" s="71" t="n">
        <v>60211</v>
      </c>
      <c r="H65" s="71" t="n">
        <v>62861</v>
      </c>
      <c r="I65" s="71" t="n">
        <v>59224</v>
      </c>
      <c r="J65" s="71" t="n">
        <v>60796</v>
      </c>
      <c r="K65" s="71" t="n">
        <v>61317</v>
      </c>
      <c r="L65" s="71" t="n">
        <v>60819</v>
      </c>
    </row>
    <row r="66" customFormat="false" ht="15" hidden="false" customHeight="false" outlineLevel="0" collapsed="false">
      <c r="A66" s="27" t="s">
        <v>1648</v>
      </c>
      <c r="B66" s="56" t="s">
        <v>1649</v>
      </c>
      <c r="C66" s="57" t="n">
        <f aca="false">AVERAGE(E66:P66)</f>
        <v>23882.25</v>
      </c>
      <c r="E66" s="71" t="n">
        <v>24548</v>
      </c>
      <c r="F66" s="71" t="n">
        <v>26586</v>
      </c>
      <c r="G66" s="71" t="n">
        <v>24288</v>
      </c>
      <c r="H66" s="71" t="n">
        <v>22206</v>
      </c>
      <c r="I66" s="71" t="n">
        <v>22057</v>
      </c>
      <c r="J66" s="71" t="n">
        <v>24086</v>
      </c>
      <c r="K66" s="71" t="n">
        <v>24171</v>
      </c>
      <c r="L66" s="71" t="n">
        <v>23116</v>
      </c>
    </row>
    <row r="67" customFormat="false" ht="15" hidden="false" customHeight="false" outlineLevel="0" collapsed="false">
      <c r="A67" s="27" t="s">
        <v>1650</v>
      </c>
      <c r="B67" s="56" t="s">
        <v>1651</v>
      </c>
      <c r="C67" s="57" t="n">
        <f aca="false">SUM(E67:P67)</f>
        <v>1247322.85</v>
      </c>
      <c r="E67" s="71" t="n">
        <v>138592.05</v>
      </c>
      <c r="F67" s="71" t="n">
        <v>124444</v>
      </c>
      <c r="G67" s="71" t="n">
        <v>142249.4</v>
      </c>
      <c r="H67" s="71" t="n">
        <v>151103.95</v>
      </c>
      <c r="I67" s="71" t="n">
        <v>137267.55</v>
      </c>
      <c r="J67" s="71" t="n">
        <v>139448.5</v>
      </c>
      <c r="K67" s="71" t="n">
        <v>185267</v>
      </c>
      <c r="L67" s="71" t="n">
        <v>228950.4</v>
      </c>
    </row>
    <row r="68" customFormat="false" ht="15" hidden="false" customHeight="false" outlineLevel="0" collapsed="false">
      <c r="A68" s="27" t="s">
        <v>1652</v>
      </c>
      <c r="B68" s="56" t="s">
        <v>1586</v>
      </c>
      <c r="C68" s="57" t="n">
        <f aca="false">SUM(E68:P68)</f>
        <v>305469.64</v>
      </c>
      <c r="E68" s="71" t="n">
        <v>34952.94</v>
      </c>
      <c r="F68" s="71" t="n">
        <v>30901.58</v>
      </c>
      <c r="G68" s="71" t="n">
        <v>35804.15</v>
      </c>
      <c r="H68" s="71" t="n">
        <v>34793.39</v>
      </c>
      <c r="I68" s="71" t="n">
        <v>34189.05</v>
      </c>
      <c r="J68" s="71" t="n">
        <v>34966.75</v>
      </c>
      <c r="K68" s="71" t="n">
        <v>46331.62</v>
      </c>
      <c r="L68" s="71" t="n">
        <v>53530.16</v>
      </c>
    </row>
    <row r="69" customFormat="false" ht="15" hidden="false" customHeight="false" outlineLevel="0" collapsed="false">
      <c r="A69" s="27" t="s">
        <v>1653</v>
      </c>
      <c r="B69" s="56" t="s">
        <v>1586</v>
      </c>
      <c r="C69" s="57" t="n">
        <f aca="false">SUM(E69:P69)</f>
        <v>293166.91</v>
      </c>
      <c r="E69" s="71" t="n">
        <v>32660.2</v>
      </c>
      <c r="F69" s="71" t="n">
        <v>30636.92</v>
      </c>
      <c r="G69" s="71" t="n">
        <v>34877.7</v>
      </c>
      <c r="H69" s="71" t="n">
        <v>33248.27</v>
      </c>
      <c r="I69" s="71" t="n">
        <v>32405.16</v>
      </c>
      <c r="J69" s="71" t="n">
        <v>32644.04</v>
      </c>
      <c r="K69" s="71" t="n">
        <v>42365.01</v>
      </c>
      <c r="L69" s="71" t="n">
        <v>54329.61</v>
      </c>
    </row>
    <row r="70" customFormat="false" ht="15" hidden="false" customHeight="false" outlineLevel="0" collapsed="false">
      <c r="A70" s="27" t="s">
        <v>1654</v>
      </c>
      <c r="B70" s="56" t="s">
        <v>1586</v>
      </c>
      <c r="C70" s="57" t="n">
        <f aca="false">SUM(E70:P70)</f>
        <v>279058.94</v>
      </c>
      <c r="E70" s="71" t="n">
        <v>28661.76</v>
      </c>
      <c r="F70" s="71" t="n">
        <v>26982.53</v>
      </c>
      <c r="G70" s="71" t="n">
        <v>34747.57</v>
      </c>
      <c r="H70" s="71" t="n">
        <v>33567.44</v>
      </c>
      <c r="I70" s="71" t="n">
        <v>30802.91</v>
      </c>
      <c r="J70" s="71" t="n">
        <v>31261.92</v>
      </c>
      <c r="K70" s="71" t="n">
        <v>42076.48</v>
      </c>
      <c r="L70" s="71" t="n">
        <v>50958.33</v>
      </c>
    </row>
    <row r="71" customFormat="false" ht="15" hidden="false" customHeight="false" outlineLevel="0" collapsed="false">
      <c r="A71" s="27" t="s">
        <v>1655</v>
      </c>
      <c r="B71" s="56" t="s">
        <v>1586</v>
      </c>
      <c r="C71" s="57" t="n">
        <f aca="false">SUM(E71:P71)</f>
        <v>30098.25</v>
      </c>
      <c r="E71" s="71" t="n">
        <v>3395.59</v>
      </c>
      <c r="F71" s="71" t="n">
        <v>3166.79</v>
      </c>
      <c r="G71" s="71" t="n">
        <v>3644.12</v>
      </c>
      <c r="H71" s="71" t="n">
        <v>3381.04</v>
      </c>
      <c r="I71" s="71" t="n">
        <v>3303.38</v>
      </c>
      <c r="J71" s="71" t="n">
        <v>3487.62</v>
      </c>
      <c r="K71" s="71" t="n">
        <v>4738.4</v>
      </c>
      <c r="L71" s="71" t="n">
        <v>4981.31</v>
      </c>
    </row>
    <row r="72" customFormat="false" ht="15" hidden="false" customHeight="false" outlineLevel="0" collapsed="false">
      <c r="A72" s="27" t="s">
        <v>1656</v>
      </c>
      <c r="B72" s="56" t="s">
        <v>1586</v>
      </c>
      <c r="C72" s="57" t="n">
        <f aca="false">SUM(E72:P72)</f>
        <v>66209.98</v>
      </c>
      <c r="E72" s="71" t="n">
        <v>6964.13</v>
      </c>
      <c r="F72" s="71" t="n">
        <v>6211.26</v>
      </c>
      <c r="G72" s="71" t="n">
        <v>7058.15</v>
      </c>
      <c r="H72" s="71" t="n">
        <v>7983.9</v>
      </c>
      <c r="I72" s="71" t="n">
        <v>7280.98</v>
      </c>
      <c r="J72" s="71" t="n">
        <v>7882.66</v>
      </c>
      <c r="K72" s="71" t="n">
        <v>10204.82</v>
      </c>
      <c r="L72" s="71" t="n">
        <v>12624.08</v>
      </c>
    </row>
    <row r="73" customFormat="false" ht="15" hidden="false" customHeight="false" outlineLevel="0" collapsed="false">
      <c r="A73" s="27" t="s">
        <v>1657</v>
      </c>
      <c r="B73" s="56" t="s">
        <v>1658</v>
      </c>
      <c r="C73" s="57" t="n">
        <f aca="false">SUM(E73:P73)</f>
        <v>916724.99</v>
      </c>
      <c r="E73" s="71" t="n">
        <v>105489.75</v>
      </c>
      <c r="F73" s="71" t="n">
        <v>91239.53</v>
      </c>
      <c r="G73" s="71" t="n">
        <v>99223.32</v>
      </c>
      <c r="H73" s="71" t="n">
        <v>113505.73</v>
      </c>
      <c r="I73" s="71" t="n">
        <v>106852.47</v>
      </c>
      <c r="J73" s="71" t="n">
        <v>101597.46</v>
      </c>
      <c r="K73" s="71" t="n">
        <v>130812.57</v>
      </c>
      <c r="L73" s="71" t="n">
        <v>168004.16</v>
      </c>
    </row>
    <row r="74" customFormat="false" ht="15" hidden="false" customHeight="false" outlineLevel="0" collapsed="false">
      <c r="A74" s="27" t="s">
        <v>1659</v>
      </c>
      <c r="B74" s="56" t="s">
        <v>1660</v>
      </c>
      <c r="C74" s="57" t="n">
        <f aca="false">SUM(E74:P74)</f>
        <v>460186</v>
      </c>
      <c r="E74" s="71" t="n">
        <v>75687</v>
      </c>
      <c r="F74" s="71" t="n">
        <v>73329</v>
      </c>
      <c r="G74" s="71" t="n">
        <v>47512</v>
      </c>
      <c r="H74" s="71" t="n">
        <v>49096</v>
      </c>
      <c r="I74" s="71" t="n">
        <v>53172</v>
      </c>
      <c r="J74" s="71" t="n">
        <v>72864</v>
      </c>
      <c r="K74" s="71" t="n">
        <v>44412</v>
      </c>
      <c r="L74" s="71" t="n">
        <v>44114</v>
      </c>
    </row>
    <row r="75" customFormat="false" ht="15" hidden="false" customHeight="false" outlineLevel="0" collapsed="false">
      <c r="A75" s="27" t="s">
        <v>1661</v>
      </c>
      <c r="B75" s="56" t="s">
        <v>1598</v>
      </c>
      <c r="C75" s="57" t="n">
        <f aca="false">SUM(E75:P75)</f>
        <v>883429.41</v>
      </c>
      <c r="E75" s="71" t="n">
        <v>106268.01</v>
      </c>
      <c r="F75" s="71" t="n">
        <v>93670.97</v>
      </c>
      <c r="G75" s="71" t="n">
        <v>96455.66</v>
      </c>
      <c r="H75" s="71" t="n">
        <v>108853.19</v>
      </c>
      <c r="I75" s="71" t="n">
        <v>102307.45</v>
      </c>
      <c r="J75" s="71" t="n">
        <v>105686.06</v>
      </c>
      <c r="K75" s="71" t="n">
        <v>125565.63</v>
      </c>
      <c r="L75" s="71" t="n">
        <v>144622.44</v>
      </c>
    </row>
    <row r="76" customFormat="false" ht="15" hidden="false" customHeight="false" outlineLevel="0" collapsed="false">
      <c r="A76" s="27" t="s">
        <v>1662</v>
      </c>
      <c r="B76" s="56" t="s">
        <v>1598</v>
      </c>
      <c r="C76" s="57" t="n">
        <f aca="false">SUM(E76:P76)</f>
        <v>530530.62</v>
      </c>
      <c r="E76" s="71" t="n">
        <v>14200.01</v>
      </c>
      <c r="F76" s="71" t="n">
        <v>135355.36</v>
      </c>
      <c r="G76" s="71" t="n">
        <v>72516.9</v>
      </c>
      <c r="H76" s="71" t="n">
        <v>75030.21</v>
      </c>
      <c r="I76" s="71" t="n">
        <v>58661.54</v>
      </c>
      <c r="J76" s="71" t="n">
        <v>42614.36</v>
      </c>
      <c r="K76" s="71" t="n">
        <v>41057.29</v>
      </c>
      <c r="L76" s="71" t="n">
        <v>91094.95</v>
      </c>
    </row>
    <row r="77" customFormat="false" ht="15" hidden="false" customHeight="false" outlineLevel="0" collapsed="false">
      <c r="A77" s="21" t="s">
        <v>1663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row>
    <row r="78" customFormat="false" ht="15" hidden="false" customHeight="false" outlineLevel="0" collapsed="false">
      <c r="A78" s="27" t="s">
        <v>1664</v>
      </c>
      <c r="B78" s="56" t="s">
        <v>1646</v>
      </c>
      <c r="C78" s="57" t="n">
        <f aca="false">SUM(E78:P78)</f>
        <v>11</v>
      </c>
      <c r="E78" s="71" t="n">
        <v>1</v>
      </c>
      <c r="F78" s="71" t="n">
        <v>1</v>
      </c>
      <c r="G78" s="71" t="n">
        <v>2</v>
      </c>
      <c r="H78" s="71" t="n">
        <v>1</v>
      </c>
      <c r="I78" s="71" t="n">
        <v>2</v>
      </c>
      <c r="J78" s="71" t="n">
        <v>1</v>
      </c>
      <c r="K78" s="71" t="n">
        <v>2</v>
      </c>
      <c r="L78" s="71" t="n">
        <v>1</v>
      </c>
    </row>
    <row r="79" customFormat="false" ht="15" hidden="false" customHeight="false" outlineLevel="0" collapsed="false">
      <c r="A79" s="27" t="s">
        <v>1665</v>
      </c>
      <c r="B79" s="56" t="s">
        <v>1646</v>
      </c>
      <c r="C79" s="57" t="n">
        <f aca="false">AVERAGE(E79:P79)</f>
        <v>124144</v>
      </c>
      <c r="E79" s="71" t="n">
        <v>124683</v>
      </c>
      <c r="F79" s="71" t="n">
        <v>102963</v>
      </c>
      <c r="G79" s="71" t="n">
        <v>123589</v>
      </c>
      <c r="H79" s="71" t="n">
        <v>124491</v>
      </c>
      <c r="I79" s="71" t="n">
        <v>145078</v>
      </c>
      <c r="J79" s="71" t="n">
        <v>131987</v>
      </c>
      <c r="K79" s="71" t="n">
        <v>123908</v>
      </c>
      <c r="L79" s="71" t="n">
        <v>116453</v>
      </c>
    </row>
    <row r="80" customFormat="false" ht="15" hidden="false" customHeight="false" outlineLevel="0" collapsed="false">
      <c r="A80" s="27" t="s">
        <v>1666</v>
      </c>
      <c r="B80" s="56" t="s">
        <v>1651</v>
      </c>
      <c r="C80" s="57" t="n">
        <f aca="false">SUM(E80:P80)</f>
        <v>1276311.62</v>
      </c>
      <c r="E80" s="71" t="n">
        <v>131409.36</v>
      </c>
      <c r="F80" s="71" t="n">
        <v>114236.45</v>
      </c>
      <c r="G80" s="71" t="n">
        <v>128758.65</v>
      </c>
      <c r="H80" s="71" t="n">
        <v>145125.35</v>
      </c>
      <c r="I80" s="71" t="n">
        <v>170056.66</v>
      </c>
      <c r="J80" s="71" t="n">
        <v>189129.45</v>
      </c>
      <c r="K80" s="71" t="n">
        <v>203261.87</v>
      </c>
      <c r="L80" s="71" t="n">
        <v>194333.83</v>
      </c>
    </row>
    <row r="81" customFormat="false" ht="15" hidden="false" customHeight="false" outlineLevel="0" collapsed="false">
      <c r="A81" s="27" t="s">
        <v>1667</v>
      </c>
      <c r="B81" s="56" t="s">
        <v>1586</v>
      </c>
      <c r="C81" s="57" t="n">
        <f aca="false">SUM(E81:P81)</f>
        <v>256098.77</v>
      </c>
      <c r="E81" s="71" t="n">
        <v>26744.36</v>
      </c>
      <c r="F81" s="71" t="n">
        <v>21752.02</v>
      </c>
      <c r="G81" s="71" t="n">
        <v>24812.91</v>
      </c>
      <c r="H81" s="71" t="n">
        <v>28373.8</v>
      </c>
      <c r="I81" s="71" t="n">
        <v>37155.85</v>
      </c>
      <c r="J81" s="71" t="n">
        <v>39028.56</v>
      </c>
      <c r="K81" s="71" t="n">
        <v>41499.95</v>
      </c>
      <c r="L81" s="71" t="n">
        <v>36731.32</v>
      </c>
    </row>
    <row r="82" customFormat="false" ht="15" hidden="false" customHeight="false" outlineLevel="0" collapsed="false">
      <c r="A82" s="27" t="s">
        <v>1668</v>
      </c>
      <c r="B82" s="56" t="s">
        <v>1586</v>
      </c>
      <c r="C82" s="57" t="n">
        <f aca="false">SUM(E82:P82)</f>
        <v>311708.71</v>
      </c>
      <c r="E82" s="71" t="n">
        <v>31778.28</v>
      </c>
      <c r="F82" s="71" t="n">
        <v>27300.04</v>
      </c>
      <c r="G82" s="71" t="n">
        <v>31904.92</v>
      </c>
      <c r="H82" s="71" t="n">
        <v>33620.03</v>
      </c>
      <c r="I82" s="71" t="n">
        <v>41998.66</v>
      </c>
      <c r="J82" s="71" t="n">
        <v>48157.15</v>
      </c>
      <c r="K82" s="71" t="n">
        <v>49659.38</v>
      </c>
      <c r="L82" s="71" t="n">
        <v>47290.25</v>
      </c>
    </row>
    <row r="83" customFormat="false" ht="15" hidden="false" customHeight="false" outlineLevel="0" collapsed="false">
      <c r="A83" s="27" t="s">
        <v>1669</v>
      </c>
      <c r="B83" s="56" t="s">
        <v>1586</v>
      </c>
      <c r="C83" s="57" t="n">
        <f aca="false">SUM(E83:P83)</f>
        <v>290380.31</v>
      </c>
      <c r="E83" s="71" t="n">
        <v>30318.11</v>
      </c>
      <c r="F83" s="71" t="n">
        <v>24286.8</v>
      </c>
      <c r="G83" s="71" t="n">
        <v>28132.24</v>
      </c>
      <c r="H83" s="71" t="n">
        <v>30763.67</v>
      </c>
      <c r="I83" s="71" t="n">
        <v>40621.43</v>
      </c>
      <c r="J83" s="71" t="n">
        <v>45450.05</v>
      </c>
      <c r="K83" s="71" t="n">
        <v>45522.69</v>
      </c>
      <c r="L83" s="71" t="n">
        <v>45285.32</v>
      </c>
    </row>
    <row r="84" customFormat="false" ht="15" hidden="false" customHeight="false" outlineLevel="0" collapsed="false">
      <c r="A84" s="27" t="s">
        <v>1670</v>
      </c>
      <c r="B84" s="56" t="s">
        <v>1586</v>
      </c>
      <c r="C84" s="57" t="n">
        <f aca="false">SUM(E84:P84)</f>
        <v>28643.5</v>
      </c>
      <c r="E84" s="71" t="n">
        <v>2967.98</v>
      </c>
      <c r="F84" s="71" t="n">
        <v>2424.27</v>
      </c>
      <c r="G84" s="71" t="n">
        <v>2823.49</v>
      </c>
      <c r="H84" s="71" t="n">
        <v>3026.14</v>
      </c>
      <c r="I84" s="71" t="n">
        <v>3919.63</v>
      </c>
      <c r="J84" s="71" t="n">
        <v>4726.77</v>
      </c>
      <c r="K84" s="71" t="n">
        <v>4464.55</v>
      </c>
      <c r="L84" s="71" t="n">
        <v>4290.67</v>
      </c>
    </row>
    <row r="85" customFormat="false" ht="15" hidden="false" customHeight="false" outlineLevel="0" collapsed="false">
      <c r="A85" s="27" t="s">
        <v>1671</v>
      </c>
      <c r="B85" s="56" t="s">
        <v>1586</v>
      </c>
      <c r="C85" s="57" t="n">
        <f aca="false">SUM(E85:P85)</f>
        <v>65873.1</v>
      </c>
      <c r="E85" s="71" t="n">
        <v>6265.74</v>
      </c>
      <c r="F85" s="71" t="n">
        <v>5990.96</v>
      </c>
      <c r="G85" s="71" t="n">
        <v>5981.64</v>
      </c>
      <c r="H85" s="71" t="n">
        <v>7015.19</v>
      </c>
      <c r="I85" s="71" t="n">
        <v>9279.62</v>
      </c>
      <c r="J85" s="71" t="n">
        <v>10538.71</v>
      </c>
      <c r="K85" s="71" t="n">
        <v>10927.25</v>
      </c>
      <c r="L85" s="71" t="n">
        <v>9873.99</v>
      </c>
    </row>
    <row r="86" customFormat="false" ht="15" hidden="false" customHeight="false" outlineLevel="0" collapsed="false">
      <c r="A86" s="27" t="s">
        <v>1672</v>
      </c>
      <c r="B86" s="56" t="s">
        <v>1658</v>
      </c>
      <c r="C86" s="57" t="n">
        <f aca="false">SUM(E86:P86)</f>
        <v>1460418.51</v>
      </c>
      <c r="E86" s="71" t="n">
        <v>154404.31</v>
      </c>
      <c r="F86" s="71" t="n">
        <v>127523.45</v>
      </c>
      <c r="G86" s="71" t="n">
        <v>172643.28</v>
      </c>
      <c r="H86" s="71" t="n">
        <v>158914.79</v>
      </c>
      <c r="I86" s="71" t="n">
        <v>209857.5</v>
      </c>
      <c r="J86" s="71" t="n">
        <v>201122.58</v>
      </c>
      <c r="K86" s="71" t="n">
        <v>233828.21</v>
      </c>
      <c r="L86" s="71" t="n">
        <v>202124.39</v>
      </c>
    </row>
    <row r="87" customFormat="false" ht="15" hidden="false" customHeight="false" outlineLevel="0" collapsed="false">
      <c r="A87" s="27" t="s">
        <v>1673</v>
      </c>
      <c r="B87" s="56" t="s">
        <v>1598</v>
      </c>
      <c r="C87" s="57" t="n">
        <f aca="false">SUM(E87:P87)</f>
        <v>1451625.29</v>
      </c>
      <c r="E87" s="71" t="n">
        <v>166567.19</v>
      </c>
      <c r="F87" s="71" t="n">
        <v>124038.46</v>
      </c>
      <c r="G87" s="71" t="n">
        <v>159820.04</v>
      </c>
      <c r="H87" s="71" t="n">
        <v>151894.2</v>
      </c>
      <c r="I87" s="71" t="n">
        <v>204243.51</v>
      </c>
      <c r="J87" s="71" t="n">
        <v>214564.27</v>
      </c>
      <c r="K87" s="71" t="n">
        <v>194818.62</v>
      </c>
      <c r="L87" s="71" t="n">
        <v>235679</v>
      </c>
    </row>
    <row r="88" customFormat="false" ht="15" hidden="false" customHeight="false" outlineLevel="0" collapsed="false">
      <c r="A88" s="21" t="s">
        <v>1674</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row>
    <row r="89" customFormat="false" ht="15" hidden="false" customHeight="false" outlineLevel="0" collapsed="false">
      <c r="A89" s="27" t="s">
        <v>1227</v>
      </c>
      <c r="B89" s="56" t="s">
        <v>1675</v>
      </c>
      <c r="C89" s="57" t="n">
        <f aca="false">AVERAGE(E89:P89)</f>
        <v>4</v>
      </c>
      <c r="E89" s="71" t="n">
        <v>4</v>
      </c>
      <c r="F89" s="71" t="n">
        <v>4</v>
      </c>
      <c r="G89" s="71" t="n">
        <v>4</v>
      </c>
      <c r="H89" s="71" t="n">
        <v>4</v>
      </c>
      <c r="I89" s="71" t="n">
        <v>4</v>
      </c>
      <c r="J89" s="71" t="n">
        <v>4</v>
      </c>
      <c r="K89" s="71" t="n">
        <v>4</v>
      </c>
      <c r="L89" s="71" t="n">
        <v>4</v>
      </c>
    </row>
    <row r="90" customFormat="false" ht="15" hidden="false" customHeight="false" outlineLevel="0" collapsed="false">
      <c r="A90" s="27" t="s">
        <v>1229</v>
      </c>
      <c r="B90" s="56" t="s">
        <v>1675</v>
      </c>
      <c r="C90" s="57" t="n">
        <f aca="false">AVERAGE(E90:P90)</f>
        <v>10.375</v>
      </c>
      <c r="E90" s="71" t="n">
        <v>10</v>
      </c>
      <c r="F90" s="71" t="n">
        <v>10</v>
      </c>
      <c r="G90" s="71" t="n">
        <v>10</v>
      </c>
      <c r="H90" s="71" t="n">
        <v>10</v>
      </c>
      <c r="I90" s="71" t="n">
        <v>10</v>
      </c>
      <c r="J90" s="71" t="n">
        <v>11</v>
      </c>
      <c r="K90" s="71" t="n">
        <v>11</v>
      </c>
      <c r="L90" s="71" t="n">
        <v>11</v>
      </c>
    </row>
    <row r="91" customFormat="false" ht="15" hidden="false" customHeight="false" outlineLevel="0" collapsed="false">
      <c r="A91" s="27" t="s">
        <v>1230</v>
      </c>
      <c r="B91" s="56" t="s">
        <v>1675</v>
      </c>
      <c r="C91" s="57" t="n">
        <f aca="false">AVERAGE(E91:P91)</f>
        <v>7.75</v>
      </c>
      <c r="E91" s="71" t="n">
        <v>8</v>
      </c>
      <c r="F91" s="71" t="n">
        <v>8</v>
      </c>
      <c r="G91" s="71" t="n">
        <v>8</v>
      </c>
      <c r="H91" s="71" t="n">
        <v>7</v>
      </c>
      <c r="I91" s="71" t="n">
        <v>7</v>
      </c>
      <c r="J91" s="71" t="n">
        <v>8</v>
      </c>
      <c r="K91" s="71" t="n">
        <v>8</v>
      </c>
      <c r="L91" s="71" t="n">
        <v>8</v>
      </c>
    </row>
    <row r="92" customFormat="false" ht="15" hidden="false" customHeight="false" outlineLevel="0" collapsed="false">
      <c r="A92" s="27" t="s">
        <v>1231</v>
      </c>
      <c r="B92" s="56" t="s">
        <v>1675</v>
      </c>
      <c r="C92" s="57" t="n">
        <f aca="false">AVERAGE(E92:P92)</f>
        <v>3.25</v>
      </c>
      <c r="E92" s="71" t="n">
        <v>3</v>
      </c>
      <c r="F92" s="71" t="n">
        <v>3</v>
      </c>
      <c r="G92" s="71" t="n">
        <v>3</v>
      </c>
      <c r="H92" s="71" t="n">
        <v>3</v>
      </c>
      <c r="I92" s="71" t="n">
        <v>3</v>
      </c>
      <c r="J92" s="71" t="n">
        <v>3</v>
      </c>
      <c r="K92" s="71" t="n">
        <v>4</v>
      </c>
      <c r="L92" s="71" t="n">
        <v>4</v>
      </c>
    </row>
    <row r="93" customFormat="false" ht="15" hidden="false" customHeight="false" outlineLevel="0" collapsed="false">
      <c r="A93" s="27" t="s">
        <v>1676</v>
      </c>
      <c r="B93" s="56" t="s">
        <v>1675</v>
      </c>
      <c r="C93" s="57" t="n">
        <f aca="false">SUM(E93:P93)</f>
        <v>825771</v>
      </c>
      <c r="E93" s="71" t="n">
        <v>100577</v>
      </c>
      <c r="F93" s="71" t="n">
        <v>100073</v>
      </c>
      <c r="G93" s="71" t="n">
        <v>103197</v>
      </c>
      <c r="H93" s="71" t="n">
        <v>98593</v>
      </c>
      <c r="I93" s="71" t="n">
        <v>98614</v>
      </c>
      <c r="J93" s="71" t="n">
        <v>103650</v>
      </c>
      <c r="K93" s="71" t="n">
        <v>112754</v>
      </c>
      <c r="L93" s="71" t="n">
        <v>108313</v>
      </c>
    </row>
    <row r="94" customFormat="false" ht="15" hidden="false" customHeight="false" outlineLevel="0" collapsed="false">
      <c r="A94" s="27" t="s">
        <v>1677</v>
      </c>
      <c r="B94" s="56" t="s">
        <v>1678</v>
      </c>
      <c r="C94" s="57" t="n">
        <f aca="false">SUM(E94:P94)</f>
        <v>14900</v>
      </c>
      <c r="E94" s="71" t="n">
        <v>0</v>
      </c>
      <c r="F94" s="71" t="n">
        <v>0</v>
      </c>
      <c r="G94" s="71" t="n">
        <v>0</v>
      </c>
      <c r="H94" s="71" t="n">
        <v>0</v>
      </c>
      <c r="I94" s="71" t="n">
        <v>0</v>
      </c>
      <c r="J94" s="71" t="n">
        <v>2600</v>
      </c>
      <c r="K94" s="71" t="n">
        <v>5400</v>
      </c>
      <c r="L94" s="71" t="n">
        <v>6900</v>
      </c>
    </row>
    <row r="95" customFormat="false" ht="15" hidden="false" customHeight="false" outlineLevel="0" collapsed="false">
      <c r="A95" s="27" t="s">
        <v>1679</v>
      </c>
      <c r="B95" s="56" t="s">
        <v>1680</v>
      </c>
      <c r="C95" s="57" t="n">
        <f aca="false">AVERAGE(E95:P95)</f>
        <v>12.625</v>
      </c>
      <c r="E95" s="71" t="n">
        <v>12</v>
      </c>
      <c r="F95" s="71" t="n">
        <v>12</v>
      </c>
      <c r="G95" s="71" t="n">
        <v>12</v>
      </c>
      <c r="H95" s="71" t="n">
        <v>13</v>
      </c>
      <c r="I95" s="71" t="n">
        <v>13</v>
      </c>
      <c r="J95" s="71" t="n">
        <v>13</v>
      </c>
      <c r="K95" s="71" t="n">
        <v>13</v>
      </c>
      <c r="L95" s="71" t="n">
        <v>13</v>
      </c>
    </row>
    <row r="96" customFormat="false" ht="15" hidden="false" customHeight="false" outlineLevel="0" collapsed="false">
      <c r="A96" s="27" t="s">
        <v>1681</v>
      </c>
      <c r="B96" s="56" t="s">
        <v>1651</v>
      </c>
      <c r="C96" s="57" t="n">
        <f aca="false">SUM(E96:P96)</f>
        <v>111934</v>
      </c>
      <c r="E96" s="71" t="n">
        <v>13626</v>
      </c>
      <c r="F96" s="71" t="n">
        <v>13713</v>
      </c>
      <c r="G96" s="71" t="n">
        <v>13725</v>
      </c>
      <c r="H96" s="71" t="n">
        <v>14065</v>
      </c>
      <c r="I96" s="71" t="n">
        <v>13284</v>
      </c>
      <c r="J96" s="71" t="n">
        <v>14685</v>
      </c>
      <c r="K96" s="71" t="n">
        <v>15315</v>
      </c>
      <c r="L96" s="71" t="n">
        <v>13521</v>
      </c>
    </row>
    <row r="97" customFormat="false" ht="15" hidden="false" customHeight="false" outlineLevel="0" collapsed="false">
      <c r="A97" s="21" t="s">
        <v>1682</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row>
    <row r="98" customFormat="false" ht="15" hidden="false" customHeight="false" outlineLevel="0" collapsed="false">
      <c r="A98" s="27" t="s">
        <v>1683</v>
      </c>
      <c r="B98" s="56" t="s">
        <v>1675</v>
      </c>
      <c r="C98" s="57" t="n">
        <f aca="false">SUM(E98:P98)</f>
        <v>335448</v>
      </c>
      <c r="E98" s="71" t="n">
        <v>43634</v>
      </c>
      <c r="F98" s="71" t="n">
        <v>43301</v>
      </c>
      <c r="G98" s="71" t="n">
        <v>39568</v>
      </c>
      <c r="H98" s="71" t="n">
        <v>39249</v>
      </c>
      <c r="I98" s="71" t="n">
        <v>39045</v>
      </c>
      <c r="J98" s="71" t="n">
        <v>43840</v>
      </c>
      <c r="K98" s="71" t="n">
        <v>43272</v>
      </c>
      <c r="L98" s="71" t="n">
        <v>43539</v>
      </c>
    </row>
    <row r="99" customFormat="false" ht="15" hidden="false" customHeight="false" outlineLevel="0" collapsed="false">
      <c r="A99" s="27" t="s">
        <v>357</v>
      </c>
      <c r="B99" s="56" t="s">
        <v>1651</v>
      </c>
      <c r="C99" s="57" t="n">
        <f aca="false">SUM(E99:P99)</f>
        <v>57312</v>
      </c>
      <c r="E99" s="71" t="n">
        <v>6023</v>
      </c>
      <c r="F99" s="71" t="n">
        <v>5858</v>
      </c>
      <c r="G99" s="71" t="n">
        <v>8709</v>
      </c>
      <c r="H99" s="71" t="n">
        <v>7347</v>
      </c>
      <c r="I99" s="71" t="n">
        <v>7358</v>
      </c>
      <c r="J99" s="71" t="n">
        <v>7044</v>
      </c>
      <c r="K99" s="71" t="n">
        <v>8501</v>
      </c>
      <c r="L99" s="71" t="n">
        <v>6472</v>
      </c>
    </row>
    <row r="100" customFormat="false" ht="15" hidden="false" customHeight="false" outlineLevel="0" collapsed="false">
      <c r="A100" s="27" t="s">
        <v>358</v>
      </c>
      <c r="B100" s="56" t="s">
        <v>1651</v>
      </c>
      <c r="C100" s="57" t="n">
        <f aca="false">SUM(E100:P100)</f>
        <v>75131</v>
      </c>
      <c r="E100" s="71" t="n">
        <v>10070</v>
      </c>
      <c r="F100" s="71" t="n">
        <v>8856</v>
      </c>
      <c r="G100" s="71" t="n">
        <v>8959</v>
      </c>
      <c r="H100" s="71" t="n">
        <v>9674</v>
      </c>
      <c r="I100" s="71" t="n">
        <v>9909</v>
      </c>
      <c r="J100" s="71" t="n">
        <v>9772</v>
      </c>
      <c r="K100" s="71" t="n">
        <v>9369</v>
      </c>
      <c r="L100" s="71" t="n">
        <v>8522</v>
      </c>
    </row>
    <row r="101" customFormat="false" ht="15" hidden="false" customHeight="false" outlineLevel="0" collapsed="false">
      <c r="A101" s="27" t="s">
        <v>359</v>
      </c>
      <c r="B101" s="56" t="s">
        <v>1651</v>
      </c>
      <c r="C101" s="57" t="n">
        <f aca="false">SUM(E101:P101)</f>
        <v>31234</v>
      </c>
      <c r="E101" s="71" t="n">
        <v>3706</v>
      </c>
      <c r="F101" s="71" t="n">
        <v>4237</v>
      </c>
      <c r="G101" s="71" t="n">
        <v>4035</v>
      </c>
      <c r="H101" s="71" t="n">
        <v>4028</v>
      </c>
      <c r="I101" s="71" t="n">
        <v>3676</v>
      </c>
      <c r="J101" s="71" t="n">
        <v>4033</v>
      </c>
      <c r="K101" s="71" t="n">
        <v>3989</v>
      </c>
      <c r="L101" s="71" t="n">
        <v>3530</v>
      </c>
    </row>
    <row r="102" customFormat="false" ht="15" hidden="false" customHeight="false" outlineLevel="0" collapsed="false">
      <c r="A102" s="27" t="s">
        <v>360</v>
      </c>
      <c r="B102" s="56" t="s">
        <v>1651</v>
      </c>
      <c r="C102" s="57" t="n">
        <f aca="false">SUM(E102:P102)</f>
        <v>52476</v>
      </c>
      <c r="E102" s="71" t="n">
        <v>3684</v>
      </c>
      <c r="F102" s="71" t="n">
        <v>5487</v>
      </c>
      <c r="G102" s="71" t="n">
        <v>7730</v>
      </c>
      <c r="H102" s="71" t="n">
        <v>8125</v>
      </c>
      <c r="I102" s="71" t="n">
        <v>8707</v>
      </c>
      <c r="J102" s="71" t="n">
        <v>6050</v>
      </c>
      <c r="K102" s="71" t="n">
        <v>6484</v>
      </c>
      <c r="L102" s="71" t="n">
        <v>6209</v>
      </c>
    </row>
    <row r="103" customFormat="false" ht="15" hidden="false" customHeight="false" outlineLevel="0" collapsed="false">
      <c r="A103" s="27" t="s">
        <v>361</v>
      </c>
      <c r="B103" s="56" t="s">
        <v>1651</v>
      </c>
      <c r="C103" s="57" t="n">
        <f aca="false">SUM(E103:P103)</f>
        <v>32840</v>
      </c>
      <c r="E103" s="71" t="n">
        <v>5000</v>
      </c>
      <c r="F103" s="71" t="n">
        <v>4331</v>
      </c>
      <c r="G103" s="71" t="n">
        <v>3264</v>
      </c>
      <c r="H103" s="71" t="n">
        <v>4655</v>
      </c>
      <c r="I103" s="71" t="n">
        <v>4063</v>
      </c>
      <c r="J103" s="71" t="n">
        <v>3755</v>
      </c>
      <c r="K103" s="71" t="n">
        <v>3675</v>
      </c>
      <c r="L103" s="71" t="n">
        <v>4097</v>
      </c>
    </row>
    <row r="104" customFormat="false" ht="15" hidden="false" customHeight="false" outlineLevel="0" collapsed="false">
      <c r="A104" s="27" t="s">
        <v>362</v>
      </c>
      <c r="B104" s="56" t="s">
        <v>1651</v>
      </c>
      <c r="C104" s="57" t="n">
        <f aca="false">SUM(E104:P104)</f>
        <v>20728</v>
      </c>
      <c r="E104" s="71" t="n">
        <v>3015</v>
      </c>
      <c r="F104" s="71" t="n">
        <v>2508</v>
      </c>
      <c r="G104" s="71" t="n">
        <v>2777</v>
      </c>
      <c r="H104" s="71" t="n">
        <v>2372</v>
      </c>
      <c r="I104" s="71" t="n">
        <v>3007</v>
      </c>
      <c r="J104" s="71" t="n">
        <v>2630</v>
      </c>
      <c r="K104" s="71" t="n">
        <v>1867</v>
      </c>
      <c r="L104" s="71" t="n">
        <v>2552</v>
      </c>
    </row>
    <row r="105" customFormat="false" ht="15" hidden="false" customHeight="false" outlineLevel="0" collapsed="false">
      <c r="A105" s="27" t="s">
        <v>363</v>
      </c>
      <c r="B105" s="56" t="s">
        <v>1651</v>
      </c>
      <c r="C105" s="57" t="n">
        <f aca="false">SUM(E105:P105)</f>
        <v>17868</v>
      </c>
      <c r="E105" s="71" t="n">
        <v>2372</v>
      </c>
      <c r="F105" s="71" t="n">
        <v>2245</v>
      </c>
      <c r="G105" s="71" t="n">
        <v>1938</v>
      </c>
      <c r="H105" s="71" t="n">
        <v>2556</v>
      </c>
      <c r="I105" s="71" t="n">
        <v>2479</v>
      </c>
      <c r="J105" s="71" t="n">
        <v>2112</v>
      </c>
      <c r="K105" s="71" t="n">
        <v>2318</v>
      </c>
      <c r="L105" s="71" t="n">
        <v>1848</v>
      </c>
    </row>
    <row r="106" customFormat="false" ht="15" hidden="false" customHeight="false" outlineLevel="0" collapsed="false">
      <c r="A106" s="27" t="s">
        <v>364</v>
      </c>
      <c r="B106" s="56" t="s">
        <v>1651</v>
      </c>
      <c r="C106" s="57" t="n">
        <f aca="false">SUM(E106:P106)</f>
        <v>13345</v>
      </c>
      <c r="E106" s="71" t="n">
        <v>1687</v>
      </c>
      <c r="F106" s="71" t="n">
        <v>1848</v>
      </c>
      <c r="G106" s="71" t="n">
        <v>1800</v>
      </c>
      <c r="H106" s="71" t="n">
        <v>1716</v>
      </c>
      <c r="I106" s="71" t="n">
        <v>1422</v>
      </c>
      <c r="J106" s="71" t="n">
        <v>1619</v>
      </c>
      <c r="K106" s="71" t="n">
        <v>1791</v>
      </c>
      <c r="L106" s="71" t="n">
        <v>1462</v>
      </c>
    </row>
    <row r="107" customFormat="false" ht="15" hidden="false" customHeight="false" outlineLevel="0" collapsed="false">
      <c r="A107" s="27" t="s">
        <v>365</v>
      </c>
      <c r="B107" s="56" t="s">
        <v>1651</v>
      </c>
      <c r="C107" s="57" t="n">
        <f aca="false">SUM(E107:P107)</f>
        <v>6843</v>
      </c>
      <c r="E107" s="71" t="n">
        <v>834</v>
      </c>
      <c r="F107" s="71" t="n">
        <v>647</v>
      </c>
      <c r="G107" s="71" t="n">
        <v>726</v>
      </c>
      <c r="H107" s="71" t="n">
        <v>977</v>
      </c>
      <c r="I107" s="71" t="n">
        <v>860</v>
      </c>
      <c r="J107" s="71" t="n">
        <v>897</v>
      </c>
      <c r="K107" s="71" t="n">
        <v>1040</v>
      </c>
      <c r="L107" s="71" t="n">
        <v>862</v>
      </c>
    </row>
    <row r="108" customFormat="false" ht="15" hidden="false" customHeight="false" outlineLevel="0" collapsed="false">
      <c r="A108" s="27" t="s">
        <v>1684</v>
      </c>
      <c r="B108" s="56" t="s">
        <v>1651</v>
      </c>
      <c r="C108" s="57" t="n">
        <f aca="false">SUM(E108:P108)</f>
        <v>9500</v>
      </c>
      <c r="E108" s="71" t="n">
        <v>0</v>
      </c>
      <c r="F108" s="71" t="n">
        <v>0</v>
      </c>
      <c r="G108" s="71" t="n">
        <v>0</v>
      </c>
      <c r="H108" s="71" t="n">
        <v>0</v>
      </c>
      <c r="I108" s="71" t="n">
        <v>0</v>
      </c>
      <c r="J108" s="71" t="n">
        <v>9500</v>
      </c>
      <c r="K108" s="71" t="n">
        <v>0</v>
      </c>
      <c r="L108" s="71" t="n">
        <v>0</v>
      </c>
    </row>
    <row r="109" customFormat="false" ht="15" hidden="false" customHeight="false" outlineLevel="0" collapsed="false">
      <c r="A109" s="21" t="s">
        <v>1685</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row>
    <row r="110" customFormat="false" ht="15" hidden="false" customHeight="false" outlineLevel="0" collapsed="false">
      <c r="A110" s="27" t="s">
        <v>1686</v>
      </c>
      <c r="B110" s="56" t="s">
        <v>1687</v>
      </c>
      <c r="C110" s="57" t="n">
        <f aca="false">SUM(E110:P110)</f>
        <v>38500</v>
      </c>
      <c r="E110" s="71" t="n">
        <v>0</v>
      </c>
      <c r="F110" s="71" t="n">
        <v>0</v>
      </c>
      <c r="G110" s="71" t="n">
        <v>0</v>
      </c>
      <c r="H110" s="71" t="n">
        <v>38500</v>
      </c>
      <c r="I110" s="71" t="n">
        <v>0</v>
      </c>
      <c r="J110" s="71" t="n">
        <v>0</v>
      </c>
      <c r="K110" s="71" t="n">
        <v>0</v>
      </c>
      <c r="L110" s="71" t="n">
        <v>0</v>
      </c>
    </row>
    <row r="111" customFormat="false" ht="15" hidden="false" customHeight="false" outlineLevel="0" collapsed="false">
      <c r="A111" s="27" t="s">
        <v>1688</v>
      </c>
      <c r="B111" s="56" t="s">
        <v>1687</v>
      </c>
      <c r="C111" s="57" t="n">
        <f aca="false">SUM(E111:P111)</f>
        <v>9400</v>
      </c>
      <c r="E111" s="71" t="n">
        <v>1800</v>
      </c>
      <c r="F111" s="71" t="n">
        <v>0</v>
      </c>
      <c r="G111" s="71" t="n">
        <v>2400</v>
      </c>
      <c r="H111" s="71" t="n">
        <v>900</v>
      </c>
      <c r="I111" s="71" t="n">
        <v>0</v>
      </c>
      <c r="J111" s="71" t="n">
        <v>3100</v>
      </c>
      <c r="K111" s="71" t="n">
        <v>1200</v>
      </c>
      <c r="L111" s="71" t="n">
        <v>0</v>
      </c>
    </row>
    <row r="112" customFormat="false" ht="15" hidden="false" customHeight="false" outlineLevel="0" collapsed="false">
      <c r="A112" s="27" t="s">
        <v>1689</v>
      </c>
      <c r="B112" s="56" t="s">
        <v>1687</v>
      </c>
      <c r="C112" s="57" t="n">
        <f aca="false">SUM(E112:P112)</f>
        <v>6100</v>
      </c>
      <c r="E112" s="71" t="n">
        <v>0</v>
      </c>
      <c r="F112" s="71" t="n">
        <v>0</v>
      </c>
      <c r="G112" s="71" t="n">
        <v>4200</v>
      </c>
      <c r="H112" s="71" t="n">
        <v>0</v>
      </c>
      <c r="I112" s="71" t="n">
        <v>0</v>
      </c>
      <c r="J112" s="71" t="n">
        <v>0</v>
      </c>
      <c r="K112" s="71" t="n">
        <v>0</v>
      </c>
      <c r="L112" s="71" t="n">
        <v>1900</v>
      </c>
    </row>
    <row r="113" customFormat="false" ht="15" hidden="false" customHeight="false" outlineLevel="0" collapsed="false">
      <c r="A113" s="27" t="s">
        <v>458</v>
      </c>
      <c r="B113" s="56" t="s">
        <v>1690</v>
      </c>
      <c r="C113" s="57" t="n">
        <f aca="false">SUM(E113:P113)</f>
        <v>34650</v>
      </c>
      <c r="E113" s="71" t="n">
        <v>0</v>
      </c>
      <c r="F113" s="71" t="n">
        <v>0</v>
      </c>
      <c r="G113" s="71" t="n">
        <v>0</v>
      </c>
      <c r="H113" s="71" t="n">
        <v>34650</v>
      </c>
      <c r="I113" s="71" t="n">
        <v>0</v>
      </c>
      <c r="J113" s="71" t="n">
        <v>0</v>
      </c>
      <c r="K113" s="71" t="n">
        <v>0</v>
      </c>
      <c r="L113" s="71" t="n">
        <v>0</v>
      </c>
    </row>
    <row r="114" customFormat="false" ht="15" hidden="false" customHeight="false" outlineLevel="0" collapsed="false">
      <c r="A114" s="21" t="s">
        <v>1691</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row>
    <row r="115" customFormat="false" ht="15" hidden="false" customHeight="false" outlineLevel="0" collapsed="false">
      <c r="A115" s="27" t="s">
        <v>1692</v>
      </c>
      <c r="B115" s="56" t="s">
        <v>1693</v>
      </c>
      <c r="C115" s="57" t="n">
        <f aca="false">SUM(E115:P115)</f>
        <v>1517147.86</v>
      </c>
      <c r="E115" s="71" t="n">
        <v>162950.96</v>
      </c>
      <c r="F115" s="71" t="n">
        <v>223839.61</v>
      </c>
      <c r="G115" s="71" t="n">
        <v>190110.94</v>
      </c>
      <c r="H115" s="71" t="n">
        <v>162867.85</v>
      </c>
      <c r="I115" s="71" t="n">
        <v>154598.45</v>
      </c>
      <c r="J115" s="71" t="n">
        <v>168157.04</v>
      </c>
      <c r="K115" s="71" t="n">
        <v>193744.57</v>
      </c>
      <c r="L115" s="71" t="n">
        <v>260878.44</v>
      </c>
    </row>
    <row r="116" customFormat="false" ht="15" hidden="false" customHeight="false" outlineLevel="0" collapsed="false">
      <c r="A116" s="27" t="s">
        <v>1694</v>
      </c>
      <c r="B116" s="56" t="s">
        <v>1598</v>
      </c>
      <c r="C116" s="57" t="n">
        <f aca="false">SUM(E116:P116)</f>
        <v>1110844.47</v>
      </c>
      <c r="E116" s="71" t="n">
        <v>98833.65</v>
      </c>
      <c r="F116" s="71" t="n">
        <v>140309.29</v>
      </c>
      <c r="G116" s="71" t="n">
        <v>130537.09</v>
      </c>
      <c r="H116" s="71" t="n">
        <v>148213.23</v>
      </c>
      <c r="I116" s="71" t="n">
        <v>128489.84</v>
      </c>
      <c r="J116" s="71" t="n">
        <v>114926.95</v>
      </c>
      <c r="K116" s="71" t="n">
        <v>137044.46</v>
      </c>
      <c r="L116" s="71" t="n">
        <v>212489.96</v>
      </c>
    </row>
    <row r="117" customFormat="false" ht="15" hidden="false" customHeight="false" outlineLevel="0" collapsed="false">
      <c r="A117" s="27" t="s">
        <v>1695</v>
      </c>
      <c r="B117" s="56" t="s">
        <v>1598</v>
      </c>
      <c r="C117" s="57" t="n">
        <f aca="false">SUM(E117:P117)</f>
        <v>429457.45</v>
      </c>
      <c r="E117" s="71" t="n">
        <v>39871.42</v>
      </c>
      <c r="F117" s="71" t="n">
        <v>62356.57</v>
      </c>
      <c r="G117" s="71" t="n">
        <v>48705.77</v>
      </c>
      <c r="H117" s="71" t="n">
        <v>45209.91</v>
      </c>
      <c r="I117" s="71" t="n">
        <v>38113.25</v>
      </c>
      <c r="J117" s="71" t="n">
        <v>45633.35</v>
      </c>
      <c r="K117" s="71" t="n">
        <v>84378.75</v>
      </c>
      <c r="L117" s="71" t="n">
        <v>65188.43</v>
      </c>
    </row>
    <row r="118" customFormat="false" ht="15" hidden="false" customHeight="false" outlineLevel="0" collapsed="false">
      <c r="A118" s="27" t="s">
        <v>1696</v>
      </c>
      <c r="B118" s="56" t="s">
        <v>1598</v>
      </c>
      <c r="C118" s="57" t="n">
        <f aca="false">SUM(E118:P118)</f>
        <v>482815.04</v>
      </c>
      <c r="E118" s="71" t="n">
        <v>44200.79</v>
      </c>
      <c r="F118" s="71" t="n">
        <v>64704.8</v>
      </c>
      <c r="G118" s="71" t="n">
        <v>53584.95</v>
      </c>
      <c r="H118" s="71" t="n">
        <v>63082.86</v>
      </c>
      <c r="I118" s="71" t="n">
        <v>62637.05</v>
      </c>
      <c r="J118" s="71" t="n">
        <v>69961.65</v>
      </c>
      <c r="K118" s="71" t="n">
        <v>58478.97</v>
      </c>
      <c r="L118" s="71" t="n">
        <v>66163.97</v>
      </c>
    </row>
    <row r="119" customFormat="false" ht="15" hidden="false" customHeight="false" outlineLevel="0" collapsed="false">
      <c r="A119" s="21" t="s">
        <v>1697</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row>
    <row r="120" customFormat="false" ht="15" hidden="false" customHeight="false" outlineLevel="0" collapsed="false">
      <c r="A120" s="27" t="s">
        <v>325</v>
      </c>
      <c r="B120" s="56" t="s">
        <v>1698</v>
      </c>
      <c r="C120" s="71" t="n">
        <v>420000</v>
      </c>
    </row>
    <row r="121" customFormat="false" ht="15" hidden="false" customHeight="false" outlineLevel="0" collapsed="false">
      <c r="A121" s="27" t="s">
        <v>1699</v>
      </c>
      <c r="B121" s="56" t="s">
        <v>1698</v>
      </c>
      <c r="C121" s="71" t="n">
        <v>31988.97</v>
      </c>
    </row>
    <row r="122" customFormat="false" ht="15" hidden="false" customHeight="false" outlineLevel="0" collapsed="false">
      <c r="A122" s="27" t="s">
        <v>385</v>
      </c>
      <c r="B122" s="56" t="s">
        <v>1698</v>
      </c>
      <c r="C122" s="71" t="n">
        <v>178731.67</v>
      </c>
    </row>
    <row r="123" customFormat="false" ht="15" hidden="false" customHeight="false" outlineLevel="0" collapsed="false">
      <c r="A123" s="27" t="s">
        <v>1700</v>
      </c>
      <c r="B123" s="56" t="s">
        <v>1698</v>
      </c>
      <c r="C123" s="71" t="n">
        <v>68296.64</v>
      </c>
    </row>
    <row r="124" customFormat="false" ht="15" hidden="false" customHeight="false" outlineLevel="0" collapsed="false">
      <c r="A124" s="27" t="s">
        <v>1701</v>
      </c>
      <c r="B124" s="56" t="s">
        <v>1698</v>
      </c>
      <c r="C124" s="71" t="n">
        <v>141991.13</v>
      </c>
    </row>
    <row r="125" customFormat="false" ht="15" hidden="false" customHeight="false" outlineLevel="0" collapsed="false">
      <c r="A125" s="27" t="s">
        <v>1702</v>
      </c>
      <c r="B125" s="56" t="s">
        <v>1698</v>
      </c>
      <c r="C125" s="71" t="n">
        <v>-5623.37</v>
      </c>
    </row>
    <row r="126" customFormat="false" ht="15" hidden="false" customHeight="false" outlineLevel="0" collapsed="false">
      <c r="A126" s="27" t="s">
        <v>1703</v>
      </c>
      <c r="B126" s="56" t="s">
        <v>1698</v>
      </c>
      <c r="C126" s="71" t="n">
        <v>19000</v>
      </c>
    </row>
    <row r="127" customFormat="false" ht="15" hidden="false" customHeight="false" outlineLevel="0" collapsed="false">
      <c r="A127" s="27" t="s">
        <v>1704</v>
      </c>
      <c r="B127" s="56" t="s">
        <v>1698</v>
      </c>
      <c r="C127" s="71" t="n">
        <v>38000</v>
      </c>
    </row>
    <row r="128" customFormat="false" ht="15" hidden="false" customHeight="false" outlineLevel="0" collapsed="false">
      <c r="A128" s="27" t="s">
        <v>389</v>
      </c>
      <c r="B128" s="56" t="s">
        <v>1698</v>
      </c>
      <c r="C128" s="71" t="n">
        <v>46000</v>
      </c>
    </row>
    <row r="129" customFormat="false" ht="15" hidden="false" customHeight="false" outlineLevel="0" collapsed="false">
      <c r="A129" s="27" t="s">
        <v>1705</v>
      </c>
      <c r="B129" s="56" t="s">
        <v>1698</v>
      </c>
      <c r="C129" s="71" t="n">
        <v>395000</v>
      </c>
    </row>
    <row r="130" customFormat="false" ht="15" hidden="false" customHeight="false" outlineLevel="0" collapsed="false">
      <c r="A130" s="27" t="s">
        <v>1706</v>
      </c>
      <c r="B130" s="56" t="s">
        <v>1698</v>
      </c>
      <c r="C130" s="71" t="n">
        <v>178000</v>
      </c>
    </row>
    <row r="131" customFormat="false" ht="15" hidden="false" customHeight="false" outlineLevel="0" collapsed="false">
      <c r="A131" s="27" t="s">
        <v>1707</v>
      </c>
      <c r="B131" s="56" t="s">
        <v>1698</v>
      </c>
      <c r="C131" s="71" t="n">
        <v>118000</v>
      </c>
    </row>
    <row r="132" customFormat="false" ht="15" hidden="false" customHeight="false" outlineLevel="0" collapsed="false">
      <c r="A132" s="27" t="s">
        <v>1708</v>
      </c>
      <c r="B132" s="56" t="s">
        <v>1698</v>
      </c>
      <c r="C132" s="71" t="n">
        <v>61000</v>
      </c>
    </row>
    <row r="133" customFormat="false" ht="15" hidden="false" customHeight="false" outlineLevel="0" collapsed="false">
      <c r="A133" s="27" t="s">
        <v>1709</v>
      </c>
      <c r="B133" s="56" t="s">
        <v>1698</v>
      </c>
      <c r="C133" s="71" t="n">
        <v>64000</v>
      </c>
    </row>
    <row r="134" customFormat="false" ht="15" hidden="false" customHeight="false" outlineLevel="0" collapsed="false">
      <c r="A134" s="27" t="s">
        <v>1710</v>
      </c>
      <c r="B134" s="56" t="s">
        <v>1698</v>
      </c>
      <c r="C134" s="71" t="n">
        <v>41000</v>
      </c>
    </row>
    <row r="135" customFormat="false" ht="15" hidden="false" customHeight="false" outlineLevel="0" collapsed="false">
      <c r="A135" s="27" t="s">
        <v>394</v>
      </c>
      <c r="B135" s="56" t="s">
        <v>1698</v>
      </c>
      <c r="C135" s="71" t="n">
        <v>182000</v>
      </c>
    </row>
    <row r="136" customFormat="false" ht="15" hidden="false" customHeight="false" outlineLevel="0" collapsed="false">
      <c r="A136" s="27" t="s">
        <v>396</v>
      </c>
      <c r="B136" s="56" t="s">
        <v>1698</v>
      </c>
      <c r="C136" s="71" t="n">
        <v>148000</v>
      </c>
    </row>
    <row r="137" customFormat="false" ht="15" hidden="false" customHeight="false" outlineLevel="0" collapsed="false">
      <c r="A137" s="27" t="s">
        <v>397</v>
      </c>
      <c r="B137" s="56" t="s">
        <v>1698</v>
      </c>
      <c r="C137" s="71" t="n">
        <v>41000</v>
      </c>
    </row>
    <row r="138" customFormat="false" ht="15" hidden="false" customHeight="false" outlineLevel="0" collapsed="false">
      <c r="A138" s="27" t="s">
        <v>1711</v>
      </c>
      <c r="B138" s="56" t="s">
        <v>1698</v>
      </c>
      <c r="C138" s="71" t="n">
        <v>38000</v>
      </c>
    </row>
    <row r="139" customFormat="false" ht="15" hidden="false" customHeight="false" outlineLevel="0" collapsed="false">
      <c r="A139" s="27" t="s">
        <v>1712</v>
      </c>
      <c r="B139" s="56" t="s">
        <v>1698</v>
      </c>
      <c r="C139" s="71" t="n">
        <v>5200</v>
      </c>
    </row>
    <row r="140" customFormat="false" ht="15" hidden="false" customHeight="false" outlineLevel="0" collapsed="false">
      <c r="A140" s="27" t="s">
        <v>400</v>
      </c>
      <c r="B140" s="56" t="s">
        <v>1698</v>
      </c>
      <c r="C140" s="71" t="n">
        <v>61800</v>
      </c>
    </row>
    <row r="141" customFormat="false" ht="15" hidden="false" customHeight="false" outlineLevel="0" collapsed="false">
      <c r="A141" s="27" t="s">
        <v>1713</v>
      </c>
      <c r="B141" s="56" t="s">
        <v>1698</v>
      </c>
      <c r="C141" s="71" t="n">
        <v>46300</v>
      </c>
    </row>
    <row r="142" customFormat="false" ht="15" hidden="false" customHeight="false" outlineLevel="0" collapsed="false">
      <c r="A142" s="27" t="s">
        <v>1714</v>
      </c>
      <c r="B142" s="56" t="s">
        <v>1698</v>
      </c>
      <c r="C142" s="71" t="n">
        <v>6000</v>
      </c>
    </row>
    <row r="143" customFormat="false" ht="15" hidden="false" customHeight="false" outlineLevel="0" collapsed="false">
      <c r="A143" s="27" t="s">
        <v>1715</v>
      </c>
      <c r="B143" s="56" t="s">
        <v>1698</v>
      </c>
      <c r="C143" s="71" t="n">
        <v>140000</v>
      </c>
    </row>
    <row r="144" customFormat="false" ht="15" hidden="false" customHeight="false" outlineLevel="0" collapsed="false">
      <c r="A144" s="27" t="s">
        <v>414</v>
      </c>
      <c r="B144" s="56" t="s">
        <v>1698</v>
      </c>
      <c r="C144" s="71" t="n">
        <v>100000</v>
      </c>
    </row>
    <row r="145" customFormat="false" ht="15" hidden="false" customHeight="false" outlineLevel="0" collapsed="false">
      <c r="A145" s="27" t="s">
        <v>420</v>
      </c>
      <c r="B145" s="56" t="s">
        <v>1698</v>
      </c>
      <c r="C145" s="71" t="n">
        <v>1230685.9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5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16" min="5" style="0" width="11.5"/>
  </cols>
  <sheetData>
    <row r="1" customFormat="false" ht="15" hidden="false" customHeight="false" outlineLevel="0" collapsed="false">
      <c r="A1" s="19" t="str">
        <f aca="false">Assumptions!$C$6</f>
        <v>Tarnlea Build &amp; Retrofit Ltd (fictional demonstration company)</v>
      </c>
    </row>
    <row r="2" customFormat="false" ht="17.35" hidden="false" customHeight="false" outlineLevel="0" collapsed="false">
      <c r="A2" s="20" t="s">
        <v>1716</v>
      </c>
    </row>
    <row r="3" customFormat="false" ht="15" hidden="false" customHeight="false" outlineLevel="0" collapsed="false">
      <c r="A3" s="47" t="s">
        <v>1717</v>
      </c>
    </row>
    <row r="4" customFormat="false" ht="15" hidden="false" customHeight="false" outlineLevel="0" collapsed="false">
      <c r="A4" s="48" t="s">
        <v>292</v>
      </c>
      <c r="B4" s="48" t="s">
        <v>293</v>
      </c>
      <c r="C4" s="49" t="s">
        <v>294</v>
      </c>
      <c r="D4" s="49"/>
      <c r="E4" s="50" t="n">
        <f aca="false">Assumptions!E$95</f>
        <v>46053</v>
      </c>
      <c r="F4" s="50" t="n">
        <f aca="false">Assumptions!F$95</f>
        <v>46081</v>
      </c>
      <c r="G4" s="50" t="n">
        <f aca="false">Assumptions!G$95</f>
        <v>46112</v>
      </c>
      <c r="H4" s="50" t="n">
        <f aca="false">Assumptions!H$95</f>
        <v>46142</v>
      </c>
      <c r="I4" s="50" t="n">
        <f aca="false">Assumptions!I$95</f>
        <v>46173</v>
      </c>
      <c r="J4" s="50" t="n">
        <f aca="false">Assumptions!J$95</f>
        <v>46203</v>
      </c>
      <c r="K4" s="50" t="n">
        <f aca="false">Assumptions!K$95</f>
        <v>46234</v>
      </c>
      <c r="L4" s="50" t="n">
        <f aca="false">Assumptions!L$95</f>
        <v>46265</v>
      </c>
      <c r="M4" s="50" t="n">
        <f aca="false">Assumptions!M$95</f>
        <v>46295</v>
      </c>
      <c r="N4" s="50" t="n">
        <f aca="false">Assumptions!N$95</f>
        <v>46326</v>
      </c>
      <c r="O4" s="50" t="n">
        <f aca="false">Assumptions!O$95</f>
        <v>46356</v>
      </c>
      <c r="P4" s="50" t="n">
        <f aca="false">Assumptions!P$95</f>
        <v>46387</v>
      </c>
    </row>
    <row r="5" customFormat="false" ht="15" hidden="false" customHeight="false" outlineLevel="0" collapsed="false">
      <c r="A5" s="51" t="s">
        <v>296</v>
      </c>
      <c r="B5" s="52"/>
      <c r="C5" s="53" t="s">
        <v>297</v>
      </c>
      <c r="D5" s="53"/>
      <c r="E5" s="53" t="str">
        <f aca="false">Assumptions!E$97</f>
        <v>A</v>
      </c>
      <c r="F5" s="53" t="str">
        <f aca="false">Assumptions!F$97</f>
        <v>A</v>
      </c>
      <c r="G5" s="53" t="str">
        <f aca="false">Assumptions!G$97</f>
        <v>A</v>
      </c>
      <c r="H5" s="53" t="str">
        <f aca="false">Assumptions!H$97</f>
        <v>A</v>
      </c>
      <c r="I5" s="53" t="str">
        <f aca="false">Assumptions!I$97</f>
        <v>A</v>
      </c>
      <c r="J5" s="53" t="str">
        <f aca="false">Assumptions!J$97</f>
        <v>A</v>
      </c>
      <c r="K5" s="53" t="str">
        <f aca="false">Assumptions!K$97</f>
        <v>A</v>
      </c>
      <c r="L5" s="53" t="str">
        <f aca="false">Assumptions!L$97</f>
        <v>A</v>
      </c>
      <c r="M5" s="53" t="str">
        <f aca="false">Assumptions!M$97</f>
        <v>F</v>
      </c>
      <c r="N5" s="53" t="str">
        <f aca="false">Assumptions!N$97</f>
        <v>F</v>
      </c>
      <c r="O5" s="53" t="str">
        <f aca="false">Assumptions!O$97</f>
        <v>F</v>
      </c>
      <c r="P5" s="53" t="str">
        <f aca="false">Assumptions!P$97</f>
        <v>F</v>
      </c>
    </row>
    <row r="6" customFormat="false" ht="15" hidden="false" customHeight="false" outlineLevel="0" collapsed="false">
      <c r="A6" s="54" t="s">
        <v>299</v>
      </c>
      <c r="E6" s="55" t="n">
        <f aca="false">Assumptions!E$96</f>
        <v>1</v>
      </c>
      <c r="F6" s="55" t="n">
        <f aca="false">Assumptions!F$96</f>
        <v>2</v>
      </c>
      <c r="G6" s="55" t="n">
        <f aca="false">Assumptions!G$96</f>
        <v>3</v>
      </c>
      <c r="H6" s="55" t="n">
        <f aca="false">Assumptions!H$96</f>
        <v>4</v>
      </c>
      <c r="I6" s="55" t="n">
        <f aca="false">Assumptions!I$96</f>
        <v>5</v>
      </c>
      <c r="J6" s="55" t="n">
        <f aca="false">Assumptions!J$96</f>
        <v>6</v>
      </c>
      <c r="K6" s="55" t="n">
        <f aca="false">Assumptions!K$96</f>
        <v>7</v>
      </c>
      <c r="L6" s="55" t="n">
        <f aca="false">Assumptions!L$96</f>
        <v>8</v>
      </c>
      <c r="M6" s="55" t="n">
        <f aca="false">Assumptions!M$96</f>
        <v>9</v>
      </c>
      <c r="N6" s="55" t="n">
        <f aca="false">Assumptions!N$96</f>
        <v>10</v>
      </c>
      <c r="O6" s="55" t="n">
        <f aca="false">Assumptions!O$96</f>
        <v>11</v>
      </c>
      <c r="P6" s="55" t="n">
        <f aca="false">Assumptions!P$96</f>
        <v>12</v>
      </c>
    </row>
    <row r="8" customFormat="false" ht="15" hidden="false" customHeight="false" outlineLevel="0" collapsed="false">
      <c r="A8" s="21" t="s">
        <v>498</v>
      </c>
      <c r="B8" s="22"/>
      <c r="C8" s="22"/>
      <c r="D8" s="22"/>
      <c r="E8" s="22"/>
      <c r="F8" s="22"/>
      <c r="G8" s="22"/>
      <c r="H8" s="22"/>
      <c r="I8" s="22"/>
      <c r="J8" s="22"/>
      <c r="K8" s="22"/>
      <c r="L8" s="22"/>
      <c r="M8" s="22"/>
      <c r="N8" s="22"/>
      <c r="O8" s="22"/>
      <c r="P8" s="22"/>
    </row>
    <row r="9" customFormat="false" ht="15" hidden="false" customHeight="false" outlineLevel="0" collapsed="false">
      <c r="A9" s="27" t="s">
        <v>499</v>
      </c>
      <c r="B9" s="56" t="s">
        <v>1718</v>
      </c>
      <c r="C9" s="108" t="n">
        <f aca="false">SUM(E9:P9)</f>
        <v>42</v>
      </c>
      <c r="E9" s="136" t="n">
        <v>2.45</v>
      </c>
      <c r="F9" s="136" t="n">
        <v>2.98</v>
      </c>
      <c r="G9" s="136" t="n">
        <v>3.5</v>
      </c>
      <c r="H9" s="136" t="n">
        <v>3.85</v>
      </c>
      <c r="I9" s="136" t="n">
        <v>4.02</v>
      </c>
      <c r="J9" s="136" t="n">
        <v>4.02</v>
      </c>
      <c r="K9" s="136" t="n">
        <v>3.85</v>
      </c>
      <c r="L9" s="136" t="n">
        <v>3.68</v>
      </c>
      <c r="M9" s="136" t="n">
        <v>3.85</v>
      </c>
      <c r="N9" s="136" t="n">
        <v>3.68</v>
      </c>
      <c r="O9" s="136" t="n">
        <v>3.32</v>
      </c>
      <c r="P9" s="136" t="n">
        <v>2.8</v>
      </c>
    </row>
    <row r="10" customFormat="false" ht="15" hidden="false" customHeight="false" outlineLevel="0" collapsed="false">
      <c r="A10" s="27" t="s">
        <v>500</v>
      </c>
      <c r="B10" s="56" t="s">
        <v>1718</v>
      </c>
      <c r="C10" s="108" t="n">
        <f aca="false">SUM(E10:P10)</f>
        <v>17.99</v>
      </c>
      <c r="E10" s="136" t="n">
        <v>1.05</v>
      </c>
      <c r="F10" s="136" t="n">
        <v>1.27</v>
      </c>
      <c r="G10" s="136" t="n">
        <v>1.5</v>
      </c>
      <c r="H10" s="136" t="n">
        <v>1.65</v>
      </c>
      <c r="I10" s="136" t="n">
        <v>1.72</v>
      </c>
      <c r="J10" s="136" t="n">
        <v>1.72</v>
      </c>
      <c r="K10" s="136" t="n">
        <v>1.65</v>
      </c>
      <c r="L10" s="136" t="n">
        <v>1.58</v>
      </c>
      <c r="M10" s="136" t="n">
        <v>1.65</v>
      </c>
      <c r="N10" s="136" t="n">
        <v>1.58</v>
      </c>
      <c r="O10" s="136" t="n">
        <v>1.42</v>
      </c>
      <c r="P10" s="136" t="n">
        <v>1.2</v>
      </c>
    </row>
    <row r="11" customFormat="false" ht="15" hidden="false" customHeight="false" outlineLevel="0" collapsed="false">
      <c r="A11" s="21" t="s">
        <v>332</v>
      </c>
      <c r="B11" s="22"/>
      <c r="C11" s="22"/>
      <c r="D11" s="22"/>
      <c r="E11" s="22"/>
      <c r="F11" s="22"/>
      <c r="G11" s="22"/>
      <c r="H11" s="22"/>
      <c r="I11" s="22"/>
      <c r="J11" s="22"/>
      <c r="K11" s="22"/>
      <c r="L11" s="22"/>
      <c r="M11" s="22"/>
      <c r="N11" s="22"/>
      <c r="O11" s="22"/>
      <c r="P11" s="22"/>
    </row>
    <row r="12" customFormat="false" ht="15" hidden="false" customHeight="false" outlineLevel="0" collapsed="false">
      <c r="A12" s="27" t="s">
        <v>333</v>
      </c>
      <c r="B12" s="56" t="s">
        <v>1718</v>
      </c>
      <c r="C12" s="57" t="n">
        <f aca="false">SUM(E12:P12)</f>
        <v>2525498</v>
      </c>
      <c r="E12" s="71" t="n">
        <v>147097</v>
      </c>
      <c r="F12" s="71" t="n">
        <v>153212</v>
      </c>
      <c r="G12" s="71" t="n">
        <v>183214</v>
      </c>
      <c r="H12" s="71" t="n">
        <v>211975</v>
      </c>
      <c r="I12" s="71" t="n">
        <v>232624</v>
      </c>
      <c r="J12" s="71" t="n">
        <v>242627</v>
      </c>
      <c r="K12" s="71" t="n">
        <v>242109</v>
      </c>
      <c r="L12" s="71" t="n">
        <v>234332</v>
      </c>
      <c r="M12" s="71" t="n">
        <v>230184</v>
      </c>
      <c r="N12" s="71" t="n">
        <v>229146</v>
      </c>
      <c r="O12" s="71" t="n">
        <v>220484</v>
      </c>
      <c r="P12" s="71" t="n">
        <v>198494</v>
      </c>
    </row>
    <row r="13" customFormat="false" ht="15" hidden="false" customHeight="false" outlineLevel="0" collapsed="false">
      <c r="A13" s="27" t="s">
        <v>335</v>
      </c>
      <c r="B13" s="56" t="s">
        <v>1718</v>
      </c>
      <c r="C13" s="57" t="n">
        <f aca="false">SUM(E13:P13)</f>
        <v>2007754</v>
      </c>
      <c r="E13" s="71" t="n">
        <v>131121</v>
      </c>
      <c r="F13" s="71" t="n">
        <v>118038</v>
      </c>
      <c r="G13" s="71" t="n">
        <v>130392</v>
      </c>
      <c r="H13" s="71" t="n">
        <v>147416</v>
      </c>
      <c r="I13" s="71" t="n">
        <v>165880</v>
      </c>
      <c r="J13" s="71" t="n">
        <v>183036</v>
      </c>
      <c r="K13" s="71" t="n">
        <v>192850</v>
      </c>
      <c r="L13" s="71" t="n">
        <v>194892</v>
      </c>
      <c r="M13" s="71" t="n">
        <v>192862</v>
      </c>
      <c r="N13" s="71" t="n">
        <v>189532</v>
      </c>
      <c r="O13" s="71" t="n">
        <v>184916</v>
      </c>
      <c r="P13" s="71" t="n">
        <v>176819</v>
      </c>
    </row>
    <row r="14" customFormat="false" ht="15" hidden="false" customHeight="false" outlineLevel="0" collapsed="false">
      <c r="A14" s="27" t="s">
        <v>336</v>
      </c>
      <c r="B14" s="56" t="s">
        <v>1718</v>
      </c>
      <c r="C14" s="57" t="n">
        <f aca="false">SUM(E14:P14)</f>
        <v>3649153</v>
      </c>
      <c r="E14" s="71" t="n">
        <v>156953</v>
      </c>
      <c r="F14" s="71" t="n">
        <v>111016</v>
      </c>
      <c r="G14" s="71" t="n">
        <v>82576</v>
      </c>
      <c r="H14" s="71" t="n">
        <v>140686</v>
      </c>
      <c r="I14" s="71" t="n">
        <v>243402</v>
      </c>
      <c r="J14" s="71" t="n">
        <v>351781</v>
      </c>
      <c r="K14" s="71" t="n">
        <v>470863</v>
      </c>
      <c r="L14" s="71" t="n">
        <v>502607</v>
      </c>
      <c r="M14" s="71" t="n">
        <v>509422</v>
      </c>
      <c r="N14" s="71" t="n">
        <v>462604</v>
      </c>
      <c r="O14" s="71" t="n">
        <v>360933</v>
      </c>
      <c r="P14" s="71" t="n">
        <v>256310</v>
      </c>
    </row>
    <row r="15" customFormat="false" ht="15" hidden="false" customHeight="false" outlineLevel="0" collapsed="false">
      <c r="A15" s="27" t="s">
        <v>337</v>
      </c>
      <c r="B15" s="56" t="s">
        <v>1718</v>
      </c>
      <c r="C15" s="57" t="n">
        <f aca="false">SUM(E15:P15)</f>
        <v>1860000</v>
      </c>
      <c r="E15" s="71" t="n">
        <v>198281</v>
      </c>
      <c r="F15" s="71" t="n">
        <v>172969</v>
      </c>
      <c r="G15" s="71" t="n">
        <v>159304</v>
      </c>
      <c r="H15" s="71" t="n">
        <v>146726</v>
      </c>
      <c r="I15" s="71" t="n">
        <v>147840</v>
      </c>
      <c r="J15" s="71" t="n">
        <v>179520</v>
      </c>
      <c r="K15" s="71" t="n">
        <v>195360</v>
      </c>
      <c r="L15" s="71" t="n">
        <v>195360</v>
      </c>
      <c r="M15" s="71" t="n">
        <v>179520</v>
      </c>
      <c r="N15" s="71" t="n">
        <v>147840</v>
      </c>
      <c r="O15" s="71" t="n">
        <v>100320</v>
      </c>
      <c r="P15" s="71" t="n">
        <v>36960</v>
      </c>
    </row>
    <row r="16" customFormat="false" ht="15" hidden="false" customHeight="false" outlineLevel="0" collapsed="false">
      <c r="A16" s="67" t="s">
        <v>338</v>
      </c>
      <c r="B16" s="68"/>
      <c r="C16" s="69" t="n">
        <f aca="false">SUM(E16:P16)</f>
        <v>10042405</v>
      </c>
      <c r="D16" s="138"/>
      <c r="E16" s="69" t="n">
        <f aca="false">E12+E13+E14+E15</f>
        <v>633452</v>
      </c>
      <c r="F16" s="69" t="n">
        <f aca="false">F12+F13+F14+F15</f>
        <v>555235</v>
      </c>
      <c r="G16" s="69" t="n">
        <f aca="false">G12+G13+G14+G15</f>
        <v>555486</v>
      </c>
      <c r="H16" s="69" t="n">
        <f aca="false">H12+H13+H14+H15</f>
        <v>646803</v>
      </c>
      <c r="I16" s="69" t="n">
        <f aca="false">I12+I13+I14+I15</f>
        <v>789746</v>
      </c>
      <c r="J16" s="69" t="n">
        <f aca="false">J12+J13+J14+J15</f>
        <v>956964</v>
      </c>
      <c r="K16" s="69" t="n">
        <f aca="false">K12+K13+K14+K15</f>
        <v>1101182</v>
      </c>
      <c r="L16" s="69" t="n">
        <f aca="false">L12+L13+L14+L15</f>
        <v>1127191</v>
      </c>
      <c r="M16" s="69" t="n">
        <f aca="false">M12+M13+M14+M15</f>
        <v>1111988</v>
      </c>
      <c r="N16" s="69" t="n">
        <f aca="false">N12+N13+N14+N15</f>
        <v>1029122</v>
      </c>
      <c r="O16" s="69" t="n">
        <f aca="false">O12+O13+O14+O15</f>
        <v>866653</v>
      </c>
      <c r="P16" s="69" t="n">
        <f aca="false">P12+P13+P14+P15</f>
        <v>668583</v>
      </c>
    </row>
    <row r="17" customFormat="false" ht="15" hidden="false" customHeight="false" outlineLevel="0" collapsed="false">
      <c r="A17" s="21" t="s">
        <v>348</v>
      </c>
      <c r="B17" s="22"/>
      <c r="C17" s="22"/>
      <c r="D17" s="22"/>
      <c r="E17" s="22"/>
      <c r="F17" s="22"/>
      <c r="G17" s="22"/>
      <c r="H17" s="22"/>
      <c r="I17" s="22"/>
      <c r="J17" s="22"/>
      <c r="K17" s="22"/>
      <c r="L17" s="22"/>
      <c r="M17" s="22"/>
      <c r="N17" s="22"/>
      <c r="O17" s="22"/>
      <c r="P17" s="22"/>
    </row>
    <row r="18" customFormat="false" ht="15" hidden="false" customHeight="false" outlineLevel="0" collapsed="false">
      <c r="A18" s="27" t="s">
        <v>1719</v>
      </c>
      <c r="B18" s="56" t="s">
        <v>1718</v>
      </c>
      <c r="C18" s="59" t="n">
        <f aca="false">AVERAGE(E18:P18)</f>
        <v>0.245</v>
      </c>
      <c r="E18" s="115" t="n">
        <v>0.245</v>
      </c>
      <c r="F18" s="115" t="n">
        <v>0.245</v>
      </c>
      <c r="G18" s="115" t="n">
        <v>0.245</v>
      </c>
      <c r="H18" s="115" t="n">
        <v>0.245</v>
      </c>
      <c r="I18" s="115" t="n">
        <v>0.245</v>
      </c>
      <c r="J18" s="115" t="n">
        <v>0.245</v>
      </c>
      <c r="K18" s="115" t="n">
        <v>0.245</v>
      </c>
      <c r="L18" s="115" t="n">
        <v>0.245</v>
      </c>
      <c r="M18" s="115" t="n">
        <v>0.245</v>
      </c>
      <c r="N18" s="115" t="n">
        <v>0.245</v>
      </c>
      <c r="O18" s="115" t="n">
        <v>0.245</v>
      </c>
      <c r="P18" s="115" t="n">
        <v>0.245</v>
      </c>
    </row>
    <row r="19" customFormat="false" ht="15" hidden="false" customHeight="false" outlineLevel="0" collapsed="false">
      <c r="A19" s="27" t="s">
        <v>1720</v>
      </c>
      <c r="B19" s="56" t="s">
        <v>1718</v>
      </c>
      <c r="C19" s="59" t="n">
        <f aca="false">AVERAGE(E19:P19)</f>
        <v>0.255</v>
      </c>
      <c r="E19" s="115" t="n">
        <v>0.255</v>
      </c>
      <c r="F19" s="115" t="n">
        <v>0.255</v>
      </c>
      <c r="G19" s="115" t="n">
        <v>0.255</v>
      </c>
      <c r="H19" s="115" t="n">
        <v>0.255</v>
      </c>
      <c r="I19" s="115" t="n">
        <v>0.255</v>
      </c>
      <c r="J19" s="115" t="n">
        <v>0.255</v>
      </c>
      <c r="K19" s="115" t="n">
        <v>0.255</v>
      </c>
      <c r="L19" s="115" t="n">
        <v>0.255</v>
      </c>
      <c r="M19" s="115" t="n">
        <v>0.255</v>
      </c>
      <c r="N19" s="115" t="n">
        <v>0.255</v>
      </c>
      <c r="O19" s="115" t="n">
        <v>0.255</v>
      </c>
      <c r="P19" s="115" t="n">
        <v>0.255</v>
      </c>
    </row>
    <row r="20" customFormat="false" ht="15" hidden="false" customHeight="false" outlineLevel="0" collapsed="false">
      <c r="A20" s="27" t="s">
        <v>1721</v>
      </c>
      <c r="B20" s="56" t="s">
        <v>1718</v>
      </c>
      <c r="C20" s="59" t="n">
        <f aca="false">AVERAGE(E20:P20)</f>
        <v>0.148</v>
      </c>
      <c r="E20" s="115" t="n">
        <v>0.148</v>
      </c>
      <c r="F20" s="115" t="n">
        <v>0.148</v>
      </c>
      <c r="G20" s="115" t="n">
        <v>0.148</v>
      </c>
      <c r="H20" s="115" t="n">
        <v>0.148</v>
      </c>
      <c r="I20" s="115" t="n">
        <v>0.148</v>
      </c>
      <c r="J20" s="115" t="n">
        <v>0.148</v>
      </c>
      <c r="K20" s="115" t="n">
        <v>0.148</v>
      </c>
      <c r="L20" s="115" t="n">
        <v>0.148</v>
      </c>
      <c r="M20" s="115" t="n">
        <v>0.148</v>
      </c>
      <c r="N20" s="115" t="n">
        <v>0.148</v>
      </c>
      <c r="O20" s="115" t="n">
        <v>0.148</v>
      </c>
      <c r="P20" s="115" t="n">
        <v>0.148</v>
      </c>
    </row>
    <row r="21" customFormat="false" ht="15" hidden="false" customHeight="false" outlineLevel="0" collapsed="false">
      <c r="A21" s="27" t="s">
        <v>1722</v>
      </c>
      <c r="B21" s="56" t="s">
        <v>1718</v>
      </c>
      <c r="C21" s="59" t="n">
        <f aca="false">AVERAGE(E21:P21)</f>
        <v>0.13</v>
      </c>
      <c r="E21" s="115" t="n">
        <v>0.13</v>
      </c>
      <c r="F21" s="115" t="n">
        <v>0.13</v>
      </c>
      <c r="G21" s="115" t="n">
        <v>0.13</v>
      </c>
      <c r="H21" s="115" t="n">
        <v>0.13</v>
      </c>
      <c r="I21" s="115" t="n">
        <v>0.13</v>
      </c>
      <c r="J21" s="115" t="n">
        <v>0.13</v>
      </c>
      <c r="K21" s="115" t="n">
        <v>0.13</v>
      </c>
      <c r="L21" s="115" t="n">
        <v>0.13</v>
      </c>
      <c r="M21" s="115" t="n">
        <v>0.13</v>
      </c>
      <c r="N21" s="115" t="n">
        <v>0.13</v>
      </c>
      <c r="O21" s="115" t="n">
        <v>0.13</v>
      </c>
      <c r="P21" s="115" t="n">
        <v>0.13</v>
      </c>
    </row>
    <row r="22" customFormat="false" ht="15" hidden="false" customHeight="false" outlineLevel="0" collapsed="false">
      <c r="A22" s="27" t="s">
        <v>333</v>
      </c>
      <c r="B22" s="56" t="s">
        <v>1723</v>
      </c>
      <c r="C22" s="57" t="n">
        <f aca="false">SUM(E22:P22)</f>
        <v>618747.01</v>
      </c>
      <c r="E22" s="70" t="n">
        <f aca="false">E12*E18</f>
        <v>36038.765</v>
      </c>
      <c r="F22" s="70" t="n">
        <f aca="false">F12*F18</f>
        <v>37536.94</v>
      </c>
      <c r="G22" s="70" t="n">
        <f aca="false">G12*G18</f>
        <v>44887.43</v>
      </c>
      <c r="H22" s="70" t="n">
        <f aca="false">H12*H18</f>
        <v>51933.875</v>
      </c>
      <c r="I22" s="70" t="n">
        <f aca="false">I12*I18</f>
        <v>56992.88</v>
      </c>
      <c r="J22" s="70" t="n">
        <f aca="false">J12*J18</f>
        <v>59443.615</v>
      </c>
      <c r="K22" s="70" t="n">
        <f aca="false">K12*K18</f>
        <v>59316.705</v>
      </c>
      <c r="L22" s="70" t="n">
        <f aca="false">L12*L18</f>
        <v>57411.34</v>
      </c>
      <c r="M22" s="70" t="n">
        <f aca="false">M12*M18</f>
        <v>56395.08</v>
      </c>
      <c r="N22" s="70" t="n">
        <f aca="false">N12*N18</f>
        <v>56140.77</v>
      </c>
      <c r="O22" s="70" t="n">
        <f aca="false">O12*O18</f>
        <v>54018.58</v>
      </c>
      <c r="P22" s="70" t="n">
        <f aca="false">P12*P18</f>
        <v>48631.03</v>
      </c>
    </row>
    <row r="23" customFormat="false" ht="15" hidden="false" customHeight="false" outlineLevel="0" collapsed="false">
      <c r="A23" s="27" t="s">
        <v>335</v>
      </c>
      <c r="B23" s="56" t="s">
        <v>1723</v>
      </c>
      <c r="C23" s="57" t="n">
        <f aca="false">SUM(E23:P23)</f>
        <v>511977.27</v>
      </c>
      <c r="E23" s="70" t="n">
        <f aca="false">E13*E19</f>
        <v>33435.855</v>
      </c>
      <c r="F23" s="70" t="n">
        <f aca="false">F13*F19</f>
        <v>30099.69</v>
      </c>
      <c r="G23" s="70" t="n">
        <f aca="false">G13*G19</f>
        <v>33249.96</v>
      </c>
      <c r="H23" s="70" t="n">
        <f aca="false">H13*H19</f>
        <v>37591.08</v>
      </c>
      <c r="I23" s="70" t="n">
        <f aca="false">I13*I19</f>
        <v>42299.4</v>
      </c>
      <c r="J23" s="70" t="n">
        <f aca="false">J13*J19</f>
        <v>46674.18</v>
      </c>
      <c r="K23" s="70" t="n">
        <f aca="false">K13*K19</f>
        <v>49176.75</v>
      </c>
      <c r="L23" s="70" t="n">
        <f aca="false">L13*L19</f>
        <v>49697.46</v>
      </c>
      <c r="M23" s="70" t="n">
        <f aca="false">M13*M19</f>
        <v>49179.81</v>
      </c>
      <c r="N23" s="70" t="n">
        <f aca="false">N13*N19</f>
        <v>48330.66</v>
      </c>
      <c r="O23" s="70" t="n">
        <f aca="false">O13*O19</f>
        <v>47153.58</v>
      </c>
      <c r="P23" s="70" t="n">
        <f aca="false">P13*P19</f>
        <v>45088.845</v>
      </c>
    </row>
    <row r="24" customFormat="false" ht="15" hidden="false" customHeight="false" outlineLevel="0" collapsed="false">
      <c r="A24" s="27" t="s">
        <v>336</v>
      </c>
      <c r="B24" s="56" t="s">
        <v>1723</v>
      </c>
      <c r="C24" s="57" t="n">
        <f aca="false">SUM(E24:P24)</f>
        <v>540074.644</v>
      </c>
      <c r="E24" s="70" t="n">
        <f aca="false">E14*E20</f>
        <v>23229.044</v>
      </c>
      <c r="F24" s="70" t="n">
        <f aca="false">F14*F20</f>
        <v>16430.368</v>
      </c>
      <c r="G24" s="70" t="n">
        <f aca="false">G14*G20</f>
        <v>12221.248</v>
      </c>
      <c r="H24" s="70" t="n">
        <f aca="false">H14*H20</f>
        <v>20821.528</v>
      </c>
      <c r="I24" s="70" t="n">
        <f aca="false">I14*I20</f>
        <v>36023.496</v>
      </c>
      <c r="J24" s="70" t="n">
        <f aca="false">J14*J20</f>
        <v>52063.588</v>
      </c>
      <c r="K24" s="70" t="n">
        <f aca="false">K14*K20</f>
        <v>69687.724</v>
      </c>
      <c r="L24" s="70" t="n">
        <f aca="false">L14*L20</f>
        <v>74385.836</v>
      </c>
      <c r="M24" s="70" t="n">
        <f aca="false">M14*M20</f>
        <v>75394.456</v>
      </c>
      <c r="N24" s="70" t="n">
        <f aca="false">N14*N20</f>
        <v>68465.392</v>
      </c>
      <c r="O24" s="70" t="n">
        <f aca="false">O14*O20</f>
        <v>53418.084</v>
      </c>
      <c r="P24" s="70" t="n">
        <f aca="false">P14*P20</f>
        <v>37933.88</v>
      </c>
    </row>
    <row r="25" customFormat="false" ht="15" hidden="false" customHeight="false" outlineLevel="0" collapsed="false">
      <c r="A25" s="27" t="s">
        <v>337</v>
      </c>
      <c r="B25" s="56" t="s">
        <v>1723</v>
      </c>
      <c r="C25" s="57" t="n">
        <f aca="false">SUM(E25:P25)</f>
        <v>241800</v>
      </c>
      <c r="E25" s="70" t="n">
        <f aca="false">E15*E21</f>
        <v>25776.53</v>
      </c>
      <c r="F25" s="70" t="n">
        <f aca="false">F15*F21</f>
        <v>22485.97</v>
      </c>
      <c r="G25" s="70" t="n">
        <f aca="false">G15*G21</f>
        <v>20709.52</v>
      </c>
      <c r="H25" s="70" t="n">
        <f aca="false">H15*H21</f>
        <v>19074.38</v>
      </c>
      <c r="I25" s="70" t="n">
        <f aca="false">I15*I21</f>
        <v>19219.2</v>
      </c>
      <c r="J25" s="70" t="n">
        <f aca="false">J15*J21</f>
        <v>23337.6</v>
      </c>
      <c r="K25" s="70" t="n">
        <f aca="false">K15*K21</f>
        <v>25396.8</v>
      </c>
      <c r="L25" s="70" t="n">
        <f aca="false">L15*L21</f>
        <v>25396.8</v>
      </c>
      <c r="M25" s="70" t="n">
        <f aca="false">M15*M21</f>
        <v>23337.6</v>
      </c>
      <c r="N25" s="70" t="n">
        <f aca="false">N15*N21</f>
        <v>19219.2</v>
      </c>
      <c r="O25" s="70" t="n">
        <f aca="false">O15*O21</f>
        <v>13041.6</v>
      </c>
      <c r="P25" s="70" t="n">
        <f aca="false">P15*P21</f>
        <v>4804.8</v>
      </c>
    </row>
    <row r="26" customFormat="false" ht="15" hidden="false" customHeight="false" outlineLevel="0" collapsed="false">
      <c r="A26" s="67" t="s">
        <v>348</v>
      </c>
      <c r="B26" s="68"/>
      <c r="C26" s="69" t="n">
        <f aca="false">SUM(E26:P26)</f>
        <v>1912598.924</v>
      </c>
      <c r="D26" s="138"/>
      <c r="E26" s="69" t="n">
        <f aca="false">E22+E23+E24+E25</f>
        <v>118480.194</v>
      </c>
      <c r="F26" s="69" t="n">
        <f aca="false">F22+F23+F24+F25</f>
        <v>106552.968</v>
      </c>
      <c r="G26" s="69" t="n">
        <f aca="false">G22+G23+G24+G25</f>
        <v>111068.158</v>
      </c>
      <c r="H26" s="69" t="n">
        <f aca="false">H22+H23+H24+H25</f>
        <v>129420.863</v>
      </c>
      <c r="I26" s="69" t="n">
        <f aca="false">I22+I23+I24+I25</f>
        <v>154534.976</v>
      </c>
      <c r="J26" s="69" t="n">
        <f aca="false">J22+J23+J24+J25</f>
        <v>181518.983</v>
      </c>
      <c r="K26" s="69" t="n">
        <f aca="false">K22+K23+K24+K25</f>
        <v>203577.979</v>
      </c>
      <c r="L26" s="69" t="n">
        <f aca="false">L22+L23+L24+L25</f>
        <v>206891.436</v>
      </c>
      <c r="M26" s="69" t="n">
        <f aca="false">M22+M23+M24+M25</f>
        <v>204306.946</v>
      </c>
      <c r="N26" s="69" t="n">
        <f aca="false">N22+N23+N24+N25</f>
        <v>192156.022</v>
      </c>
      <c r="O26" s="69" t="n">
        <f aca="false">O22+O23+O24+O25</f>
        <v>167631.844</v>
      </c>
      <c r="P26" s="69" t="n">
        <f aca="false">P22+P23+P24+P25</f>
        <v>136458.555</v>
      </c>
    </row>
    <row r="27" customFormat="false" ht="15" hidden="false" customHeight="false" outlineLevel="0" collapsed="false">
      <c r="A27" s="21" t="s">
        <v>1724</v>
      </c>
      <c r="B27" s="22"/>
      <c r="C27" s="22"/>
      <c r="D27" s="22"/>
      <c r="E27" s="22"/>
      <c r="F27" s="22"/>
      <c r="G27" s="22"/>
      <c r="H27" s="22"/>
      <c r="I27" s="22"/>
      <c r="J27" s="22"/>
      <c r="K27" s="22"/>
      <c r="L27" s="22"/>
      <c r="M27" s="22"/>
      <c r="N27" s="22"/>
      <c r="O27" s="22"/>
      <c r="P27" s="22"/>
    </row>
    <row r="28" customFormat="false" ht="15" hidden="false" customHeight="false" outlineLevel="0" collapsed="false">
      <c r="A28" s="27" t="s">
        <v>509</v>
      </c>
      <c r="B28" s="56" t="s">
        <v>1718</v>
      </c>
      <c r="C28" s="57" t="n">
        <f aca="false">SUM(E28:P28)</f>
        <v>-36000</v>
      </c>
      <c r="E28" s="71" t="n">
        <v>-3000</v>
      </c>
      <c r="F28" s="71" t="n">
        <v>-3000</v>
      </c>
      <c r="G28" s="71" t="n">
        <v>-3000</v>
      </c>
      <c r="H28" s="71" t="n">
        <v>-3000</v>
      </c>
      <c r="I28" s="71" t="n">
        <v>-3000</v>
      </c>
      <c r="J28" s="71" t="n">
        <v>-3000</v>
      </c>
      <c r="K28" s="71" t="n">
        <v>-3000</v>
      </c>
      <c r="L28" s="71" t="n">
        <v>-3000</v>
      </c>
      <c r="M28" s="71" t="n">
        <v>-3000</v>
      </c>
      <c r="N28" s="71" t="n">
        <v>-3000</v>
      </c>
      <c r="O28" s="71" t="n">
        <v>-3000</v>
      </c>
      <c r="P28" s="71" t="n">
        <v>-3000</v>
      </c>
    </row>
    <row r="29" customFormat="false" ht="15" hidden="false" customHeight="false" outlineLevel="0" collapsed="false">
      <c r="A29" s="27" t="s">
        <v>351</v>
      </c>
      <c r="B29" s="56" t="s">
        <v>1718</v>
      </c>
      <c r="C29" s="57" t="n">
        <f aca="false">SUM(E29:P29)</f>
        <v>-156000</v>
      </c>
      <c r="E29" s="71" t="n">
        <v>-13000</v>
      </c>
      <c r="F29" s="71" t="n">
        <v>-13000</v>
      </c>
      <c r="G29" s="71" t="n">
        <v>-13000</v>
      </c>
      <c r="H29" s="71" t="n">
        <v>-13000</v>
      </c>
      <c r="I29" s="71" t="n">
        <v>-13000</v>
      </c>
      <c r="J29" s="71" t="n">
        <v>-13000</v>
      </c>
      <c r="K29" s="71" t="n">
        <v>-13000</v>
      </c>
      <c r="L29" s="71" t="n">
        <v>-13000</v>
      </c>
      <c r="M29" s="71" t="n">
        <v>-13000</v>
      </c>
      <c r="N29" s="71" t="n">
        <v>-13000</v>
      </c>
      <c r="O29" s="71" t="n">
        <v>-13000</v>
      </c>
      <c r="P29" s="71" t="n">
        <v>-13000</v>
      </c>
    </row>
    <row r="30" customFormat="false" ht="15" hidden="false" customHeight="false" outlineLevel="0" collapsed="false">
      <c r="A30" s="67" t="s">
        <v>353</v>
      </c>
      <c r="B30" s="68"/>
      <c r="C30" s="69" t="n">
        <f aca="false">SUM(E30:P30)</f>
        <v>1720598.924</v>
      </c>
      <c r="D30" s="138"/>
      <c r="E30" s="69" t="n">
        <f aca="false">E26+E28+E29</f>
        <v>102480.194</v>
      </c>
      <c r="F30" s="69" t="n">
        <f aca="false">F26+F28+F29</f>
        <v>90552.968</v>
      </c>
      <c r="G30" s="69" t="n">
        <f aca="false">G26+G28+G29</f>
        <v>95068.158</v>
      </c>
      <c r="H30" s="69" t="n">
        <f aca="false">H26+H28+H29</f>
        <v>113420.863</v>
      </c>
      <c r="I30" s="69" t="n">
        <f aca="false">I26+I28+I29</f>
        <v>138534.976</v>
      </c>
      <c r="J30" s="69" t="n">
        <f aca="false">J26+J28+J29</f>
        <v>165518.983</v>
      </c>
      <c r="K30" s="69" t="n">
        <f aca="false">K26+K28+K29</f>
        <v>187577.979</v>
      </c>
      <c r="L30" s="69" t="n">
        <f aca="false">L26+L28+L29</f>
        <v>190891.436</v>
      </c>
      <c r="M30" s="69" t="n">
        <f aca="false">M26+M28+M29</f>
        <v>188306.946</v>
      </c>
      <c r="N30" s="69" t="n">
        <f aca="false">N26+N28+N29</f>
        <v>176156.022</v>
      </c>
      <c r="O30" s="69" t="n">
        <f aca="false">O26+O28+O29</f>
        <v>151631.844</v>
      </c>
      <c r="P30" s="69" t="n">
        <f aca="false">P26+P28+P29</f>
        <v>120458.555</v>
      </c>
    </row>
    <row r="31" customFormat="false" ht="15" hidden="false" customHeight="false" outlineLevel="0" collapsed="false">
      <c r="A31" s="27" t="s">
        <v>356</v>
      </c>
      <c r="B31" s="56" t="s">
        <v>1718</v>
      </c>
      <c r="C31" s="57" t="n">
        <f aca="false">SUM(E31:P31)</f>
        <v>-658440</v>
      </c>
      <c r="E31" s="71" t="n">
        <v>-54870</v>
      </c>
      <c r="F31" s="71" t="n">
        <v>-54870</v>
      </c>
      <c r="G31" s="71" t="n">
        <v>-54870</v>
      </c>
      <c r="H31" s="71" t="n">
        <v>-54870</v>
      </c>
      <c r="I31" s="71" t="n">
        <v>-54870</v>
      </c>
      <c r="J31" s="71" t="n">
        <v>-54870</v>
      </c>
      <c r="K31" s="71" t="n">
        <v>-54870</v>
      </c>
      <c r="L31" s="71" t="n">
        <v>-54870</v>
      </c>
      <c r="M31" s="71" t="n">
        <v>-54870</v>
      </c>
      <c r="N31" s="71" t="n">
        <v>-54870</v>
      </c>
      <c r="O31" s="71" t="n">
        <v>-54870</v>
      </c>
      <c r="P31" s="71" t="n">
        <v>-54870</v>
      </c>
    </row>
    <row r="32" customFormat="false" ht="15" hidden="false" customHeight="false" outlineLevel="0" collapsed="false">
      <c r="A32" s="27" t="s">
        <v>357</v>
      </c>
      <c r="B32" s="56" t="s">
        <v>1718</v>
      </c>
      <c r="C32" s="57" t="n">
        <f aca="false">SUM(E32:P32)</f>
        <v>-88800</v>
      </c>
      <c r="E32" s="71" t="n">
        <v>-7400</v>
      </c>
      <c r="F32" s="71" t="n">
        <v>-7400</v>
      </c>
      <c r="G32" s="71" t="n">
        <v>-7400</v>
      </c>
      <c r="H32" s="71" t="n">
        <v>-7400</v>
      </c>
      <c r="I32" s="71" t="n">
        <v>-7400</v>
      </c>
      <c r="J32" s="71" t="n">
        <v>-7400</v>
      </c>
      <c r="K32" s="71" t="n">
        <v>-7400</v>
      </c>
      <c r="L32" s="71" t="n">
        <v>-7400</v>
      </c>
      <c r="M32" s="71" t="n">
        <v>-7400</v>
      </c>
      <c r="N32" s="71" t="n">
        <v>-7400</v>
      </c>
      <c r="O32" s="71" t="n">
        <v>-7400</v>
      </c>
      <c r="P32" s="71" t="n">
        <v>-7400</v>
      </c>
    </row>
    <row r="33" customFormat="false" ht="15" hidden="false" customHeight="false" outlineLevel="0" collapsed="false">
      <c r="A33" s="27" t="s">
        <v>358</v>
      </c>
      <c r="B33" s="56" t="s">
        <v>1718</v>
      </c>
      <c r="C33" s="57" t="n">
        <f aca="false">SUM(E33:P33)</f>
        <v>-115200</v>
      </c>
      <c r="E33" s="71" t="n">
        <v>-9600</v>
      </c>
      <c r="F33" s="71" t="n">
        <v>-9600</v>
      </c>
      <c r="G33" s="71" t="n">
        <v>-9600</v>
      </c>
      <c r="H33" s="71" t="n">
        <v>-9600</v>
      </c>
      <c r="I33" s="71" t="n">
        <v>-9600</v>
      </c>
      <c r="J33" s="71" t="n">
        <v>-9600</v>
      </c>
      <c r="K33" s="71" t="n">
        <v>-9600</v>
      </c>
      <c r="L33" s="71" t="n">
        <v>-9600</v>
      </c>
      <c r="M33" s="71" t="n">
        <v>-9600</v>
      </c>
      <c r="N33" s="71" t="n">
        <v>-9600</v>
      </c>
      <c r="O33" s="71" t="n">
        <v>-9600</v>
      </c>
      <c r="P33" s="71" t="n">
        <v>-9600</v>
      </c>
    </row>
    <row r="34" customFormat="false" ht="15" hidden="false" customHeight="false" outlineLevel="0" collapsed="false">
      <c r="A34" s="27" t="s">
        <v>359</v>
      </c>
      <c r="B34" s="56" t="s">
        <v>1718</v>
      </c>
      <c r="C34" s="57" t="n">
        <f aca="false">SUM(E34:P34)</f>
        <v>-44400</v>
      </c>
      <c r="E34" s="71" t="n">
        <v>-3700</v>
      </c>
      <c r="F34" s="71" t="n">
        <v>-3700</v>
      </c>
      <c r="G34" s="71" t="n">
        <v>-3700</v>
      </c>
      <c r="H34" s="71" t="n">
        <v>-3700</v>
      </c>
      <c r="I34" s="71" t="n">
        <v>-3700</v>
      </c>
      <c r="J34" s="71" t="n">
        <v>-3700</v>
      </c>
      <c r="K34" s="71" t="n">
        <v>-3700</v>
      </c>
      <c r="L34" s="71" t="n">
        <v>-3700</v>
      </c>
      <c r="M34" s="71" t="n">
        <v>-3700</v>
      </c>
      <c r="N34" s="71" t="n">
        <v>-3700</v>
      </c>
      <c r="O34" s="71" t="n">
        <v>-3700</v>
      </c>
      <c r="P34" s="71" t="n">
        <v>-3700</v>
      </c>
    </row>
    <row r="35" customFormat="false" ht="15" hidden="false" customHeight="false" outlineLevel="0" collapsed="false">
      <c r="A35" s="27" t="s">
        <v>360</v>
      </c>
      <c r="B35" s="56" t="s">
        <v>1718</v>
      </c>
      <c r="C35" s="57" t="n">
        <f aca="false">SUM(E35:P35)</f>
        <v>-78000</v>
      </c>
      <c r="E35" s="71" t="n">
        <v>-6500</v>
      </c>
      <c r="F35" s="71" t="n">
        <v>-6500</v>
      </c>
      <c r="G35" s="71" t="n">
        <v>-6500</v>
      </c>
      <c r="H35" s="71" t="n">
        <v>-6500</v>
      </c>
      <c r="I35" s="71" t="n">
        <v>-6500</v>
      </c>
      <c r="J35" s="71" t="n">
        <v>-6500</v>
      </c>
      <c r="K35" s="71" t="n">
        <v>-6500</v>
      </c>
      <c r="L35" s="71" t="n">
        <v>-6500</v>
      </c>
      <c r="M35" s="71" t="n">
        <v>-6500</v>
      </c>
      <c r="N35" s="71" t="n">
        <v>-6500</v>
      </c>
      <c r="O35" s="71" t="n">
        <v>-6500</v>
      </c>
      <c r="P35" s="71" t="n">
        <v>-6500</v>
      </c>
    </row>
    <row r="36" customFormat="false" ht="15" hidden="false" customHeight="false" outlineLevel="0" collapsed="false">
      <c r="A36" s="27" t="s">
        <v>361</v>
      </c>
      <c r="B36" s="56" t="s">
        <v>1718</v>
      </c>
      <c r="C36" s="57" t="n">
        <f aca="false">SUM(E36:P36)</f>
        <v>-48000</v>
      </c>
      <c r="E36" s="71" t="n">
        <v>-4000</v>
      </c>
      <c r="F36" s="71" t="n">
        <v>-4000</v>
      </c>
      <c r="G36" s="71" t="n">
        <v>-4000</v>
      </c>
      <c r="H36" s="71" t="n">
        <v>-4000</v>
      </c>
      <c r="I36" s="71" t="n">
        <v>-4000</v>
      </c>
      <c r="J36" s="71" t="n">
        <v>-4000</v>
      </c>
      <c r="K36" s="71" t="n">
        <v>-4000</v>
      </c>
      <c r="L36" s="71" t="n">
        <v>-4000</v>
      </c>
      <c r="M36" s="71" t="n">
        <v>-4000</v>
      </c>
      <c r="N36" s="71" t="n">
        <v>-4000</v>
      </c>
      <c r="O36" s="71" t="n">
        <v>-4000</v>
      </c>
      <c r="P36" s="71" t="n">
        <v>-4000</v>
      </c>
    </row>
    <row r="37" customFormat="false" ht="15" hidden="false" customHeight="false" outlineLevel="0" collapsed="false">
      <c r="A37" s="27" t="s">
        <v>362</v>
      </c>
      <c r="B37" s="56" t="s">
        <v>1718</v>
      </c>
      <c r="C37" s="57" t="n">
        <f aca="false">SUM(E37:P37)</f>
        <v>-31200</v>
      </c>
      <c r="E37" s="71" t="n">
        <v>-2600</v>
      </c>
      <c r="F37" s="71" t="n">
        <v>-2600</v>
      </c>
      <c r="G37" s="71" t="n">
        <v>-2600</v>
      </c>
      <c r="H37" s="71" t="n">
        <v>-2600</v>
      </c>
      <c r="I37" s="71" t="n">
        <v>-2600</v>
      </c>
      <c r="J37" s="71" t="n">
        <v>-2600</v>
      </c>
      <c r="K37" s="71" t="n">
        <v>-2600</v>
      </c>
      <c r="L37" s="71" t="n">
        <v>-2600</v>
      </c>
      <c r="M37" s="71" t="n">
        <v>-2600</v>
      </c>
      <c r="N37" s="71" t="n">
        <v>-2600</v>
      </c>
      <c r="O37" s="71" t="n">
        <v>-2600</v>
      </c>
      <c r="P37" s="71" t="n">
        <v>-2600</v>
      </c>
    </row>
    <row r="38" customFormat="false" ht="15" hidden="false" customHeight="false" outlineLevel="0" collapsed="false">
      <c r="A38" s="27" t="s">
        <v>363</v>
      </c>
      <c r="B38" s="56" t="s">
        <v>1718</v>
      </c>
      <c r="C38" s="57" t="n">
        <f aca="false">SUM(E38:P38)</f>
        <v>-25200</v>
      </c>
      <c r="E38" s="71" t="n">
        <v>-2100</v>
      </c>
      <c r="F38" s="71" t="n">
        <v>-2100</v>
      </c>
      <c r="G38" s="71" t="n">
        <v>-2100</v>
      </c>
      <c r="H38" s="71" t="n">
        <v>-2100</v>
      </c>
      <c r="I38" s="71" t="n">
        <v>-2100</v>
      </c>
      <c r="J38" s="71" t="n">
        <v>-2100</v>
      </c>
      <c r="K38" s="71" t="n">
        <v>-2100</v>
      </c>
      <c r="L38" s="71" t="n">
        <v>-2100</v>
      </c>
      <c r="M38" s="71" t="n">
        <v>-2100</v>
      </c>
      <c r="N38" s="71" t="n">
        <v>-2100</v>
      </c>
      <c r="O38" s="71" t="n">
        <v>-2100</v>
      </c>
      <c r="P38" s="71" t="n">
        <v>-2100</v>
      </c>
    </row>
    <row r="39" customFormat="false" ht="15" hidden="false" customHeight="false" outlineLevel="0" collapsed="false">
      <c r="A39" s="27" t="s">
        <v>364</v>
      </c>
      <c r="B39" s="56" t="s">
        <v>1718</v>
      </c>
      <c r="C39" s="57" t="n">
        <f aca="false">SUM(E39:P39)</f>
        <v>-20400</v>
      </c>
      <c r="E39" s="71" t="n">
        <v>-1700</v>
      </c>
      <c r="F39" s="71" t="n">
        <v>-1700</v>
      </c>
      <c r="G39" s="71" t="n">
        <v>-1700</v>
      </c>
      <c r="H39" s="71" t="n">
        <v>-1700</v>
      </c>
      <c r="I39" s="71" t="n">
        <v>-1700</v>
      </c>
      <c r="J39" s="71" t="n">
        <v>-1700</v>
      </c>
      <c r="K39" s="71" t="n">
        <v>-1700</v>
      </c>
      <c r="L39" s="71" t="n">
        <v>-1700</v>
      </c>
      <c r="M39" s="71" t="n">
        <v>-1700</v>
      </c>
      <c r="N39" s="71" t="n">
        <v>-1700</v>
      </c>
      <c r="O39" s="71" t="n">
        <v>-1700</v>
      </c>
      <c r="P39" s="71" t="n">
        <v>-1700</v>
      </c>
    </row>
    <row r="40" customFormat="false" ht="15" hidden="false" customHeight="false" outlineLevel="0" collapsed="false">
      <c r="A40" s="27" t="s">
        <v>365</v>
      </c>
      <c r="B40" s="56" t="s">
        <v>1718</v>
      </c>
      <c r="C40" s="57" t="n">
        <f aca="false">SUM(E40:P40)</f>
        <v>-10200</v>
      </c>
      <c r="E40" s="71" t="n">
        <v>-850</v>
      </c>
      <c r="F40" s="71" t="n">
        <v>-850</v>
      </c>
      <c r="G40" s="71" t="n">
        <v>-850</v>
      </c>
      <c r="H40" s="71" t="n">
        <v>-850</v>
      </c>
      <c r="I40" s="71" t="n">
        <v>-850</v>
      </c>
      <c r="J40" s="71" t="n">
        <v>-850</v>
      </c>
      <c r="K40" s="71" t="n">
        <v>-850</v>
      </c>
      <c r="L40" s="71" t="n">
        <v>-850</v>
      </c>
      <c r="M40" s="71" t="n">
        <v>-850</v>
      </c>
      <c r="N40" s="71" t="n">
        <v>-850</v>
      </c>
      <c r="O40" s="71" t="n">
        <v>-850</v>
      </c>
      <c r="P40" s="71" t="n">
        <v>-850</v>
      </c>
    </row>
    <row r="41" customFormat="false" ht="15" hidden="false" customHeight="false" outlineLevel="0" collapsed="false">
      <c r="A41" s="27" t="s">
        <v>366</v>
      </c>
      <c r="B41" s="56" t="s">
        <v>1718</v>
      </c>
      <c r="C41" s="57" t="n">
        <f aca="false">SUM(E41:P41)</f>
        <v>-6240</v>
      </c>
      <c r="E41" s="71" t="n">
        <v>-520</v>
      </c>
      <c r="F41" s="71" t="n">
        <v>-520</v>
      </c>
      <c r="G41" s="71" t="n">
        <v>-520</v>
      </c>
      <c r="H41" s="71" t="n">
        <v>-520</v>
      </c>
      <c r="I41" s="71" t="n">
        <v>-520</v>
      </c>
      <c r="J41" s="71" t="n">
        <v>-520</v>
      </c>
      <c r="K41" s="71" t="n">
        <v>-520</v>
      </c>
      <c r="L41" s="71" t="n">
        <v>-520</v>
      </c>
      <c r="M41" s="71" t="n">
        <v>-520</v>
      </c>
      <c r="N41" s="71" t="n">
        <v>-520</v>
      </c>
      <c r="O41" s="71" t="n">
        <v>-520</v>
      </c>
      <c r="P41" s="71" t="n">
        <v>-520</v>
      </c>
    </row>
    <row r="42" customFormat="false" ht="15" hidden="false" customHeight="false" outlineLevel="0" collapsed="false">
      <c r="A42" s="27" t="s">
        <v>367</v>
      </c>
      <c r="B42" s="56" t="s">
        <v>1718</v>
      </c>
      <c r="C42" s="57" t="n">
        <f aca="false">SUM(E42:P42)</f>
        <v>0</v>
      </c>
      <c r="E42" s="71" t="n">
        <v>0</v>
      </c>
      <c r="F42" s="71" t="n">
        <v>0</v>
      </c>
      <c r="G42" s="71" t="n">
        <v>0</v>
      </c>
      <c r="H42" s="71" t="n">
        <v>0</v>
      </c>
      <c r="I42" s="71" t="n">
        <v>0</v>
      </c>
      <c r="J42" s="71" t="n">
        <v>0</v>
      </c>
      <c r="K42" s="71" t="n">
        <v>0</v>
      </c>
      <c r="L42" s="71" t="n">
        <v>0</v>
      </c>
      <c r="M42" s="71" t="n">
        <v>0</v>
      </c>
      <c r="N42" s="71" t="n">
        <v>0</v>
      </c>
      <c r="O42" s="71" t="n">
        <v>0</v>
      </c>
      <c r="P42" s="71" t="n">
        <v>0</v>
      </c>
    </row>
    <row r="43" customFormat="false" ht="15" hidden="false" customHeight="false" outlineLevel="0" collapsed="false">
      <c r="A43" s="67" t="s">
        <v>368</v>
      </c>
      <c r="B43" s="68"/>
      <c r="C43" s="69" t="n">
        <f aca="false">SUM(E43:P43)</f>
        <v>-1126080</v>
      </c>
      <c r="D43" s="138"/>
      <c r="E43" s="69" t="n">
        <f aca="false">SUM(E31:E42)</f>
        <v>-93840</v>
      </c>
      <c r="F43" s="69" t="n">
        <f aca="false">SUM(F31:F42)</f>
        <v>-93840</v>
      </c>
      <c r="G43" s="69" t="n">
        <f aca="false">SUM(G31:G42)</f>
        <v>-93840</v>
      </c>
      <c r="H43" s="69" t="n">
        <f aca="false">SUM(H31:H42)</f>
        <v>-93840</v>
      </c>
      <c r="I43" s="69" t="n">
        <f aca="false">SUM(I31:I42)</f>
        <v>-93840</v>
      </c>
      <c r="J43" s="69" t="n">
        <f aca="false">SUM(J31:J42)</f>
        <v>-93840</v>
      </c>
      <c r="K43" s="69" t="n">
        <f aca="false">SUM(K31:K42)</f>
        <v>-93840</v>
      </c>
      <c r="L43" s="69" t="n">
        <f aca="false">SUM(L31:L42)</f>
        <v>-93840</v>
      </c>
      <c r="M43" s="69" t="n">
        <f aca="false">SUM(M31:M42)</f>
        <v>-93840</v>
      </c>
      <c r="N43" s="69" t="n">
        <f aca="false">SUM(N31:N42)</f>
        <v>-93840</v>
      </c>
      <c r="O43" s="69" t="n">
        <f aca="false">SUM(O31:O42)</f>
        <v>-93840</v>
      </c>
      <c r="P43" s="69" t="n">
        <f aca="false">SUM(P31:P42)</f>
        <v>-93840</v>
      </c>
    </row>
    <row r="44" customFormat="false" ht="15" hidden="false" customHeight="false" outlineLevel="0" collapsed="false">
      <c r="A44" s="67" t="s">
        <v>307</v>
      </c>
      <c r="B44" s="68"/>
      <c r="C44" s="69" t="n">
        <f aca="false">SUM(E44:P44)</f>
        <v>594518.924</v>
      </c>
      <c r="D44" s="138"/>
      <c r="E44" s="69" t="n">
        <f aca="false">E30+E43</f>
        <v>8640.19399999999</v>
      </c>
      <c r="F44" s="69" t="n">
        <f aca="false">F30+F43</f>
        <v>-3287.03199999999</v>
      </c>
      <c r="G44" s="69" t="n">
        <f aca="false">G30+G43</f>
        <v>1228.15800000001</v>
      </c>
      <c r="H44" s="69" t="n">
        <f aca="false">H30+H43</f>
        <v>19580.863</v>
      </c>
      <c r="I44" s="69" t="n">
        <f aca="false">I30+I43</f>
        <v>44694.976</v>
      </c>
      <c r="J44" s="69" t="n">
        <f aca="false">J30+J43</f>
        <v>71678.983</v>
      </c>
      <c r="K44" s="69" t="n">
        <f aca="false">K30+K43</f>
        <v>93737.979</v>
      </c>
      <c r="L44" s="69" t="n">
        <f aca="false">L30+L43</f>
        <v>97051.436</v>
      </c>
      <c r="M44" s="69" t="n">
        <f aca="false">M30+M43</f>
        <v>94466.946</v>
      </c>
      <c r="N44" s="69" t="n">
        <f aca="false">N30+N43</f>
        <v>82316.022</v>
      </c>
      <c r="O44" s="69" t="n">
        <f aca="false">O30+O43</f>
        <v>57791.844</v>
      </c>
      <c r="P44" s="69" t="n">
        <f aca="false">P30+P43</f>
        <v>26618.555</v>
      </c>
    </row>
    <row r="45" customFormat="false" ht="15" hidden="false" customHeight="false" outlineLevel="0" collapsed="false">
      <c r="A45" s="27" t="s">
        <v>370</v>
      </c>
      <c r="B45" s="56" t="s">
        <v>1718</v>
      </c>
      <c r="C45" s="57" t="n">
        <f aca="false">SUM(E45:P45)</f>
        <v>-88800</v>
      </c>
      <c r="E45" s="71" t="n">
        <v>-7400</v>
      </c>
      <c r="F45" s="71" t="n">
        <v>-7400</v>
      </c>
      <c r="G45" s="71" t="n">
        <v>-7400</v>
      </c>
      <c r="H45" s="71" t="n">
        <v>-7400</v>
      </c>
      <c r="I45" s="71" t="n">
        <v>-7400</v>
      </c>
      <c r="J45" s="71" t="n">
        <v>-7400</v>
      </c>
      <c r="K45" s="71" t="n">
        <v>-7400</v>
      </c>
      <c r="L45" s="71" t="n">
        <v>-7400</v>
      </c>
      <c r="M45" s="71" t="n">
        <v>-7400</v>
      </c>
      <c r="N45" s="71" t="n">
        <v>-7400</v>
      </c>
      <c r="O45" s="71" t="n">
        <v>-7400</v>
      </c>
      <c r="P45" s="71" t="n">
        <v>-7400</v>
      </c>
    </row>
    <row r="46" customFormat="false" ht="15" hidden="false" customHeight="false" outlineLevel="0" collapsed="false">
      <c r="A46" s="27" t="s">
        <v>372</v>
      </c>
      <c r="B46" s="56" t="s">
        <v>1718</v>
      </c>
      <c r="C46" s="57" t="n">
        <f aca="false">SUM(E46:P46)</f>
        <v>-8330</v>
      </c>
      <c r="E46" s="71" t="n">
        <v>-780</v>
      </c>
      <c r="F46" s="71" t="n">
        <v>-770</v>
      </c>
      <c r="G46" s="71" t="n">
        <v>-750</v>
      </c>
      <c r="H46" s="71" t="n">
        <v>-740</v>
      </c>
      <c r="I46" s="71" t="n">
        <v>-720</v>
      </c>
      <c r="J46" s="71" t="n">
        <v>-700</v>
      </c>
      <c r="K46" s="71" t="n">
        <v>-690</v>
      </c>
      <c r="L46" s="71" t="n">
        <v>-670</v>
      </c>
      <c r="M46" s="71" t="n">
        <v>-650</v>
      </c>
      <c r="N46" s="71" t="n">
        <v>-640</v>
      </c>
      <c r="O46" s="71" t="n">
        <v>-620</v>
      </c>
      <c r="P46" s="71" t="n">
        <v>-600</v>
      </c>
    </row>
    <row r="47" customFormat="false" ht="15" hidden="false" customHeight="false" outlineLevel="0" collapsed="false">
      <c r="A47" s="67" t="s">
        <v>373</v>
      </c>
      <c r="B47" s="68"/>
      <c r="C47" s="69" t="n">
        <f aca="false">SUM(E47:P47)</f>
        <v>497388.924</v>
      </c>
      <c r="D47" s="138"/>
      <c r="E47" s="69" t="n">
        <f aca="false">E44+E45+E46</f>
        <v>460.193999999989</v>
      </c>
      <c r="F47" s="69" t="n">
        <f aca="false">F44+F45+F46</f>
        <v>-11457.032</v>
      </c>
      <c r="G47" s="69" t="n">
        <f aca="false">G44+G45+G46</f>
        <v>-6921.84199999999</v>
      </c>
      <c r="H47" s="69" t="n">
        <f aca="false">H44+H45+H46</f>
        <v>11440.863</v>
      </c>
      <c r="I47" s="69" t="n">
        <f aca="false">I44+I45+I46</f>
        <v>36574.976</v>
      </c>
      <c r="J47" s="69" t="n">
        <f aca="false">J44+J45+J46</f>
        <v>63578.983</v>
      </c>
      <c r="K47" s="69" t="n">
        <f aca="false">K44+K45+K46</f>
        <v>85647.979</v>
      </c>
      <c r="L47" s="69" t="n">
        <f aca="false">L44+L45+L46</f>
        <v>88981.436</v>
      </c>
      <c r="M47" s="69" t="n">
        <f aca="false">M44+M45+M46</f>
        <v>86416.946</v>
      </c>
      <c r="N47" s="69" t="n">
        <f aca="false">N44+N45+N46</f>
        <v>74276.022</v>
      </c>
      <c r="O47" s="69" t="n">
        <f aca="false">O44+O45+O46</f>
        <v>49771.844</v>
      </c>
      <c r="P47" s="69" t="n">
        <f aca="false">P44+P45+P46</f>
        <v>18618.555</v>
      </c>
    </row>
    <row r="48" customFormat="false" ht="15" hidden="false" customHeight="false" outlineLevel="0" collapsed="false">
      <c r="A48" s="27" t="s">
        <v>1725</v>
      </c>
      <c r="B48" s="56"/>
      <c r="C48" s="57" t="n">
        <f aca="false">SUM(E48:P48)</f>
        <v>-64470.97475</v>
      </c>
      <c r="E48" s="58" t="n">
        <f aca="false">-MAX(0,E47)*Assumptions!$C$20</f>
        <v>-57.5242499999986</v>
      </c>
      <c r="F48" s="58" t="n">
        <f aca="false">-MAX(0,F47)*Assumptions!$C$20</f>
        <v>-0</v>
      </c>
      <c r="G48" s="58" t="n">
        <f aca="false">-MAX(0,G47)*Assumptions!$C$20</f>
        <v>-0</v>
      </c>
      <c r="H48" s="58" t="n">
        <f aca="false">-MAX(0,H47)*Assumptions!$C$20</f>
        <v>-1430.107875</v>
      </c>
      <c r="I48" s="58" t="n">
        <f aca="false">-MAX(0,I47)*Assumptions!$C$20</f>
        <v>-4571.872</v>
      </c>
      <c r="J48" s="58" t="n">
        <f aca="false">-MAX(0,J47)*Assumptions!$C$20</f>
        <v>-7947.372875</v>
      </c>
      <c r="K48" s="58" t="n">
        <f aca="false">-MAX(0,K47)*Assumptions!$C$20</f>
        <v>-10705.997375</v>
      </c>
      <c r="L48" s="58" t="n">
        <f aca="false">-MAX(0,L47)*Assumptions!$C$20</f>
        <v>-11122.6795</v>
      </c>
      <c r="M48" s="58" t="n">
        <f aca="false">-MAX(0,M47)*Assumptions!$C$20</f>
        <v>-10802.11825</v>
      </c>
      <c r="N48" s="58" t="n">
        <f aca="false">-MAX(0,N47)*Assumptions!$C$20</f>
        <v>-9284.50275</v>
      </c>
      <c r="O48" s="58" t="n">
        <f aca="false">-MAX(0,O47)*Assumptions!$C$20</f>
        <v>-6221.4805</v>
      </c>
      <c r="P48" s="58" t="n">
        <f aca="false">-MAX(0,P47)*Assumptions!$C$20</f>
        <v>-2327.319375</v>
      </c>
    </row>
    <row r="49" customFormat="false" ht="15" hidden="false" customHeight="false" outlineLevel="0" collapsed="false">
      <c r="A49" s="67" t="s">
        <v>378</v>
      </c>
      <c r="B49" s="68"/>
      <c r="C49" s="69" t="n">
        <f aca="false">SUM(E49:P49)</f>
        <v>432917.94925</v>
      </c>
      <c r="D49" s="138"/>
      <c r="E49" s="69" t="n">
        <f aca="false">E47+E48</f>
        <v>402.66974999999</v>
      </c>
      <c r="F49" s="69" t="n">
        <f aca="false">F47+F48</f>
        <v>-11457.032</v>
      </c>
      <c r="G49" s="69" t="n">
        <f aca="false">G47+G48</f>
        <v>-6921.84199999999</v>
      </c>
      <c r="H49" s="69" t="n">
        <f aca="false">H47+H48</f>
        <v>10010.755125</v>
      </c>
      <c r="I49" s="69" t="n">
        <f aca="false">I47+I48</f>
        <v>32003.104</v>
      </c>
      <c r="J49" s="69" t="n">
        <f aca="false">J47+J48</f>
        <v>55631.610125</v>
      </c>
      <c r="K49" s="69" t="n">
        <f aca="false">K47+K48</f>
        <v>74941.981625</v>
      </c>
      <c r="L49" s="69" t="n">
        <f aca="false">L47+L48</f>
        <v>77858.7565</v>
      </c>
      <c r="M49" s="69" t="n">
        <f aca="false">M47+M48</f>
        <v>75614.82775</v>
      </c>
      <c r="N49" s="69" t="n">
        <f aca="false">N47+N48</f>
        <v>64991.51925</v>
      </c>
      <c r="O49" s="69" t="n">
        <f aca="false">O47+O48</f>
        <v>43550.3635</v>
      </c>
      <c r="P49" s="69" t="n">
        <f aca="false">P47+P48</f>
        <v>16291.235625</v>
      </c>
    </row>
    <row r="50" customFormat="false" ht="15" hidden="false" customHeight="false" outlineLevel="0" collapsed="false">
      <c r="A50" s="21" t="s">
        <v>1726</v>
      </c>
      <c r="B50" s="22"/>
      <c r="C50" s="22"/>
      <c r="D50" s="22"/>
      <c r="E50" s="22"/>
      <c r="F50" s="22"/>
      <c r="G50" s="22"/>
      <c r="H50" s="22"/>
      <c r="I50" s="22"/>
      <c r="J50" s="22"/>
      <c r="K50" s="22"/>
      <c r="L50" s="22"/>
      <c r="M50" s="22"/>
      <c r="N50" s="22"/>
      <c r="O50" s="22"/>
      <c r="P50" s="22"/>
    </row>
    <row r="51" customFormat="false" ht="15" hidden="false" customHeight="false" outlineLevel="0" collapsed="false">
      <c r="A51" s="27" t="s">
        <v>325</v>
      </c>
      <c r="B51" s="56" t="s">
        <v>1727</v>
      </c>
      <c r="C51" s="57" t="n">
        <f aca="false">P51</f>
        <v>610000</v>
      </c>
      <c r="E51" s="71" t="n">
        <v>452000</v>
      </c>
      <c r="F51" s="71" t="n">
        <v>470000</v>
      </c>
      <c r="G51" s="71" t="n">
        <v>488000</v>
      </c>
      <c r="H51" s="71" t="n">
        <v>500000</v>
      </c>
      <c r="I51" s="71" t="n">
        <v>515000</v>
      </c>
      <c r="J51" s="71" t="n">
        <v>530000</v>
      </c>
      <c r="K51" s="71" t="n">
        <v>545000</v>
      </c>
      <c r="L51" s="71" t="n">
        <v>560000</v>
      </c>
      <c r="M51" s="71" t="n">
        <v>575000</v>
      </c>
      <c r="N51" s="71" t="n">
        <v>590000</v>
      </c>
      <c r="O51" s="71" t="n">
        <v>600000</v>
      </c>
      <c r="P51" s="71" t="n">
        <v>610000</v>
      </c>
    </row>
    <row r="52" customFormat="false" ht="15" hidden="false" customHeight="false" outlineLevel="0" collapsed="false">
      <c r="A52" s="27" t="s">
        <v>512</v>
      </c>
      <c r="B52" s="56" t="s">
        <v>1727</v>
      </c>
      <c r="C52" s="57" t="n">
        <f aca="false">P52</f>
        <v>720000</v>
      </c>
      <c r="E52" s="71" t="n">
        <v>690000</v>
      </c>
      <c r="F52" s="71" t="n">
        <v>660000</v>
      </c>
      <c r="G52" s="71" t="n">
        <v>640000</v>
      </c>
      <c r="H52" s="71" t="n">
        <v>650000</v>
      </c>
      <c r="I52" s="71" t="n">
        <v>680000</v>
      </c>
      <c r="J52" s="71" t="n">
        <v>700000</v>
      </c>
      <c r="K52" s="71" t="n">
        <v>720000</v>
      </c>
      <c r="L52" s="71" t="n">
        <v>740000</v>
      </c>
      <c r="M52" s="71" t="n">
        <v>760000</v>
      </c>
      <c r="N52" s="71" t="n">
        <v>770000</v>
      </c>
      <c r="O52" s="71" t="n">
        <v>760000</v>
      </c>
      <c r="P52" s="71" t="n">
        <v>720000</v>
      </c>
    </row>
    <row r="53" customFormat="false" ht="15" hidden="false" customHeight="false" outlineLevel="0" collapsed="false">
      <c r="A53" s="27" t="s">
        <v>513</v>
      </c>
      <c r="B53" s="56" t="s">
        <v>1727</v>
      </c>
      <c r="C53" s="57" t="n">
        <f aca="false">P53</f>
        <v>450000</v>
      </c>
      <c r="E53" s="71" t="n">
        <v>480000</v>
      </c>
      <c r="F53" s="71" t="n">
        <v>450000</v>
      </c>
      <c r="G53" s="71" t="n">
        <v>420000</v>
      </c>
      <c r="H53" s="71" t="n">
        <v>430000</v>
      </c>
      <c r="I53" s="71" t="n">
        <v>450000</v>
      </c>
      <c r="J53" s="71" t="n">
        <v>470000</v>
      </c>
      <c r="K53" s="71" t="n">
        <v>480000</v>
      </c>
      <c r="L53" s="71" t="n">
        <v>490000</v>
      </c>
      <c r="M53" s="71" t="n">
        <v>500000</v>
      </c>
      <c r="N53" s="71" t="n">
        <v>500000</v>
      </c>
      <c r="O53" s="71" t="n">
        <v>480000</v>
      </c>
      <c r="P53" s="71" t="n">
        <v>450000</v>
      </c>
    </row>
    <row r="54" customFormat="false" ht="15" hidden="false" customHeight="false" outlineLevel="0" collapsed="false">
      <c r="A54" s="27" t="s">
        <v>322</v>
      </c>
      <c r="B54" s="56" t="s">
        <v>1727</v>
      </c>
      <c r="C54" s="57" t="n">
        <f aca="false">P54</f>
        <v>195000</v>
      </c>
      <c r="E54" s="71" t="n">
        <v>170000</v>
      </c>
      <c r="F54" s="71" t="n">
        <v>165000</v>
      </c>
      <c r="G54" s="71" t="n">
        <v>160000</v>
      </c>
      <c r="H54" s="71" t="n">
        <v>165000</v>
      </c>
      <c r="I54" s="71" t="n">
        <v>170000</v>
      </c>
      <c r="J54" s="71" t="n">
        <v>175000</v>
      </c>
      <c r="K54" s="71" t="n">
        <v>180000</v>
      </c>
      <c r="L54" s="71" t="n">
        <v>185000</v>
      </c>
      <c r="M54" s="71" t="n">
        <v>190000</v>
      </c>
      <c r="N54" s="71" t="n">
        <v>195000</v>
      </c>
      <c r="O54" s="71" t="n">
        <v>200000</v>
      </c>
      <c r="P54" s="71" t="n">
        <v>195000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2026-09-22T22:33:27Z</dcterms:created>
  <dc:creator>openpyxl</dc:creator>
  <dc:description/>
  <dc:language>en-US</dc:language>
  <cp:lastModifiedBy/>
  <dcterms:modified xsi:type="dcterms:W3CDTF">2026-09-22T22:35:22Z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