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_rels/sheet5.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27.xml" ContentType="application/vnd.openxmlformats-officedocument.spreadsheetml.worksheet+xml"/>
  <Override PartName="/xl/worksheets/sheet15.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Guide" sheetId="2" state="visible" r:id="rId4"/>
    <sheet name="Checks" sheetId="3" state="visible" r:id="rId5"/>
    <sheet name="CFO_Report" sheetId="4" state="visible" r:id="rId6"/>
    <sheet name="KPIs" sheetId="5" state="visible" r:id="rId7"/>
    <sheet name="PL" sheetId="6" state="visible" r:id="rId8"/>
    <sheet name="BS" sheetId="7" state="visible" r:id="rId9"/>
    <sheet name="CF" sheetId="8" state="visible" r:id="rId10"/>
    <sheet name="BvA" sheetId="9" state="visible" r:id="rId11"/>
    <sheet name="Scenarios" sheetId="10" state="visible" r:id="rId12"/>
    <sheet name="Cash_13W" sheetId="11" state="visible" r:id="rId13"/>
    <sheet name="Channel_PL" sheetId="12" state="visible" r:id="rId14"/>
    <sheet name="Product_Contribution" sheetId="13" state="visible" r:id="rId15"/>
    <sheet name="Settlements" sheetId="14" state="visible" r:id="rId16"/>
    <sheet name="Inventory" sheetId="15" state="visible" r:id="rId17"/>
    <sheet name="Purchase_Orders" sheetId="16" state="visible" r:id="rId18"/>
    <sheet name="AR_Aging" sheetId="17" state="visible" r:id="rId19"/>
    <sheet name="AP_Aging" sheetId="18" state="visible" r:id="rId20"/>
    <sheet name="AP_Schedule" sheetId="19" state="visible" r:id="rId21"/>
    <sheet name="VAT" sheetId="20" state="visible" r:id="rId22"/>
    <sheet name="Opex" sheetId="21" state="visible" r:id="rId23"/>
    <sheet name="Fixed_Assets" sheetId="22" state="visible" r:id="rId24"/>
    <sheet name="Debt" sheetId="23" state="visible" r:id="rId25"/>
    <sheet name="Volume_Price" sheetId="24" state="visible" r:id="rId26"/>
    <sheet name="Assumptions" sheetId="25" state="visible" r:id="rId27"/>
    <sheet name="Inputs_Actuals" sheetId="26" state="visible" r:id="rId28"/>
    <sheet name="Budget_FY26" sheetId="27" state="visible" r:id="rId2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<sst xmlns="http://schemas.openxmlformats.org/spreadsheetml/2006/main" count="2948" uniqueCount="1493">
  <si>
    <t xml:space="preserve">FINANCIAL MODEL AND MONTHLY REPORTING PACK</t>
  </si>
  <si>
    <t xml:space="preserve">Ecommerce demonstration: Shopify EU, Amazon EU FBA and Walmart US WFS</t>
  </si>
  <si>
    <t xml:space="preserve">FICTIONAL DEMONSTRATION. Alderway Home B.V. does not exist. Every name, number, supplier, invoice and balance in this workbook was generated for demonstration purposes and does not describe any real company, client or person. Prepared by BriQs Group to show the structure, depth and controls of a monthly finance pack.</t>
  </si>
  <si>
    <t xml:space="preserve">Reporting month (last actual)</t>
  </si>
  <si>
    <t xml:space="preserve">Forecast horizon</t>
  </si>
  <si>
    <t xml:space="preserve">Currency</t>
  </si>
  <si>
    <t xml:space="preserve">EUR; Walmart inputs in USD converted at the monthly USD/EUR rate on Assumptions</t>
  </si>
  <si>
    <t xml:space="preserve">Model status (all integrity checks)</t>
  </si>
  <si>
    <t xml:space="preserve">FY2026 net revenue, outlook</t>
  </si>
  <si>
    <t xml:space="preserve">FY2026 EBITDA, outlook</t>
  </si>
  <si>
    <t xml:space="preserve">Cash at the last actual month</t>
  </si>
  <si>
    <t xml:space="preserve">13-week cash low point</t>
  </si>
  <si>
    <t xml:space="preserve">Prepared by</t>
  </si>
  <si>
    <t xml:space="preserve">BriQs Group, outsourced finance department and fractional CFO (ACCA-qualified, ex Big Four accounting firms, Xero and QuickBooks Partner)</t>
  </si>
  <si>
    <t xml:space="preserve">CONTENTS</t>
  </si>
  <si>
    <t xml:space="preserve">What the sheet holds</t>
  </si>
  <si>
    <t xml:space="preserve">Type</t>
  </si>
  <si>
    <t xml:space="preserve">Cover</t>
  </si>
  <si>
    <t xml:space="preserve">This page</t>
  </si>
  <si>
    <t xml:space="preserve">Report</t>
  </si>
  <si>
    <t xml:space="preserve">Guide</t>
  </si>
  <si>
    <t xml:space="preserve">Model map, conventions, month-end procedure, scenario refresh, information still needed</t>
  </si>
  <si>
    <t xml:space="preserve">Checks</t>
  </si>
  <si>
    <t xml:space="preserve">Every integrity check with live status; overall status</t>
  </si>
  <si>
    <t xml:space="preserve">Control</t>
  </si>
  <si>
    <t xml:space="preserve">CFO_Report</t>
  </si>
  <si>
    <t xml:space="preserve">Quantified findings, risks scored by likelihood and impact, actions with owners and dates</t>
  </si>
  <si>
    <t xml:space="preserve">KPIs</t>
  </si>
  <si>
    <t xml:space="preserve">Growth, margin, commercial, working capital, cash and people KPIs by month</t>
  </si>
  <si>
    <t xml:space="preserve">PL</t>
  </si>
  <si>
    <t xml:space="preserve">Monthly P&amp;L, actual and forecast, with FY totals</t>
  </si>
  <si>
    <t xml:space="preserve">Statement</t>
  </si>
  <si>
    <t xml:space="preserve">BS</t>
  </si>
  <si>
    <t xml:space="preserve">Monthly balance sheet with zero check</t>
  </si>
  <si>
    <t xml:space="preserve">CF</t>
  </si>
  <si>
    <t xml:space="preserve">Cash flow, indirect and direct, reconciled monthly</t>
  </si>
  <si>
    <t xml:space="preserve">BvA</t>
  </si>
  <si>
    <t xml:space="preserve">Budget vs actual YTD and full-year outlook with revenue bridge</t>
  </si>
  <si>
    <t xml:space="preserve">Analysis</t>
  </si>
  <si>
    <t xml:space="preserve">Scenarios</t>
  </si>
  <si>
    <t xml:space="preserve">Base, downside and upside side by side with live selected column</t>
  </si>
  <si>
    <t xml:space="preserve">Cash_13W</t>
  </si>
  <si>
    <t xml:space="preserve">13-week direct cash forecast with phasing rules, buffer control and reconciliation</t>
  </si>
  <si>
    <t xml:space="preserve">Channel_PL</t>
  </si>
  <si>
    <t xml:space="preserve">Contribution by channel to CM2 with channel KPIs</t>
  </si>
  <si>
    <t xml:space="preserve">Schedule</t>
  </si>
  <si>
    <t xml:space="preserve">Product_Contribution</t>
  </si>
  <si>
    <t xml:space="preserve">Contribution by product category with allocation keys and scorecard</t>
  </si>
  <si>
    <t xml:space="preserve">Settlements</t>
  </si>
  <si>
    <t xml:space="preserve">Gross-to-payout bridge and receivable roll per platform; refund liability</t>
  </si>
  <si>
    <t xml:space="preserve">Inventory</t>
  </si>
  <si>
    <t xml:space="preserve">On-hand roll by category, policy purchasing, in transit, deposits, provision</t>
  </si>
  <si>
    <t xml:space="preserve">Purchase_Orders</t>
  </si>
  <si>
    <t xml:space="preserve">PO register driving receipts, deposits, balances and in-transit dates</t>
  </si>
  <si>
    <t xml:space="preserve">AR_Aging</t>
  </si>
  <si>
    <t xml:space="preserve">Aged receivables at the last actual month, tied to the balance sheet</t>
  </si>
  <si>
    <t xml:space="preserve">AP_Aging</t>
  </si>
  <si>
    <t xml:space="preserve">Aged payables at the last actual month, tied to the AP schedule</t>
  </si>
  <si>
    <t xml:space="preserve">AP_Schedule</t>
  </si>
  <si>
    <t xml:space="preserve">Trade payables roll by supplier group with DPO</t>
  </si>
  <si>
    <t xml:space="preserve">VAT</t>
  </si>
  <si>
    <t xml:space="preserve">Output and input VAT, quarterly payable roll, Article 23 memo</t>
  </si>
  <si>
    <t xml:space="preserve">Opex</t>
  </si>
  <si>
    <t xml:space="preserve">Headcount table, opex lines, payroll taxes payable</t>
  </si>
  <si>
    <t xml:space="preserve">Fixed_Assets</t>
  </si>
  <si>
    <t xml:space="preserve">Cost, depreciation and NBV by class</t>
  </si>
  <si>
    <t xml:space="preserve">Debt</t>
  </si>
  <si>
    <t xml:space="preserve">Term loan annuity schedule, current and non-current split</t>
  </si>
  <si>
    <t xml:space="preserve">Volume_Price</t>
  </si>
  <si>
    <t xml:space="preserve">Bottom-up units, prices and unit costs by category and channel</t>
  </si>
  <si>
    <t xml:space="preserve">Engine</t>
  </si>
  <si>
    <t xml:space="preserve">Assumptions</t>
  </si>
  <si>
    <t xml:space="preserve">Scalars, timeline and scenario drivers with the scenario selector</t>
  </si>
  <si>
    <t xml:space="preserve">Inputs</t>
  </si>
  <si>
    <t xml:space="preserve">Inputs_Actuals</t>
  </si>
  <si>
    <t xml:space="preserve">Actual months and opening balances; the only place actual data is typed</t>
  </si>
  <si>
    <t xml:space="preserve">Budget_FY26</t>
  </si>
  <si>
    <t xml:space="preserve">The original FY2026 budget, never overwritten</t>
  </si>
  <si>
    <t xml:space="preserve">COLOUR LEGEND</t>
  </si>
  <si>
    <t xml:space="preserve">Input (typed value)</t>
  </si>
  <si>
    <t xml:space="preserve">Formula (calculated)</t>
  </si>
  <si>
    <t xml:space="preserve">Link from another sheet</t>
  </si>
  <si>
    <t xml:space="preserve">Actual month (column header)</t>
  </si>
  <si>
    <t xml:space="preserve">Forecast month (column header)</t>
  </si>
  <si>
    <t xml:space="preserve">MODEL GUIDE</t>
  </si>
  <si>
    <t xml:space="preserve">PURPOSE</t>
  </si>
  <si>
    <t xml:space="preserve">A single integrated workbook that does what a finance department does for an ecommerce business each month: closes the books into a three-statement pack, compares to budget, forecasts by driver under three scenarios, projects cash week by week for 13 weeks, and reports to the owners with quantified findings and actions.</t>
  </si>
  <si>
    <t xml:space="preserve">It is built so that every number can be traced: from the P&amp;L to the schedule, from the schedule to the input or driver, and from the input to the document that would evidence it in a real close.</t>
  </si>
  <si>
    <t xml:space="preserve">HOW THE MODEL FLOWS</t>
  </si>
  <si>
    <t xml:space="preserve">1. Inputs_Actuals holds the actual months (orders, units, prices, fees, refunds, opex, capex, bank cash movements) and the opening balance sheet. Assumptions holds the timeline, the scalars and the scenario drivers, with the selector in C11.</t>
  </si>
  <si>
    <t xml:space="preserve">2. Volume_Price builds units by category and channel (actual from inputs, forecast from Channel_PL run-rates and the latest category mix) and prices and landed unit costs.</t>
  </si>
  <si>
    <t xml:space="preserve">3. Channel_PL turns volumes into gross sales, discounts, refunds, shipping income, cost of goods, marketplace and fulfilment fees and paid media, giving CM1 and CM2 per channel.</t>
  </si>
  <si>
    <t xml:space="preserve">4. Product_Contribution restates the same economics by category using each category share of channel gross sales as the allocation key; it ties to Channel_PL.</t>
  </si>
  <si>
    <t xml:space="preserve">5. Settlements converts channel sales into what each platform actually pays out (VAT-inclusive charges less refunds less fees) and rolls the receivable; it also carries the refund liability.</t>
  </si>
  <si>
    <t xml:space="preserve">6. Purchase_Orders is the register of committed supplier orders. Inventory rolls stock on hand by category (committed receipts from the register, uncommitted purchases from the days-of-cover policy), tracks in-transit stock and supplier deposits, and computes write-offs and the slow-moving provision.</t>
  </si>
  <si>
    <t xml:space="preserve">7. Opex holds the headcount table and the opex lines; AP_Schedule rolls trade payables by supplier group; VAT rolls the quarterly payable; Fixed_Assets and Debt hold their schedules.</t>
  </si>
  <si>
    <t xml:space="preserve">8. PL, BS and CF link only to schedules. CF is built indirectly and reconciled to a direct build of the schedule cash lines every month.</t>
  </si>
  <si>
    <t xml:space="preserve">9. BvA, KPIs, Scenarios, Cash_13W, AR_Aging, AP_Aging and CFO_Report are reporting layers on top; Checks proves the structure holds.</t>
  </si>
  <si>
    <t xml:space="preserve">CONVENTIONS</t>
  </si>
  <si>
    <t xml:space="preserve">Revenue and cash receipts positive; costs, payments and deductions negative on the P&amp;L, channel and settlement sheets. Schedules that roll balances show movements with their natural sign and a closing line.</t>
  </si>
  <si>
    <t xml:space="preserve">Blue on yellow = input; black = formula; green = link from another sheet. Columns C and D are FY2026 and FY2027 totals (sum, average, or closing balance as labelled in column B).</t>
  </si>
  <si>
    <t xml:space="preserve">Row 5 of every monthly sheet flags A (actual) or F (forecast). A formula that reads =IF(flag="A", input, driver) is the standard actual-or-forecast switch; nothing is overwritten when a month becomes actual.</t>
  </si>
  <si>
    <t xml:space="preserve">Walmart inputs are entered in USD as reported by Walmart Seller Center and converted at the monthly USD/EUR rate on the Timeline. All other amounts are EUR.</t>
  </si>
  <si>
    <t xml:space="preserve">No hard-coded numbers sit inside formulas. Every constant lives on Assumptions, Inputs_Actuals, Budget_FY26 or a labelled helper cell, and can be changed in one place.</t>
  </si>
  <si>
    <t xml:space="preserve">MONTH-END PROCEDURE (adding September as an actual month)</t>
  </si>
  <si>
    <t xml:space="preserve">1. Paste the September order export, settlement reports, fee invoices, opex ledger, capex and bank movements into column M of Inputs_Actuals (all lines in the actual sections).</t>
  </si>
  <si>
    <t xml:space="preserve">2. Change the last actual month on Assumptions (row 7) to Sep-26. Every flag, run-rate, aging date and 13-week opening updates from that one cell.</t>
  </si>
  <si>
    <t xml:space="preserve">3. Update the PO register for orders placed, shipped or received in the month, and roll the 13-week window forward one month (opening date, week 1 date, settlement dates, VAT date, to-date column).</t>
  </si>
  <si>
    <t xml:space="preserve">4. Refresh the AR and AP aging items from the settlement reports and the AP ledger listing; the tie-out rows must return zero.</t>
  </si>
  <si>
    <t xml:space="preserve">5. Refresh the scenario snapshots (see below), reread Checks until the overall status is OK, then rewrite the CFO report findings against the new numbers.</t>
  </si>
  <si>
    <t xml:space="preserve">SCENARIO REFRESH</t>
  </si>
  <si>
    <t xml:space="preserve">Set Assumptions!C11 to 1 (Base), 2 (Downside) and 3 (Upside) in turn. After each recalculation copy Scenarios column F and paste values into column C, D or E respectively. The check column confirms the snapshot for the selected scenario matches the live model.</t>
  </si>
  <si>
    <t xml:space="preserve">KNOWN SIMPLIFICATIONS (documented so nobody mistakes them for facts)</t>
  </si>
  <si>
    <t xml:space="preserve">Payouts, payments and the VAT settlement are sized by lag and DPO assumptions in forecast months; in actual months they are the bank figures.</t>
  </si>
  <si>
    <t xml:space="preserve">Category allocations of discounts, refunds, fees and paid media use gross sales share; a client build would use SKU-level fee reports and ad-group attribution.</t>
  </si>
  <si>
    <t xml:space="preserve">Unit costs roll forward from the last actual month at the cost inflation driver; a live build would take the weighted average cost from the inventory sub-ledger.</t>
  </si>
  <si>
    <t xml:space="preserve">Uncommitted purchases beyond the model horizon are assumed equal to the last modelled month for lead-time phasing (see Inventory policy flows).</t>
  </si>
  <si>
    <t xml:space="preserve">Corporate income tax accrues on cumulative profit at the two NL brackets with no deferred tax on losses; the budget uses a flat 19% for simplicity.</t>
  </si>
  <si>
    <t xml:space="preserve">Inventory location shares (FBA, WFS, 3PL) are memo assumptions, not a live FBA inventory ledger.</t>
  </si>
  <si>
    <t xml:space="preserve">INFORMATION NEEDED TO CONVERT THIS INTO A CLIENT BUILD</t>
  </si>
  <si>
    <t xml:space="preserve">Settlement reports by platform (Amazon Date Range Reports, Walmart Payment reports, Shopify Payments payouts) to replace the fee ratios with transaction-level fees.</t>
  </si>
  <si>
    <t xml:space="preserve">SKU master with landed cost by receipt (PO, freight, duty) and the inventory sub-ledger by location to replace the weighted average unit cost and the location memo.</t>
  </si>
  <si>
    <t xml:space="preserve">Ad platform exports (Meta, Google, Amazon Ads, Walmart Connect) at campaign level to attribute paid media to categories and to compute true new-customer CAC.</t>
  </si>
  <si>
    <t xml:space="preserve">Returns reports by reason code and disposition (restock, refurbish, dispose) to replace the flat recovery rate.</t>
  </si>
  <si>
    <t xml:space="preserve">Bank statements and the AP ledger listing at each month end to replace the payment sizing assumptions in actual months and to age payables from documents.</t>
  </si>
  <si>
    <t xml:space="preserve">OSS return workings by member state to replace the blended EU VAT rate.</t>
  </si>
  <si>
    <t xml:space="preserve">MODEL INTEGRITY CHECKS</t>
  </si>
  <si>
    <t xml:space="preserve">Every check is a live formula. A value of zero (or a positive minimum where stated) returns OK. The overall status is shown on the Cover.</t>
  </si>
  <si>
    <t xml:space="preserve">Check</t>
  </si>
  <si>
    <t xml:space="preserve">What it proves</t>
  </si>
  <si>
    <t xml:space="preserve">Value</t>
  </si>
  <si>
    <t xml:space="preserve">Tolerance</t>
  </si>
  <si>
    <t xml:space="preserve">Status</t>
  </si>
  <si>
    <t xml:space="preserve">STATEMENT INTEGRITY</t>
  </si>
  <si>
    <t xml:space="preserve">Balance sheet balances in every month</t>
  </si>
  <si>
    <t xml:space="preserve">Total assets less liabilities and equity, all 24 months</t>
  </si>
  <si>
    <t xml:space="preserve">Cash flow: indirect method equals direct method in every month</t>
  </si>
  <si>
    <t xml:space="preserve">Net cash flow built from P&amp;L and balance sheet movements equals the sum of the schedule cash lines</t>
  </si>
  <si>
    <t xml:space="preserve">Closing cash on the cash flow equals balance sheet cash</t>
  </si>
  <si>
    <t xml:space="preserve">Link integrity</t>
  </si>
  <si>
    <t xml:space="preserve">Retained earnings roll: closing equals opening plus cumulative profit less dividends</t>
  </si>
  <si>
    <t xml:space="preserve">Equity roll-forward to Dec-27</t>
  </si>
  <si>
    <t xml:space="preserve">EBITDA on the cash flow equals EBITDA on the P&amp;L</t>
  </si>
  <si>
    <t xml:space="preserve">Add-backs are complete</t>
  </si>
  <si>
    <t xml:space="preserve">Opening balance sheet balances</t>
  </si>
  <si>
    <t xml:space="preserve">FY25 closing balances entered on Inputs_Actuals</t>
  </si>
  <si>
    <t xml:space="preserve">SCHEDULE TIE-OUTS</t>
  </si>
  <si>
    <t xml:space="preserve">Product contribution: sum of categories equals channel net revenue</t>
  </si>
  <si>
    <t xml:space="preserve">Allocation keys sum to 100% every month</t>
  </si>
  <si>
    <t xml:space="preserve">Product contribution: sum of categories equals channel CM2</t>
  </si>
  <si>
    <t xml:space="preserve">Every allocated cost line is fully distributed</t>
  </si>
  <si>
    <t xml:space="preserve">Volume engine: category units equal channel units</t>
  </si>
  <si>
    <t xml:space="preserve">Mix shares sum to 100%</t>
  </si>
  <si>
    <t xml:space="preserve">AR aging: marketplace receivables tie to the balance sheet</t>
  </si>
  <si>
    <t xml:space="preserve">Aging built from settlement reports agrees with the ledger at the last actual month</t>
  </si>
  <si>
    <t xml:space="preserve">AR aging: other receivables tie to the balance sheet</t>
  </si>
  <si>
    <t xml:space="preserve">AP aging: logistics group ties to the AP schedule</t>
  </si>
  <si>
    <t xml:space="preserve">Open invoices agree with the roll-forward closing balance</t>
  </si>
  <si>
    <t xml:space="preserve">AP aging: paid media group ties to the AP schedule</t>
  </si>
  <si>
    <t xml:space="preserve">AP aging: other opex group ties to the AP schedule</t>
  </si>
  <si>
    <t xml:space="preserve">PO register: deposits on unshipped POs equal supplier deposits at the last actual month</t>
  </si>
  <si>
    <t xml:space="preserve">Balance sheet prepayments are fully supported by the register</t>
  </si>
  <si>
    <t xml:space="preserve">PO register: FOB value of shipped, unarrived POs equals inventory in transit at the last actual month</t>
  </si>
  <si>
    <t xml:space="preserve">Balance sheet in-transit is fully supported by the register</t>
  </si>
  <si>
    <t xml:space="preserve">13-week cash forecast reconciles to the monthly balance sheet at 31-Dec-26</t>
  </si>
  <si>
    <t xml:space="preserve">Weekly phasing distributes exactly the monthly cash lines</t>
  </si>
  <si>
    <t xml:space="preserve">Scenario snapshots are current for the selected scenario</t>
  </si>
  <si>
    <t xml:space="preserve">Live column equals the stored snapshot</t>
  </si>
  <si>
    <t xml:space="preserve">Budget vs actual revenue bridge reconciles to the P&amp;L variance</t>
  </si>
  <si>
    <t xml:space="preserve">Volume plus price and mix effects equal the revenue variance</t>
  </si>
  <si>
    <t xml:space="preserve">SIGN AND RANGE CHECKS (minimum values, must not be negative)</t>
  </si>
  <si>
    <t xml:space="preserve">Inventory on hand by category never negative</t>
  </si>
  <si>
    <t xml:space="preserve">Purchasing policy keeps stock available</t>
  </si>
  <si>
    <t xml:space="preserve">Marketplace receivables never negative</t>
  </si>
  <si>
    <t xml:space="preserve">Payout sizing is bounded by the receivable</t>
  </si>
  <si>
    <t xml:space="preserve">Trade payables never negative</t>
  </si>
  <si>
    <t xml:space="preserve">Fixed asset net book value never negative</t>
  </si>
  <si>
    <t xml:space="preserve">Depreciation is capped at cost</t>
  </si>
  <si>
    <t xml:space="preserve">Term loan balance never negative</t>
  </si>
  <si>
    <t xml:space="preserve">Principal is capped at the balance</t>
  </si>
  <si>
    <t xml:space="preserve">Timeline: months flagged actual equal the last actual month index</t>
  </si>
  <si>
    <t xml:space="preserve">Actual and forecast flags are consistent</t>
  </si>
  <si>
    <t xml:space="preserve">OVERALL MODEL STATUS</t>
  </si>
  <si>
    <t xml:space="preserve">BUSINESS WARNINGS (not model errors: flags for the CFO report)</t>
  </si>
  <si>
    <t xml:space="preserve">Lowest month-end cash in the forecast (selected scenario)</t>
  </si>
  <si>
    <t xml:space="preserve">Below the buffer means a facility draw or action is needed</t>
  </si>
  <si>
    <t xml:space="preserve">Lowest 13-week closing cash</t>
  </si>
  <si>
    <t xml:space="preserve">Highest days of inventory on hand in the forecast</t>
  </si>
  <si>
    <t xml:space="preserve">Over 150 days signals overstock</t>
  </si>
  <si>
    <t xml:space="preserve">Amazon share of FY2026 net revenue</t>
  </si>
  <si>
    <t xml:space="preserve">Concentration above 50% is a dependency risk</t>
  </si>
  <si>
    <t xml:space="preserve">CFO MANAGEMENT REPORT</t>
  </si>
  <si>
    <t xml:space="preserve">FICTIONAL DEMONSTRATION: Alderway Home B.V. and every figure in this report were generated for demonstration purposes.</t>
  </si>
  <si>
    <t xml:space="preserve">1. HEADLINE</t>
  </si>
  <si>
    <t xml:space="preserve">2. WHAT HAPPENED YEAR TO DATE (figures from BvA and Channel_PL)</t>
  </si>
  <si>
    <t xml:space="preserve">3. CASH, WORKING CAPITAL AND THE 13 WEEKS</t>
  </si>
  <si>
    <t xml:space="preserve">4. SCENARIOS (Scenarios sheet; snapshot values from three full model runs)</t>
  </si>
  <si>
    <t xml:space="preserve">5. RISK REGISTER (scored 1 to 5; score = likelihood x impact)</t>
  </si>
  <si>
    <t xml:space="preserve">Risk</t>
  </si>
  <si>
    <t xml:space="preserve">Likelihood</t>
  </si>
  <si>
    <t xml:space="preserve">Impact</t>
  </si>
  <si>
    <t xml:space="preserve">Score</t>
  </si>
  <si>
    <t xml:space="preserve">Mitigation and owner</t>
  </si>
  <si>
    <t xml:space="preserve">FY2027 peak-season funding gap: the Base case falls below the cash buffer in Oct-27 and the downside turns cash negative</t>
  </si>
  <si>
    <t xml:space="preserve">Arrange a EUR 250k inventory facility or supplier terms of 60 days with Foshan by Jun-27; CEO and BriQs CFO</t>
  </si>
  <si>
    <t xml:space="preserve">Keep account health metrics above thresholds weekly, hold 14 days of Amazon settlements as buffer, grow Shopify share; Head of Ecommerce</t>
  </si>
  <si>
    <t xml:space="preserve">Track PO-2026-024 and PO-2026-026 weekly against ETA; air-freight option priced now; Operations and Supply Chain Manager</t>
  </si>
  <si>
    <t xml:space="preserve">Overstock in Tableware and Storage: over 200 days of cover ties up cash and drives the slow-moving provision</t>
  </si>
  <si>
    <t xml:space="preserve">Freeze new Tableware and Storage orders, run a Q4 bundle promotion, defer PO-2026-043; Head of Ecommerce</t>
  </si>
  <si>
    <t xml:space="preserve">Weekly CAC and ROAS by campaign, cap Meta spend at the CM2 breakeven CAC, shift budget to email and retention; Performance Marketing Manager</t>
  </si>
  <si>
    <t xml:space="preserve">Walmart ramp: orders one third below budget; fixed WFS costs and ads spend do not scale down automatically</t>
  </si>
  <si>
    <t xml:space="preserve">Set a Q4 go or no-go at 900 orders a month; cut Walmart Connect spend to a 15% share until velocity proves out; Marketplace Specialist</t>
  </si>
  <si>
    <t xml:space="preserve">No hedge below EUR 1m of USD revenue; review quarterly; BriQs CFO</t>
  </si>
  <si>
    <t xml:space="preserve">Qualify a second cookware supplier in Q1 FY2027; Operations and Supply Chain Manager</t>
  </si>
  <si>
    <t xml:space="preserve">Reconcile VAT to the settlement reports monthly, not just at filing; BriQs finance team</t>
  </si>
  <si>
    <t xml:space="preserve">Disputed forwarder invoice and open Amazon reimbursement claim: small amounts, but both show control gaps in three-way matching</t>
  </si>
  <si>
    <t xml:space="preserve">Close both by 31-Oct; add PO-to-invoice matching for freight; BriQs finance team</t>
  </si>
  <si>
    <t xml:space="preserve">6. ACTIONS (owner, due date, status)</t>
  </si>
  <si>
    <t xml:space="preserve">Action</t>
  </si>
  <si>
    <t xml:space="preserve">Owner</t>
  </si>
  <si>
    <t xml:space="preserve">Due</t>
  </si>
  <si>
    <t xml:space="preserve">Measure of done</t>
  </si>
  <si>
    <t xml:space="preserve">Term sheet for a EUR 250k inventory facility (or 60-day terms with Foshan Crestware) so the FY2027 peak build is funded without breaching the buffer</t>
  </si>
  <si>
    <t xml:space="preserve">CEO</t>
  </si>
  <si>
    <t xml:space="preserve">Open</t>
  </si>
  <si>
    <t xml:space="preserve">Signed facility or amended supplier terms before the Jun-27 deposits</t>
  </si>
  <si>
    <t xml:space="preserve">Cut Tableware and Storage purchasing: cancel or defer PO-2026-043 and run a Q4 bundle promotion to bring both categories under 120 days of cover by Dec-26</t>
  </si>
  <si>
    <t xml:space="preserve">Head of Ecommerce</t>
  </si>
  <si>
    <t xml:space="preserve">DIO under 120 days on the Product_Contribution scorecard</t>
  </si>
  <si>
    <t xml:space="preserve">Weekly Q4 stock watch on Cookware and Knives against PO-2026-024, 025, 026 and 034 ETAs, with an air-freight fallback priced by 30-Sep</t>
  </si>
  <si>
    <t xml:space="preserve">Operations and Supply Chain Manager</t>
  </si>
  <si>
    <t xml:space="preserve">In progress</t>
  </si>
  <si>
    <t xml:space="preserve">Cover never below 30 days through December</t>
  </si>
  <si>
    <t xml:space="preserve">Paid media rules: Meta and Google capped at the CM2 breakeven CAC by campaign, weekly CAC and ROAS reporting, 10% of budget moved to retention</t>
  </si>
  <si>
    <t xml:space="preserve">Performance Marketing Manager</t>
  </si>
  <si>
    <t xml:space="preserve">Shopify CAC back under EUR 23 by Nov-26</t>
  </si>
  <si>
    <t xml:space="preserve">Walmart go or no-go review at 900 orders a month; until then Walmart Connect spend capped at 12% of net revenue</t>
  </si>
  <si>
    <t xml:space="preserve">Marketplace Specialist</t>
  </si>
  <si>
    <t xml:space="preserve">Decision minuted with the Q4 trading numbers</t>
  </si>
  <si>
    <t xml:space="preserve">Approval owner and monthly cap on content, recruitment and contractor spend; over-cap requests to the CEO in writing</t>
  </si>
  <si>
    <t xml:space="preserve">Opex variance on those three lines at zero from October</t>
  </si>
  <si>
    <t xml:space="preserve">Close the Amazon FBA reimbursement claim (EUR 4,120) and the disputed Northsea invoice (EUR 2,000); add freight invoice matching to the AP checklist</t>
  </si>
  <si>
    <t xml:space="preserve">BriQs finance team</t>
  </si>
  <si>
    <t xml:space="preserve">Both items off the aging, checklist updated</t>
  </si>
  <si>
    <t xml:space="preserve">Downside contingency plan written with KPI triggers (CM2 %, CAC, cash headroom) and the five cash levers on Cash_13W in priority order</t>
  </si>
  <si>
    <t xml:space="preserve">BriQs CFO</t>
  </si>
  <si>
    <t xml:space="preserve">Plan approved by the CEO and attached to the October pack</t>
  </si>
  <si>
    <t xml:space="preserve">Qualify a second cookware supplier and obtain samples; target 30% of FY2027 Cookware FOB</t>
  </si>
  <si>
    <t xml:space="preserve">Supplier qualified with a first PO placed</t>
  </si>
  <si>
    <t xml:space="preserve">7. INFORMATION NEEDED BEFORE THE OCTOBER PACK</t>
  </si>
  <si>
    <t xml:space="preserve">Amazon Date Range Reports and Walmart Payment reports for September, so fees and reserves are taken from the platform rather than from ratios.</t>
  </si>
  <si>
    <t xml:space="preserve">Returns report by reason code for Textiles, to confirm whether the Q2 quality issue is closed or still running in the refund rate.</t>
  </si>
  <si>
    <t xml:space="preserve">Confirmation from Foshan Crestware of the shipped date and container number for PO-2026-026, and a quote for a 40% air-freight split if the ETA slips past 25-Oct.</t>
  </si>
  <si>
    <t xml:space="preserve">The September bank statements and AP ledger listing at 30-Sep, to replace the payment sizing in the 13-week to-date column with actuals.</t>
  </si>
  <si>
    <t xml:space="preserve">The signed facility term sheet or the amended supplier terms, whichever the CEO chooses, so the FY2027 forecast carries the real cost of funding.</t>
  </si>
  <si>
    <t xml:space="preserve">KPI DASHBOARD (EUR)</t>
  </si>
  <si>
    <t xml:space="preserve">Every figure is a live link into the statements and schedules. Summary block: C = YTD actual, D = FY2026 outlook. Monthly rows follow the Timeline.</t>
  </si>
  <si>
    <t xml:space="preserve">Line</t>
  </si>
  <si>
    <t xml:space="preserve">Basis</t>
  </si>
  <si>
    <t xml:space="preserve">FY2026</t>
  </si>
  <si>
    <t xml:space="preserve">FY2027</t>
  </si>
  <si>
    <t xml:space="preserve">Actual (A) or Forecast (F)</t>
  </si>
  <si>
    <t xml:space="preserve">A + F</t>
  </si>
  <si>
    <t xml:space="preserve">F</t>
  </si>
  <si>
    <t xml:space="preserve">Month number</t>
  </si>
  <si>
    <t xml:space="preserve">GROWTH AND MARGIN</t>
  </si>
  <si>
    <t xml:space="preserve">Net revenue</t>
  </si>
  <si>
    <t xml:space="preserve">Growth vs prior month</t>
  </si>
  <si>
    <t xml:space="preserve">Growth vs same month prior year</t>
  </si>
  <si>
    <t xml:space="preserve">Gross margin %</t>
  </si>
  <si>
    <t xml:space="preserve">CM1 %</t>
  </si>
  <si>
    <t xml:space="preserve">CM2 %</t>
  </si>
  <si>
    <t xml:space="preserve">EBITDA %</t>
  </si>
  <si>
    <t xml:space="preserve">EBITDA</t>
  </si>
  <si>
    <t xml:space="preserve">COMMERCIAL</t>
  </si>
  <si>
    <t xml:space="preserve">Orders (all channels)</t>
  </si>
  <si>
    <t xml:space="preserve">Blended net revenue per order</t>
  </si>
  <si>
    <t xml:space="preserve">Refund rate % of gross sales</t>
  </si>
  <si>
    <t xml:space="preserve">Paid media % of net revenue</t>
  </si>
  <si>
    <t xml:space="preserve">Marketing efficiency ratio (net revenue / paid media)</t>
  </si>
  <si>
    <t xml:space="preserve">Shopify EU (DTC): channel ROAS proxy (net revenue / paid media)</t>
  </si>
  <si>
    <t xml:space="preserve">Amazon EU (FBA): channel ROAS proxy (net revenue / paid media)</t>
  </si>
  <si>
    <t xml:space="preserve">Walmart US (WFS): channel ROAS proxy (net revenue / paid media)</t>
  </si>
  <si>
    <t xml:space="preserve">Shopify paid CAC</t>
  </si>
  <si>
    <t xml:space="preserve">Shopify EU (DTC): CM2 per order</t>
  </si>
  <si>
    <t xml:space="preserve">Amazon EU (FBA): CM2 per order</t>
  </si>
  <si>
    <t xml:space="preserve">Walmart US (WFS): CM2 per order</t>
  </si>
  <si>
    <t xml:space="preserve">Amazon share of net revenue (concentration)</t>
  </si>
  <si>
    <t xml:space="preserve">WORKING CAPITAL AND CASH</t>
  </si>
  <si>
    <t xml:space="preserve">Days of inventory on hand</t>
  </si>
  <si>
    <t xml:space="preserve">Days receivable (marketplace settlement lag)</t>
  </si>
  <si>
    <t xml:space="preserve">Days payable (logistics group)</t>
  </si>
  <si>
    <t xml:space="preserve">Cash conversion cycle (DIO + DSO - DPO)</t>
  </si>
  <si>
    <t xml:space="preserve">Cash at bank</t>
  </si>
  <si>
    <t xml:space="preserve">Cash headroom over the minimum buffer</t>
  </si>
  <si>
    <t xml:space="preserve">Net debt / (net cash)</t>
  </si>
  <si>
    <t xml:space="preserve">Inventory on hand, net</t>
  </si>
  <si>
    <t xml:space="preserve">Net working capital</t>
  </si>
  <si>
    <t xml:space="preserve">Operating cash flow, trailing three months</t>
  </si>
  <si>
    <t xml:space="preserve">Cash runway in months at the trailing burn (blank if cash generative)</t>
  </si>
  <si>
    <t xml:space="preserve">PEOPLE</t>
  </si>
  <si>
    <t xml:space="preserve">Headcount (FTE)</t>
  </si>
  <si>
    <t xml:space="preserve">Annualised net revenue per FTE</t>
  </si>
  <si>
    <t xml:space="preserve">PROFIT AND LOSS (EUR)</t>
  </si>
  <si>
    <t xml:space="preserve">Monthly, actual Jan-26 to Aug-26 and forecast to Dec-27 for the selected scenario. Revenue positive, costs negative. Every line links to a schedule; nothing is typed here.</t>
  </si>
  <si>
    <t xml:space="preserve">REVENUE</t>
  </si>
  <si>
    <t xml:space="preserve">Shopify EU (DTC): net revenue</t>
  </si>
  <si>
    <t xml:space="preserve">Amazon EU (FBA): net revenue</t>
  </si>
  <si>
    <t xml:space="preserve">Walmart US (WFS): net revenue</t>
  </si>
  <si>
    <t xml:space="preserve">NET REVENUE PER CHANNELS</t>
  </si>
  <si>
    <t xml:space="preserve">sum</t>
  </si>
  <si>
    <t xml:space="preserve">Refund provision movement</t>
  </si>
  <si>
    <t xml:space="preserve">NET REVENUE</t>
  </si>
  <si>
    <t xml:space="preserve">after refund provision movement</t>
  </si>
  <si>
    <t xml:space="preserve">Net revenue growth vs prior month</t>
  </si>
  <si>
    <t xml:space="preserve">memo</t>
  </si>
  <si>
    <t xml:space="preserve">COST OF SALES</t>
  </si>
  <si>
    <t xml:space="preserve">Cost of goods sold (shipped less returns recovered)</t>
  </si>
  <si>
    <t xml:space="preserve">Inventory write-offs and slow-moving provision movement</t>
  </si>
  <si>
    <t xml:space="preserve">GROSS PROFIT</t>
  </si>
  <si>
    <t xml:space="preserve">VARIABLE CHANNEL COSTS</t>
  </si>
  <si>
    <t xml:space="preserve">Marketplace, referral and payment fees</t>
  </si>
  <si>
    <t xml:space="preserve">Fulfilment, shipping, storage and inbound</t>
  </si>
  <si>
    <t xml:space="preserve">Total variable channel costs</t>
  </si>
  <si>
    <t xml:space="preserve">CONTRIBUTION BEFORE MARKETING (CM1)</t>
  </si>
  <si>
    <t xml:space="preserve">MARKETING</t>
  </si>
  <si>
    <t xml:space="preserve">Shopify paid media (Meta, Google)</t>
  </si>
  <si>
    <t xml:space="preserve">Amazon advertising</t>
  </si>
  <si>
    <t xml:space="preserve">Walmart Connect advertising</t>
  </si>
  <si>
    <t xml:space="preserve">Total paid media</t>
  </si>
  <si>
    <t xml:space="preserve">CONTRIBUTION AFTER MARKETING (CM2)</t>
  </si>
  <si>
    <t xml:space="preserve">OPERATING EXPENSES</t>
  </si>
  <si>
    <t xml:space="preserve">Salaries and wages (incl. employer costs)</t>
  </si>
  <si>
    <t xml:space="preserve">Contractors and freelancers</t>
  </si>
  <si>
    <t xml:space="preserve">Rent and facilities</t>
  </si>
  <si>
    <t xml:space="preserve">Software, apps and platform subscriptions</t>
  </si>
  <si>
    <t xml:space="preserve">Professional fees (finance, legal, audit)</t>
  </si>
  <si>
    <t xml:space="preserve">Insurance</t>
  </si>
  <si>
    <t xml:space="preserve">Travel and entertainment</t>
  </si>
  <si>
    <t xml:space="preserve">Content, creative and PR (non-media)</t>
  </si>
  <si>
    <t xml:space="preserve">Customer service (outsourced, per order)</t>
  </si>
  <si>
    <t xml:space="preserve">Office and other G&amp;A</t>
  </si>
  <si>
    <t xml:space="preserve">Bank charges and FX costs</t>
  </si>
  <si>
    <t xml:space="preserve">Recruitment and training</t>
  </si>
  <si>
    <t xml:space="preserve">TOTAL OPERATING EXPENSES</t>
  </si>
  <si>
    <t xml:space="preserve">BELOW EBITDA</t>
  </si>
  <si>
    <t xml:space="preserve">Depreciation</t>
  </si>
  <si>
    <t xml:space="preserve">EBIT</t>
  </si>
  <si>
    <t xml:space="preserve">Interest on term loan</t>
  </si>
  <si>
    <t xml:space="preserve">PROFIT BEFORE TAX</t>
  </si>
  <si>
    <t xml:space="preserve">Cumulative profit before tax in the financial year (memo)</t>
  </si>
  <si>
    <t xml:space="preserve">SUMIFS</t>
  </si>
  <si>
    <t xml:space="preserve">Cumulative tax on the year to date (two-bracket NL rates, no tax on losses)</t>
  </si>
  <si>
    <t xml:space="preserve">Corporate income tax</t>
  </si>
  <si>
    <t xml:space="preserve">cumulative method</t>
  </si>
  <si>
    <t xml:space="preserve">NET PROFIT</t>
  </si>
  <si>
    <t xml:space="preserve">Net margin %</t>
  </si>
  <si>
    <t xml:space="preserve">Tax is accrued on cumulative profit at 19% to EUR 200,000 and 25.8% above (NL 2026), with no deferred tax on losses. Interest is paid monthly, so there is no interest accrual.</t>
  </si>
  <si>
    <t xml:space="preserve">BALANCE SHEET (EUR)</t>
  </si>
  <si>
    <t xml:space="preserve">Every balance comes from a schedule: cash from the cash flow, receivables from Settlements, inventory from Inventory, payables from AP_Schedule, tax and VAT from their rolls, loan from Debt. The check row must be zero in every month.</t>
  </si>
  <si>
    <t xml:space="preserve">ASSETS</t>
  </si>
  <si>
    <t xml:space="preserve">Marketplace and payment receivables (incl. reserves)</t>
  </si>
  <si>
    <t xml:space="preserve">Inventory on hand at landed cost</t>
  </si>
  <si>
    <t xml:space="preserve">Slow-moving provision</t>
  </si>
  <si>
    <t xml:space="preserve">Inventory in transit</t>
  </si>
  <si>
    <t xml:space="preserve">Supplier deposits</t>
  </si>
  <si>
    <t xml:space="preserve">Other receivables and prepaid expenses</t>
  </si>
  <si>
    <t xml:space="preserve">opening balance, no movement modelled</t>
  </si>
  <si>
    <t xml:space="preserve">Fixed assets, net book value</t>
  </si>
  <si>
    <t xml:space="preserve">TOTAL ASSETS</t>
  </si>
  <si>
    <t xml:space="preserve">LIABILITIES</t>
  </si>
  <si>
    <t xml:space="preserve">Trade payables</t>
  </si>
  <si>
    <t xml:space="preserve">Wage tax and social charges payable</t>
  </si>
  <si>
    <t xml:space="preserve">Refund liability</t>
  </si>
  <si>
    <t xml:space="preserve">VAT payable</t>
  </si>
  <si>
    <t xml:space="preserve">Corporate income tax payable: opening (memo)</t>
  </si>
  <si>
    <t xml:space="preserve">Corporate income tax: charge (memo)</t>
  </si>
  <si>
    <t xml:space="preserve">Corporate income tax: paid (prior year liability in the payment month, memo)</t>
  </si>
  <si>
    <t xml:space="preserve">Timeline flag</t>
  </si>
  <si>
    <t xml:space="preserve">Corporate income tax payable</t>
  </si>
  <si>
    <t xml:space="preserve">opening + charge + paid</t>
  </si>
  <si>
    <t xml:space="preserve">Term loan: current portion</t>
  </si>
  <si>
    <t xml:space="preserve">Term loan: non-current portion</t>
  </si>
  <si>
    <t xml:space="preserve">TOTAL LIABILITIES</t>
  </si>
  <si>
    <t xml:space="preserve">EQUITY</t>
  </si>
  <si>
    <t xml:space="preserve">Share capital</t>
  </si>
  <si>
    <t xml:space="preserve">opening balance</t>
  </si>
  <si>
    <t xml:space="preserve">Retained earnings: opening (memo)</t>
  </si>
  <si>
    <t xml:space="preserve">Net profit for the month (memo)</t>
  </si>
  <si>
    <t xml:space="preserve">Dividends paid</t>
  </si>
  <si>
    <t xml:space="preserve">input (none planned)</t>
  </si>
  <si>
    <t xml:space="preserve">Retained earnings</t>
  </si>
  <si>
    <t xml:space="preserve">opening + profit - dividends</t>
  </si>
  <si>
    <t xml:space="preserve">TOTAL EQUITY</t>
  </si>
  <si>
    <t xml:space="preserve">TOTAL LIABILITIES AND EQUITY</t>
  </si>
  <si>
    <t xml:space="preserve">CHECK: assets less liabilities and equity (must be zero)</t>
  </si>
  <si>
    <t xml:space="preserve">WORKING CAPITAL METRICS (memo)</t>
  </si>
  <si>
    <t xml:space="preserve">Net working capital (receivables + inventory + transit + deposits - payables - refund liability - VAT - payroll taxes)</t>
  </si>
  <si>
    <t xml:space="preserve">loan less cash</t>
  </si>
  <si>
    <t xml:space="preserve">CASH FLOW STATEMENT (EUR)</t>
  </si>
  <si>
    <t xml:space="preserve">Indirect method from the P&amp;L and balance sheet movements, reconciled to a direct-method view built from the cash lines in each schedule. Closing cash feeds the balance sheet; the two methods must agree to the cent.</t>
  </si>
  <si>
    <t xml:space="preserve">OPERATING ACTIVITIES (indirect)</t>
  </si>
  <si>
    <t xml:space="preserve">Net profit</t>
  </si>
  <si>
    <t xml:space="preserve">Add back: depreciation</t>
  </si>
  <si>
    <t xml:space="preserve">Add back: interest</t>
  </si>
  <si>
    <t xml:space="preserve">Add back: corporate income tax charge</t>
  </si>
  <si>
    <t xml:space="preserve">EBITDA (check equals PL)</t>
  </si>
  <si>
    <t xml:space="preserve">(Increase) / decrease in marketplace receivables</t>
  </si>
  <si>
    <t xml:space="preserve">BS movement</t>
  </si>
  <si>
    <t xml:space="preserve">(Increase) / decrease in inventory on hand, net of provision</t>
  </si>
  <si>
    <t xml:space="preserve">   of which provision movement (included above)</t>
  </si>
  <si>
    <t xml:space="preserve">(Increase) / decrease in inventory in transit</t>
  </si>
  <si>
    <t xml:space="preserve">(Increase) / decrease in supplier deposits</t>
  </si>
  <si>
    <t xml:space="preserve">(Increase) / decrease in other receivables</t>
  </si>
  <si>
    <t xml:space="preserve">Increase / (decrease) in trade payables</t>
  </si>
  <si>
    <t xml:space="preserve">Increase / (decrease) in wage tax and social charges payable</t>
  </si>
  <si>
    <t xml:space="preserve">Increase / (decrease) in refund liability</t>
  </si>
  <si>
    <t xml:space="preserve">Increase / (decrease) in VAT payable</t>
  </si>
  <si>
    <t xml:space="preserve">Cash generated from operations before interest and tax</t>
  </si>
  <si>
    <t xml:space="preserve">Interest paid</t>
  </si>
  <si>
    <t xml:space="preserve">Corporate income tax paid</t>
  </si>
  <si>
    <t xml:space="preserve">NET CASH FROM OPERATING ACTIVITIES</t>
  </si>
  <si>
    <t xml:space="preserve">INVESTING ACTIVITIES</t>
  </si>
  <si>
    <t xml:space="preserve">Capital expenditure</t>
  </si>
  <si>
    <t xml:space="preserve">NET CASH FROM INVESTING ACTIVITIES</t>
  </si>
  <si>
    <t xml:space="preserve">FINANCING ACTIVITIES</t>
  </si>
  <si>
    <t xml:space="preserve">Term loan drawdowns</t>
  </si>
  <si>
    <t xml:space="preserve">Term loan principal repaid</t>
  </si>
  <si>
    <t xml:space="preserve">NET CASH FROM FINANCING ACTIVITIES</t>
  </si>
  <si>
    <t xml:space="preserve">CASH</t>
  </si>
  <si>
    <t xml:space="preserve">NET CASH FLOW FOR THE MONTH</t>
  </si>
  <si>
    <t xml:space="preserve">Opening cash</t>
  </si>
  <si>
    <t xml:space="preserve">CLOSING CASH (to balance sheet)</t>
  </si>
  <si>
    <t xml:space="preserve">Free cash flow (operating less capex)</t>
  </si>
  <si>
    <t xml:space="preserve">DIRECT METHOD (built from the cash lines of each schedule)</t>
  </si>
  <si>
    <t xml:space="preserve">Payouts received from Shopify Payments, Amazon and Walmart</t>
  </si>
  <si>
    <t xml:space="preserve">schedule cash line</t>
  </si>
  <si>
    <t xml:space="preserve">Paid to inventory suppliers (deposits and balances)</t>
  </si>
  <si>
    <t xml:space="preserve">Paid to logistics, media and other opex suppliers</t>
  </si>
  <si>
    <t xml:space="preserve">Net salaries paid</t>
  </si>
  <si>
    <t xml:space="preserve">Wage tax and social charges remitted</t>
  </si>
  <si>
    <t xml:space="preserve">VAT paid</t>
  </si>
  <si>
    <t xml:space="preserve">Bank charges and FX costs paid in the month</t>
  </si>
  <si>
    <t xml:space="preserve">Capex paid, VAT-inclusive</t>
  </si>
  <si>
    <t xml:space="preserve">Term loan principal repaid net of drawdowns</t>
  </si>
  <si>
    <t xml:space="preserve">NET CASH FLOW, DIRECT METHOD</t>
  </si>
  <si>
    <t xml:space="preserve">CHECK: indirect less direct (must be zero)</t>
  </si>
  <si>
    <t xml:space="preserve">BUDGET VS ACTUAL: YEAR TO DATE AND FULL-YEAR OUTLOOK (EUR)</t>
  </si>
  <si>
    <t xml:space="preserve">YTD = actual months per the Timeline. Outlook = actual months plus the selected scenario forecast for the rest of FY2026. Variance = actual or outlook less budget; favourable is positive for revenue and profit lines.</t>
  </si>
  <si>
    <t xml:space="preserve">YTD actual</t>
  </si>
  <si>
    <t xml:space="preserve">YTD budget</t>
  </si>
  <si>
    <t xml:space="preserve">Variance</t>
  </si>
  <si>
    <t xml:space="preserve">Variance %</t>
  </si>
  <si>
    <t xml:space="preserve">FY26 outlook</t>
  </si>
  <si>
    <t xml:space="preserve">FY26 budget</t>
  </si>
  <si>
    <t xml:space="preserve">Commentary</t>
  </si>
  <si>
    <t xml:space="preserve">VOLUMES</t>
  </si>
  <si>
    <t xml:space="preserve">Shopify EU (DTC): orders</t>
  </si>
  <si>
    <t xml:space="preserve">Amazon EU (FBA): orders</t>
  </si>
  <si>
    <t xml:space="preserve">Walmart US (WFS): orders</t>
  </si>
  <si>
    <t xml:space="preserve">PROFIT AND LOSS</t>
  </si>
  <si>
    <t xml:space="preserve">Cost of goods sold (incl. inventory adjustments)</t>
  </si>
  <si>
    <t xml:space="preserve">Variable channel costs</t>
  </si>
  <si>
    <t xml:space="preserve">Paid media</t>
  </si>
  <si>
    <t xml:space="preserve">BALANCES AT THE LAST ACTUAL MONTH (YTD columns) AND AT DEC-26 (FY columns)</t>
  </si>
  <si>
    <t xml:space="preserve">Marketplace and payment receivables</t>
  </si>
  <si>
    <t xml:space="preserve">YTD NET REVENUE BRIDGE BY CHANNEL: VOLUME (UNITS) AND PRICE / MIX EFFECTS</t>
  </si>
  <si>
    <t xml:space="preserve">Channel</t>
  </si>
  <si>
    <t xml:space="preserve">Actual units YTD</t>
  </si>
  <si>
    <t xml:space="preserve">Budget units YTD</t>
  </si>
  <si>
    <t xml:space="preserve">Actual net revenue per unit</t>
  </si>
  <si>
    <t xml:space="preserve">Budget net revenue per unit</t>
  </si>
  <si>
    <t xml:space="preserve">Volume effect</t>
  </si>
  <si>
    <t xml:space="preserve">Price and mix effect</t>
  </si>
  <si>
    <t xml:space="preserve">Total variance</t>
  </si>
  <si>
    <t xml:space="preserve">Check vs P&amp;L variance</t>
  </si>
  <si>
    <t xml:space="preserve">Shopify EU (DTC)</t>
  </si>
  <si>
    <t xml:space="preserve">Amazon EU (FBA)</t>
  </si>
  <si>
    <t xml:space="preserve">Walmart US (WFS)</t>
  </si>
  <si>
    <t xml:space="preserve">TOTAL</t>
  </si>
  <si>
    <t xml:space="preserve">Volume effect = (actual units - budget units) x budget net revenue per unit. Price and mix effect = actual units x (actual - budget net revenue per unit). The two effects sum to the P&amp;L revenue variance by channel.</t>
  </si>
  <si>
    <t xml:space="preserve">SCENARIO COMPARISON: BASE, DOWNSIDE (WORST) AND UPSIDE (BEST)</t>
  </si>
  <si>
    <t xml:space="preserve">Columns C to E hold snapshot values written by running the full model under each scenario (run date in B5). Column F is live for the scenario selected on Assumptions and must equal its snapshot column (check in G). Drivers below are live links to Assumptions.</t>
  </si>
  <si>
    <t xml:space="preserve">Snapshot run date</t>
  </si>
  <si>
    <t xml:space="preserve">13-Sep-2026</t>
  </si>
  <si>
    <t xml:space="preserve">Selected scenario (live)</t>
  </si>
  <si>
    <t xml:space="preserve">Metric</t>
  </si>
  <si>
    <t xml:space="preserve">Unit</t>
  </si>
  <si>
    <t xml:space="preserve">Base</t>
  </si>
  <si>
    <t xml:space="preserve">Downside</t>
  </si>
  <si>
    <t xml:space="preserve">Upside</t>
  </si>
  <si>
    <t xml:space="preserve">Live (selected)</t>
  </si>
  <si>
    <t xml:space="preserve">Check: live less snapshot</t>
  </si>
  <si>
    <t xml:space="preserve">FY2026 net revenue (outlook)</t>
  </si>
  <si>
    <t xml:space="preserve">EUR</t>
  </si>
  <si>
    <t xml:space="preserve">FY2027 net revenue</t>
  </si>
  <si>
    <t xml:space="preserve">FY2026 gross margin %</t>
  </si>
  <si>
    <t xml:space="preserve">%</t>
  </si>
  <si>
    <t xml:space="preserve">FY2026 CM2</t>
  </si>
  <si>
    <t xml:space="preserve">FY2026 CM2 %</t>
  </si>
  <si>
    <t xml:space="preserve">FY2026 operating expenses</t>
  </si>
  <si>
    <t xml:space="preserve">FY2026 EBITDA</t>
  </si>
  <si>
    <t xml:space="preserve">FY2026 EBITDA %</t>
  </si>
  <si>
    <t xml:space="preserve">FY2026 net profit</t>
  </si>
  <si>
    <t xml:space="preserve">FY2027 EBITDA</t>
  </si>
  <si>
    <t xml:space="preserve">FY2027 net profit</t>
  </si>
  <si>
    <t xml:space="preserve">Cash at 31-Dec-26</t>
  </si>
  <si>
    <t xml:space="preserve">Cash at 31-Dec-27</t>
  </si>
  <si>
    <t xml:space="preserve">Lowest month-end cash, Sep-26 to Dec-27</t>
  </si>
  <si>
    <t xml:space="preserve">Month of the lowest cash</t>
  </si>
  <si>
    <t xml:space="preserve">month</t>
  </si>
  <si>
    <t xml:space="preserve">Peak funding need vs the minimum cash buffer (negative = shortfall)</t>
  </si>
  <si>
    <t xml:space="preserve">Inventory on hand, net, at 31-Dec-26</t>
  </si>
  <si>
    <t xml:space="preserve">Marketplace receivables at 31-Dec-26</t>
  </si>
  <si>
    <t xml:space="preserve">Net working capital at 31-Dec-26</t>
  </si>
  <si>
    <t xml:space="preserve">VAT payable at 31-Dec-26</t>
  </si>
  <si>
    <t xml:space="preserve">FY2027 CM2 %</t>
  </si>
  <si>
    <t xml:space="preserve">FY2027 EBITDA %</t>
  </si>
  <si>
    <t xml:space="preserve">Total of check column (must be zero)</t>
  </si>
  <si>
    <t xml:space="preserve">KEY DRIVERS BY SCENARIO (live links to Assumptions)</t>
  </si>
  <si>
    <t xml:space="preserve">How to refresh the snapshots: set Assumptions!C11 to 1, 2 and 3 in turn, let the model recalculate, and paste the live column F as values into C, D and E. The check column proves the snapshot for the selected scenario is current.</t>
  </si>
  <si>
    <t xml:space="preserve">13-WEEK CASH FORECAST, DIRECT METHOD (EUR)</t>
  </si>
  <si>
    <t xml:space="preserve">Weeks ending Friday 18-Sep-26 to Friday 11-Dec-26. Opening cash = Aug-26 ledger cash plus actual movements 1 to 11 Sep (column C, per bank). Each line phases its monthly model amount (columns D to G) into weeks with the timing rule in column B; the closing cash at 11-Dec plus the remaining December flows reconciles to the monthly balance sheet.</t>
  </si>
  <si>
    <t xml:space="preserve">Timing rule</t>
  </si>
  <si>
    <t xml:space="preserve">Actual 1-11 Sep</t>
  </si>
  <si>
    <t xml:space="preserve">Sep-26 monthly model</t>
  </si>
  <si>
    <t xml:space="preserve">Oct-26 monthly model</t>
  </si>
  <si>
    <t xml:space="preserve">Nov-26 monthly model</t>
  </si>
  <si>
    <t xml:space="preserve">Dec-26 monthly model</t>
  </si>
  <si>
    <t xml:space="preserve">W1</t>
  </si>
  <si>
    <t xml:space="preserve">W2</t>
  </si>
  <si>
    <t xml:space="preserve">W3</t>
  </si>
  <si>
    <t xml:space="preserve">W4</t>
  </si>
  <si>
    <t xml:space="preserve">W5</t>
  </si>
  <si>
    <t xml:space="preserve">W6</t>
  </si>
  <si>
    <t xml:space="preserve">W7</t>
  </si>
  <si>
    <t xml:space="preserve">W8</t>
  </si>
  <si>
    <t xml:space="preserve">W9</t>
  </si>
  <si>
    <t xml:space="preserve">W10</t>
  </si>
  <si>
    <t xml:space="preserve">W11</t>
  </si>
  <si>
    <t xml:space="preserve">W12</t>
  </si>
  <si>
    <t xml:space="preserve">W13</t>
  </si>
  <si>
    <t xml:space="preserve">Total 13 weeks</t>
  </si>
  <si>
    <t xml:space="preserve">Share of December inside the window</t>
  </si>
  <si>
    <t xml:space="preserve">December flows after 11-Dec</t>
  </si>
  <si>
    <t xml:space="preserve">Week ending (Friday)</t>
  </si>
  <si>
    <t xml:space="preserve">Week starting (Saturday)</t>
  </si>
  <si>
    <t xml:space="preserve">opening as at</t>
  </si>
  <si>
    <t xml:space="preserve">Month of week end</t>
  </si>
  <si>
    <t xml:space="preserve">PHASING WEIGHTS BY RULE AND MONTH (helper rows)</t>
  </si>
  <si>
    <t xml:space="preserve">days: share of Sep-26 (days of the week in the month / denominator)</t>
  </si>
  <si>
    <t xml:space="preserve">days: share of Oct-26 (days of the week in the month / denominator)</t>
  </si>
  <si>
    <t xml:space="preserve">days: share of Nov-26 (days of the week in the month / denominator)</t>
  </si>
  <si>
    <t xml:space="preserve">days: share of Dec-26 (days of the week in the month / denominator)</t>
  </si>
  <si>
    <t xml:space="preserve">Amazon settlement date in the week (blank = no settlement; 14-day cycle, Tuesdays)</t>
  </si>
  <si>
    <t xml:space="preserve">Walmart settlement date in the week (14-day cycle, Thursdays)</t>
  </si>
  <si>
    <t xml:space="preserve">Settlements per month (Amazon)</t>
  </si>
  <si>
    <t xml:space="preserve">Settlements per month (Walmart)</t>
  </si>
  <si>
    <t xml:space="preserve">Settlements received before the opening date (Amazon, Walmart)</t>
  </si>
  <si>
    <t xml:space="preserve">D = Amazon, E = Walmart</t>
  </si>
  <si>
    <t xml:space="preserve">Amazon settlement: share of Sep-26 (flag / settlements in the month; Sep counts only settlements after the opening date)</t>
  </si>
  <si>
    <t xml:space="preserve">Amazon settlement: share of Oct-26 (flag / settlements in the month)</t>
  </si>
  <si>
    <t xml:space="preserve">Amazon settlement: share of Nov-26 (flag / settlements in the month)</t>
  </si>
  <si>
    <t xml:space="preserve">Amazon settlement: share of Dec-26 (flag / settlements in the month)</t>
  </si>
  <si>
    <t xml:space="preserve">Walmart settlement: share of Sep-26 (flag / settlements in the month; Sep counts only settlements after the opening date)</t>
  </si>
  <si>
    <t xml:space="preserve">Walmart settlement: share of Oct-26 (flag / settlements in the month)</t>
  </si>
  <si>
    <t xml:space="preserve">Walmart settlement: share of Nov-26 (flag / settlements in the month)</t>
  </si>
  <si>
    <t xml:space="preserve">Walmart settlement: share of Dec-26 (flag / settlements in the month)</t>
  </si>
  <si>
    <t xml:space="preserve">1st of the month: Sep-26 falls in the week (1/0), only after the opening date</t>
  </si>
  <si>
    <t xml:space="preserve">1st of the month: Oct-26 falls in the week (1/0), only after the opening date</t>
  </si>
  <si>
    <t xml:space="preserve">1st of the month: Nov-26 falls in the week (1/0), only after the opening date</t>
  </si>
  <si>
    <t xml:space="preserve">1st of the month: Dec-26 falls in the week (1/0), only after the opening date</t>
  </si>
  <si>
    <t xml:space="preserve">15th of the month: Sep-26 falls in the week (1/0), only after the opening date</t>
  </si>
  <si>
    <t xml:space="preserve">15th of the month: Oct-26 falls in the week (1/0), only after the opening date</t>
  </si>
  <si>
    <t xml:space="preserve">15th of the month: Nov-26 falls in the week (1/0), only after the opening date</t>
  </si>
  <si>
    <t xml:space="preserve">15th of the month: Dec-26 falls in the week (1/0), only after the opening date</t>
  </si>
  <si>
    <t xml:space="preserve">25th of the month: Sep-26 falls in the week (1/0), only after the opening date</t>
  </si>
  <si>
    <t xml:space="preserve">25th of the month: Oct-26 falls in the week (1/0), only after the opening date</t>
  </si>
  <si>
    <t xml:space="preserve">25th of the month: Nov-26 falls in the week (1/0), only after the opening date</t>
  </si>
  <si>
    <t xml:space="preserve">25th of the month: Dec-26 falls in the week (1/0), only after the opening date</t>
  </si>
  <si>
    <t xml:space="preserve">last day of the month: Sep-26 falls in the week (1/0), only after the opening date</t>
  </si>
  <si>
    <t xml:space="preserve">last day of the month: Oct-26 falls in the week (1/0), only after the opening date</t>
  </si>
  <si>
    <t xml:space="preserve">last day of the month: Nov-26 falls in the week (1/0), only after the opening date</t>
  </si>
  <si>
    <t xml:space="preserve">last day of the month: Dec-26 falls in the week (1/0), only after the opening date</t>
  </si>
  <si>
    <t xml:space="preserve">VAT payment date (Q3 return and OSS)</t>
  </si>
  <si>
    <t xml:space="preserve">VAT: payment date falls in the week</t>
  </si>
  <si>
    <t xml:space="preserve">RECEIPTS</t>
  </si>
  <si>
    <t xml:space="preserve">Shopify Payments payouts</t>
  </si>
  <si>
    <t xml:space="preserve">calendar days</t>
  </si>
  <si>
    <t xml:space="preserve">Amazon settlements (biweekly, Tuesday)</t>
  </si>
  <si>
    <t xml:space="preserve">Amazon settlement dates</t>
  </si>
  <si>
    <t xml:space="preserve">Walmart settlements (biweekly, Thursday)</t>
  </si>
  <si>
    <t xml:space="preserve">Walmart settlement dates</t>
  </si>
  <si>
    <t xml:space="preserve">TOTAL RECEIPTS</t>
  </si>
  <si>
    <t xml:space="preserve">n/a</t>
  </si>
  <si>
    <t xml:space="preserve">PAYMENTS</t>
  </si>
  <si>
    <t xml:space="preserve">Committed purchase orders: deposits and balances on register dates</t>
  </si>
  <si>
    <t xml:space="preserve">register due dates</t>
  </si>
  <si>
    <t xml:space="preserve">Uncommitted purchases required by the inventory policy</t>
  </si>
  <si>
    <t xml:space="preserve">Logistics and fulfilment suppliers</t>
  </si>
  <si>
    <t xml:space="preserve">Meta and Google</t>
  </si>
  <si>
    <t xml:space="preserve">Other opex suppliers (rent, software, fees, services)</t>
  </si>
  <si>
    <t xml:space="preserve">Net salaries (25th)</t>
  </si>
  <si>
    <t xml:space="preserve">25th of month</t>
  </si>
  <si>
    <t xml:space="preserve">Wage tax and social charges (last day of the month)</t>
  </si>
  <si>
    <t xml:space="preserve">month end</t>
  </si>
  <si>
    <t xml:space="preserve">VAT: Q3 return and OSS</t>
  </si>
  <si>
    <t xml:space="preserve">VAT due date</t>
  </si>
  <si>
    <t xml:space="preserve">Term loan instalment (1st)</t>
  </si>
  <si>
    <t xml:space="preserve">1st of month (Sep paid before opening)</t>
  </si>
  <si>
    <t xml:space="preserve">Capex, VAT-inclusive</t>
  </si>
  <si>
    <t xml:space="preserve">Bank charges</t>
  </si>
  <si>
    <t xml:space="preserve">Corporate income tax (none due in the window)</t>
  </si>
  <si>
    <t xml:space="preserve">TOTAL PAYMENTS</t>
  </si>
  <si>
    <t xml:space="preserve">NET CASH FLOW FOR THE WEEK</t>
  </si>
  <si>
    <t xml:space="preserve">ledger + actual to date</t>
  </si>
  <si>
    <t xml:space="preserve">CLOSING CASH</t>
  </si>
  <si>
    <t xml:space="preserve">CASH CONTROL</t>
  </si>
  <si>
    <t xml:space="preserve">Minimum cash buffer (board policy)</t>
  </si>
  <si>
    <t xml:space="preserve">HEADROOM / (SHORTFALL) VS BUFFER</t>
  </si>
  <si>
    <t xml:space="preserve">Low point in the 13 weeks</t>
  </si>
  <si>
    <t xml:space="preserve">Week ending of the low point</t>
  </si>
  <si>
    <t xml:space="preserve">Shortfall vs buffer at the low point (negative = action needed)</t>
  </si>
  <si>
    <t xml:space="preserve">Undrawn revolving facility available</t>
  </si>
  <si>
    <t xml:space="preserve">Facility headroom after covering the low-point shortfall</t>
  </si>
  <si>
    <t xml:space="preserve">RECONCILIATION TO THE MONTHLY MODEL</t>
  </si>
  <si>
    <t xml:space="preserve">Closing cash at the end of week 13 (11-Dec-26)</t>
  </si>
  <si>
    <t xml:space="preserve">Add: December flows after 11-Dec (column W, by line)</t>
  </si>
  <si>
    <t xml:space="preserve">Implied cash at 31-Dec-26</t>
  </si>
  <si>
    <t xml:space="preserve">Cash at 31-Dec-26 per the monthly balance sheet</t>
  </si>
  <si>
    <t xml:space="preserve">CHECK: difference (must be zero)</t>
  </si>
  <si>
    <t xml:space="preserve">LEVERS IF THE LOW POINT BREACHES THE BUFFER, IN ORDER</t>
  </si>
  <si>
    <t xml:space="preserve">1. Draw the revolving facility (Assumptions) up to the shortfall; cost is the commitment plus margin, not a covenant event.</t>
  </si>
  <si>
    <t xml:space="preserve">2. Defer the uncommitted policy purchases by two weeks: the policy line above moves out of the trough week; committed PO balances cannot move without supplier agreement.</t>
  </si>
  <si>
    <t xml:space="preserve">3. Ask Amazon for a reserve review: the model holds roughly 7 days of reserve inside the 21-day lag; each day released is one day of Amazon settlement accrued.</t>
  </si>
  <si>
    <t xml:space="preserve">4. Shift Meta and Google to card billing with a 30-day statement cycle: moves the paid-media line from a 10-day to a 30-day lag.</t>
  </si>
  <si>
    <t xml:space="preserve">5. Pull forward the December Shopify promotion to the week of 27-Nov: brings receipts into the window at the cost of margin (not modelled).</t>
  </si>
  <si>
    <t xml:space="preserve">CHANNEL P&amp;L AND CONTRIBUTION MARGIN (EUR)</t>
  </si>
  <si>
    <t xml:space="preserve">Gross sales to contribution after marketing by channel. Actual months from Inputs_Actuals (Walmart converted at the Timeline USD/EUR rate); forecast months driver-based from Assumptions. CM1 = after variable channel costs; CM2 = after paid media.</t>
  </si>
  <si>
    <t xml:space="preserve">SHOPIFY EU (DTC)</t>
  </si>
  <si>
    <t xml:space="preserve">Deseasonalised monthly run-rate units (latest actual months per Assumptions)</t>
  </si>
  <si>
    <t xml:space="preserve">helper: single value in column C</t>
  </si>
  <si>
    <t xml:space="preserve">Units sold</t>
  </si>
  <si>
    <t xml:space="preserve">A: Volume_Price; F: run-rate x seasonality x growth</t>
  </si>
  <si>
    <t xml:space="preserve">Orders</t>
  </si>
  <si>
    <t xml:space="preserve">A: Inputs; F: units / units per order</t>
  </si>
  <si>
    <t xml:space="preserve">Units per order</t>
  </si>
  <si>
    <t xml:space="preserve">units / orders</t>
  </si>
  <si>
    <t xml:space="preserve">Gross sales ex VAT</t>
  </si>
  <si>
    <t xml:space="preserve">Discounts and coupons</t>
  </si>
  <si>
    <t xml:space="preserve">A: Inputs; F: rate x gross</t>
  </si>
  <si>
    <t xml:space="preserve">Refunds and returns</t>
  </si>
  <si>
    <t xml:space="preserve">Net product revenue</t>
  </si>
  <si>
    <t xml:space="preserve">gross less discounts and refunds</t>
  </si>
  <si>
    <t xml:space="preserve">Shipping income ex VAT</t>
  </si>
  <si>
    <t xml:space="preserve">A: Inputs; F: orders x rate</t>
  </si>
  <si>
    <t xml:space="preserve">net product revenue plus shipping income</t>
  </si>
  <si>
    <t xml:space="preserve">Units returned (memo)</t>
  </si>
  <si>
    <t xml:space="preserve">A: Inputs; F: units x refund rate</t>
  </si>
  <si>
    <t xml:space="preserve">Cost of goods shipped</t>
  </si>
  <si>
    <t xml:space="preserve">Returned stock recovered to inventory</t>
  </si>
  <si>
    <t xml:space="preserve">A: Inputs; F: returned units x recovery rate x average cost</t>
  </si>
  <si>
    <t xml:space="preserve">COST OF GOODS SOLD</t>
  </si>
  <si>
    <t xml:space="preserve">shipped less recovered</t>
  </si>
  <si>
    <t xml:space="preserve">net revenue less COGS</t>
  </si>
  <si>
    <t xml:space="preserve">GP / net revenue</t>
  </si>
  <si>
    <t xml:space="preserve">Payment processing fees and chargebacks</t>
  </si>
  <si>
    <t xml:space="preserve">A: Inputs; F: rate x VAT-inclusive charge + fixed fee + chargebacks</t>
  </si>
  <si>
    <t xml:space="preserve">Carrier shipping cost</t>
  </si>
  <si>
    <t xml:space="preserve">A: Inputs; F: orders x carrier rate</t>
  </si>
  <si>
    <t xml:space="preserve">3PL pick, pack and packaging</t>
  </si>
  <si>
    <t xml:space="preserve">GP less variable channel costs</t>
  </si>
  <si>
    <t xml:space="preserve">CM1 / net revenue</t>
  </si>
  <si>
    <t xml:space="preserve">Paid media: Meta</t>
  </si>
  <si>
    <t xml:space="preserve">A: Inputs; F: share of net revenue x Meta share</t>
  </si>
  <si>
    <t xml:space="preserve">Paid media: Google</t>
  </si>
  <si>
    <t xml:space="preserve">A: Inputs; F: share of net revenue x (1 - Meta share)</t>
  </si>
  <si>
    <t xml:space="preserve">CM1 less paid media</t>
  </si>
  <si>
    <t xml:space="preserve">CM2 / net revenue</t>
  </si>
  <si>
    <t xml:space="preserve">KPI: gross AOV</t>
  </si>
  <si>
    <t xml:space="preserve">gross / orders</t>
  </si>
  <si>
    <t xml:space="preserve">KPI: net revenue per order</t>
  </si>
  <si>
    <t xml:space="preserve">net / orders</t>
  </si>
  <si>
    <t xml:space="preserve">KPI: discount rate % of gross</t>
  </si>
  <si>
    <t xml:space="preserve">KPI: refund rate % of gross</t>
  </si>
  <si>
    <t xml:space="preserve">KPI: variable channel costs % of net revenue</t>
  </si>
  <si>
    <t xml:space="preserve">KPI: paid media % of net revenue</t>
  </si>
  <si>
    <t xml:space="preserve">KPI: CM2 per order</t>
  </si>
  <si>
    <t xml:space="preserve">CM2 / orders</t>
  </si>
  <si>
    <t xml:space="preserve">KPI: new customers</t>
  </si>
  <si>
    <t xml:space="preserve">A: Inputs; F: orders x new customer share</t>
  </si>
  <si>
    <t xml:space="preserve">KPI: paid CAC (paid media / new customers)</t>
  </si>
  <si>
    <t xml:space="preserve">AMAZON EU (FBA)</t>
  </si>
  <si>
    <t xml:space="preserve">= net product revenue</t>
  </si>
  <si>
    <t xml:space="preserve">Referral fees incl. refund administration fee</t>
  </si>
  <si>
    <t xml:space="preserve">A: Inputs; F: rate x net product revenue + admin fee on refunds</t>
  </si>
  <si>
    <t xml:space="preserve">FBA fulfilment fees</t>
  </si>
  <si>
    <t xml:space="preserve">A: Inputs; F: units x fee</t>
  </si>
  <si>
    <t xml:space="preserve">FBA storage, aged inventory and other fees</t>
  </si>
  <si>
    <t xml:space="preserve">A: Inputs; F: units x rate x peak multiplier</t>
  </si>
  <si>
    <t xml:space="preserve">FBA inbound placement and freight</t>
  </si>
  <si>
    <t xml:space="preserve">A: Inputs; F: units x rate</t>
  </si>
  <si>
    <t xml:space="preserve">A: Inputs; F: share of net revenue</t>
  </si>
  <si>
    <t xml:space="preserve">WALMART US (WFS)</t>
  </si>
  <si>
    <t xml:space="preserve">Referral fees</t>
  </si>
  <si>
    <t xml:space="preserve">A: Inputs USD / FX; F: rate x net product revenue</t>
  </si>
  <si>
    <t xml:space="preserve">WFS fulfilment fees</t>
  </si>
  <si>
    <t xml:space="preserve">A: Inputs USD / FX; F: units x fee / FX</t>
  </si>
  <si>
    <t xml:space="preserve">WFS storage fees</t>
  </si>
  <si>
    <t xml:space="preserve">A: Inputs USD / FX; F: units x rate / FX</t>
  </si>
  <si>
    <t xml:space="preserve">A: Inputs USD / FX; F: share of net revenue</t>
  </si>
  <si>
    <t xml:space="preserve">ALL CHANNELS</t>
  </si>
  <si>
    <t xml:space="preserve">sum of channels</t>
  </si>
  <si>
    <t xml:space="preserve">Shipping income</t>
  </si>
  <si>
    <t xml:space="preserve">Returned stock recovered</t>
  </si>
  <si>
    <t xml:space="preserve">Marketing efficiency ratio (net revenue / total paid media)</t>
  </si>
  <si>
    <t xml:space="preserve">PRODUCT CATEGORY CONTRIBUTION (EUR)</t>
  </si>
  <si>
    <t xml:space="preserve">Units, revenue and cost of goods by category are bottom-up from Volume_Price. Discounts, refunds, shipping income, recovered returns, variable channel costs and paid media are allocated to categories by each category share of the channel gross sales in the month. Totals tie to Channel_PL.</t>
  </si>
  <si>
    <t xml:space="preserve">CATEGORY SHARE OF CHANNEL GROSS SALES (allocation keys)</t>
  </si>
  <si>
    <t xml:space="preserve">Shopify EU (DTC): share of gross sales, Cookware</t>
  </si>
  <si>
    <t xml:space="preserve">Shopify EU (DTC): share of gross sales, Knives</t>
  </si>
  <si>
    <t xml:space="preserve">Shopify EU (DTC): share of gross sales, Textiles</t>
  </si>
  <si>
    <t xml:space="preserve">Shopify EU (DTC): share of gross sales, Tableware</t>
  </si>
  <si>
    <t xml:space="preserve">Shopify EU (DTC): share of gross sales, Storage</t>
  </si>
  <si>
    <t xml:space="preserve">Amazon EU (FBA): share of gross sales, Cookware</t>
  </si>
  <si>
    <t xml:space="preserve">Amazon EU (FBA): share of gross sales, Knives</t>
  </si>
  <si>
    <t xml:space="preserve">Amazon EU (FBA): share of gross sales, Textiles</t>
  </si>
  <si>
    <t xml:space="preserve">Amazon EU (FBA): share of gross sales, Tableware</t>
  </si>
  <si>
    <t xml:space="preserve">Amazon EU (FBA): share of gross sales, Storage</t>
  </si>
  <si>
    <t xml:space="preserve">Walmart US (WFS): share of gross sales, Cookware</t>
  </si>
  <si>
    <t xml:space="preserve">Walmart US (WFS): share of gross sales, Knives</t>
  </si>
  <si>
    <t xml:space="preserve">Walmart US (WFS): share of gross sales, Textiles</t>
  </si>
  <si>
    <t xml:space="preserve">Walmart US (WFS): share of gross sales, Tableware</t>
  </si>
  <si>
    <t xml:space="preserve">Walmart US (WFS): share of gross sales, Storage</t>
  </si>
  <si>
    <t xml:space="preserve">COOKWARE</t>
  </si>
  <si>
    <t xml:space="preserve">Discounts and coupons (allocated)</t>
  </si>
  <si>
    <t xml:space="preserve">channel x share</t>
  </si>
  <si>
    <t xml:space="preserve">Refunds and returns (allocated)</t>
  </si>
  <si>
    <t xml:space="preserve">Shipping income (allocated, Shopify)</t>
  </si>
  <si>
    <t xml:space="preserve">Returned stock recovered (allocated)</t>
  </si>
  <si>
    <t xml:space="preserve">Variable channel costs (allocated)</t>
  </si>
  <si>
    <t xml:space="preserve">Paid media (allocated)</t>
  </si>
  <si>
    <t xml:space="preserve">CM2 per unit</t>
  </si>
  <si>
    <t xml:space="preserve">Days of inventory on hand (Inventory)</t>
  </si>
  <si>
    <t xml:space="preserve">KNIVES</t>
  </si>
  <si>
    <t xml:space="preserve">TEXTILES</t>
  </si>
  <si>
    <t xml:space="preserve">TABLEWARE</t>
  </si>
  <si>
    <t xml:space="preserve">STORAGE</t>
  </si>
  <si>
    <t xml:space="preserve">ALL CATEGORIES AND TIE-OUT TO CHANNEL_PL</t>
  </si>
  <si>
    <t xml:space="preserve">sum of categories</t>
  </si>
  <si>
    <t xml:space="preserve">Cost of goods sold</t>
  </si>
  <si>
    <t xml:space="preserve">Gross profit</t>
  </si>
  <si>
    <t xml:space="preserve">CM1</t>
  </si>
  <si>
    <t xml:space="preserve">CM2</t>
  </si>
  <si>
    <t xml:space="preserve">Check: net revenue less Channel_PL net revenue (must be zero)</t>
  </si>
  <si>
    <t xml:space="preserve">Check: CM2 less Channel_PL CM2 (must be zero)</t>
  </si>
  <si>
    <t xml:space="preserve">CATEGORY SCORECARD (C = YTD actual, D = FY2026 outlook: actual plus forecast)</t>
  </si>
  <si>
    <t xml:space="preserve">Cookware: net revenue</t>
  </si>
  <si>
    <t xml:space="preserve">YTD actual / FY26 outlook</t>
  </si>
  <si>
    <t xml:space="preserve">Cookware: CM2</t>
  </si>
  <si>
    <t xml:space="preserve">Cookware: CM2 %</t>
  </si>
  <si>
    <t xml:space="preserve">Cookware: days of inventory at last actual month</t>
  </si>
  <si>
    <t xml:space="preserve">Knives: net revenue</t>
  </si>
  <si>
    <t xml:space="preserve">Knives: CM2</t>
  </si>
  <si>
    <t xml:space="preserve">Knives: CM2 %</t>
  </si>
  <si>
    <t xml:space="preserve">Knives: days of inventory at last actual month</t>
  </si>
  <si>
    <t xml:space="preserve">Textiles: net revenue</t>
  </si>
  <si>
    <t xml:space="preserve">Textiles: CM2</t>
  </si>
  <si>
    <t xml:space="preserve">Textiles: CM2 %</t>
  </si>
  <si>
    <t xml:space="preserve">Textiles: days of inventory at last actual month</t>
  </si>
  <si>
    <t xml:space="preserve">Tableware: net revenue</t>
  </si>
  <si>
    <t xml:space="preserve">Tableware: CM2</t>
  </si>
  <si>
    <t xml:space="preserve">Tableware: CM2 %</t>
  </si>
  <si>
    <t xml:space="preserve">Tableware: days of inventory at last actual month</t>
  </si>
  <si>
    <t xml:space="preserve">Storage: net revenue</t>
  </si>
  <si>
    <t xml:space="preserve">Storage: CM2</t>
  </si>
  <si>
    <t xml:space="preserve">Storage: CM2 %</t>
  </si>
  <si>
    <t xml:space="preserve">Storage: days of inventory at last actual month</t>
  </si>
  <si>
    <t xml:space="preserve">SETTLEMENTS: GROSS SALES TO NET PAYOUT BRIDGE AND MARKETPLACE RECEIVABLES (EUR)</t>
  </si>
  <si>
    <t xml:space="preserve">Each channel: amount charged to customers incl. VAT, less refunds, less fees the platform deducts before paying out, equals the net settlement accrued. Receivable roll: opening + accrued - payouts = closing. Actual payouts per bank; forecast payouts sized to the settlement lag on Assumptions.</t>
  </si>
  <si>
    <t xml:space="preserve">Charged to customers incl. VAT (gross less discounts plus shipping)</t>
  </si>
  <si>
    <t xml:space="preserve">Channel_PL x (1 + VAT)</t>
  </si>
  <si>
    <t xml:space="preserve">Refunds to customers incl. VAT</t>
  </si>
  <si>
    <t xml:space="preserve">Fees and advertising deducted by the platform before payout</t>
  </si>
  <si>
    <t xml:space="preserve">NET SETTLEMENT ACCRUED</t>
  </si>
  <si>
    <t xml:space="preserve">charged less refunds less fees</t>
  </si>
  <si>
    <t xml:space="preserve">Opening receivable</t>
  </si>
  <si>
    <t xml:space="preserve">prior month closing</t>
  </si>
  <si>
    <t xml:space="preserve">Forecast closing receivable (accrued x lag / days in month)</t>
  </si>
  <si>
    <t xml:space="preserve">settlement lag on Assumptions</t>
  </si>
  <si>
    <t xml:space="preserve">Payouts received (cash)</t>
  </si>
  <si>
    <t xml:space="preserve">A: bank; F: opening + accrued - forecast closing</t>
  </si>
  <si>
    <t xml:space="preserve">CLOSING RECEIVABLE (incl. reserve)</t>
  </si>
  <si>
    <t xml:space="preserve">opening + accrued + payouts</t>
  </si>
  <si>
    <t xml:space="preserve">Days outstanding (closing / accrued x days in month)</t>
  </si>
  <si>
    <t xml:space="preserve">Charged to customers incl. VAT (gross less discounts)</t>
  </si>
  <si>
    <t xml:space="preserve">Charged to customers incl. VAT</t>
  </si>
  <si>
    <t xml:space="preserve">Refunds incl. VAT</t>
  </si>
  <si>
    <t xml:space="preserve">Fees and advertising deducted</t>
  </si>
  <si>
    <t xml:space="preserve">Net settlement accrued</t>
  </si>
  <si>
    <t xml:space="preserve">MARKETPLACE RECEIVABLES (to balance sheet)</t>
  </si>
  <si>
    <t xml:space="preserve">Blended days outstanding</t>
  </si>
  <si>
    <t xml:space="preserve">REFUND LIABILITY (expected refunds on month-end sales still inside the return window)</t>
  </si>
  <si>
    <t xml:space="preserve">Opening refund liability</t>
  </si>
  <si>
    <t xml:space="preserve">CLOSING REFUND LIABILITY (refunds of the month x window days / days in month)</t>
  </si>
  <si>
    <t xml:space="preserve">Movement: (charge) / release to P&amp;L</t>
  </si>
  <si>
    <t xml:space="preserve">INVENTORY: ON HAND, IN TRANSIT, SUPPLIER DEPOSITS, PURCHASING POLICY AND PROVISIONS (EUR)</t>
  </si>
  <si>
    <t xml:space="preserve">On-hand roll by category: opening + receipts (committed POs from the register plus uncommitted policy purchases) + recovered returns - cost of goods shipped - write-offs = closing. In transit and deposits follow the PO register dates for committed orders and the lead-time assumptions for uncommitted purchases.</t>
  </si>
  <si>
    <t xml:space="preserve">Opening inventory on hand</t>
  </si>
  <si>
    <t xml:space="preserve">prior month</t>
  </si>
  <si>
    <t xml:space="preserve">Receipts: committed POs landed (register)</t>
  </si>
  <si>
    <t xml:space="preserve">SUMIFS Purchase_Orders by ETA month</t>
  </si>
  <si>
    <t xml:space="preserve">Target closing inventory (days of cover x next month cost of goods)</t>
  </si>
  <si>
    <t xml:space="preserve">Assumptions policy</t>
  </si>
  <si>
    <t xml:space="preserve">Receipts: uncommitted purchases required by policy</t>
  </si>
  <si>
    <t xml:space="preserve">only beyond the deposit lead time: max(0, target - opening - recovered + COGS + write-offs - committed)</t>
  </si>
  <si>
    <t xml:space="preserve">Returned stock recovered to sellable inventory</t>
  </si>
  <si>
    <t xml:space="preserve">Write-offs (damaged, unsellable)</t>
  </si>
  <si>
    <t xml:space="preserve">A: Inputs; F: rate x COGS</t>
  </si>
  <si>
    <t xml:space="preserve">CLOSING INVENTORY ON HAND</t>
  </si>
  <si>
    <t xml:space="preserve">opening + receipts + recovered - COGS - write-offs</t>
  </si>
  <si>
    <t xml:space="preserve">Days of inventory on hand (closing / COGS x days)</t>
  </si>
  <si>
    <t xml:space="preserve">Trailing three-month average cost of goods</t>
  </si>
  <si>
    <t xml:space="preserve">Excess over slow-moving threshold (closing less months of cover x average COGS)</t>
  </si>
  <si>
    <t xml:space="preserve">Slow-moving provision balance</t>
  </si>
  <si>
    <t xml:space="preserve">rate x excess</t>
  </si>
  <si>
    <t xml:space="preserve">TOTAL INVENTORY ON HAND</t>
  </si>
  <si>
    <t xml:space="preserve">Receipts: committed POs landed</t>
  </si>
  <si>
    <t xml:space="preserve">Receipts: uncommitted purchases (policy)</t>
  </si>
  <si>
    <t xml:space="preserve">Total receipts landed</t>
  </si>
  <si>
    <t xml:space="preserve">committed + uncommitted</t>
  </si>
  <si>
    <t xml:space="preserve">Write-offs</t>
  </si>
  <si>
    <t xml:space="preserve">CLOSING INVENTORY ON HAND (gross)</t>
  </si>
  <si>
    <t xml:space="preserve">CLOSING INVENTORY ON HAND, NET (to balance sheet)</t>
  </si>
  <si>
    <t xml:space="preserve">gross less provision</t>
  </si>
  <si>
    <t xml:space="preserve">Provision movement (charge)/release to P&amp;L</t>
  </si>
  <si>
    <t xml:space="preserve">closing less opening provision</t>
  </si>
  <si>
    <t xml:space="preserve">Days of inventory on hand, total</t>
  </si>
  <si>
    <t xml:space="preserve">Forward weeks of cover (closing / next month COGS x days / 7)</t>
  </si>
  <si>
    <t xml:space="preserve">UNCOMMITTED (POLICY) PURCHASE FLOWS AT FOB</t>
  </si>
  <si>
    <t xml:space="preserve">Policy purchases received at FOB (landed / (1 + uplift))</t>
  </si>
  <si>
    <t xml:space="preserve">Policy purchases shipped at FOB (received in the month after shipment; beyond the horizon assumed equal to the last modelled month)</t>
  </si>
  <si>
    <t xml:space="preserve">INDEX by lead time</t>
  </si>
  <si>
    <t xml:space="preserve">Policy purchases: deposits paid at order</t>
  </si>
  <si>
    <t xml:space="preserve">deposit share x FOB received in month + deposit lead</t>
  </si>
  <si>
    <t xml:space="preserve">Policy purchases: balances paid at shipment</t>
  </si>
  <si>
    <t xml:space="preserve">(1 - deposit share) x FOB shipped</t>
  </si>
  <si>
    <t xml:space="preserve">INVENTORY IN TRANSIT (FOB value, title passes at shipment)</t>
  </si>
  <si>
    <t xml:space="preserve">Opening in transit</t>
  </si>
  <si>
    <t xml:space="preserve">Shipped by suppliers (committed by ETD month plus policy)</t>
  </si>
  <si>
    <t xml:space="preserve">SUMIFS register + policy</t>
  </si>
  <si>
    <t xml:space="preserve">Received into warehouses at FOB (committed by ETA month plus policy)</t>
  </si>
  <si>
    <t xml:space="preserve">CLOSING IN TRANSIT (to balance sheet)</t>
  </si>
  <si>
    <t xml:space="preserve">Freight, duty and inbound handling on receipts (landed less FOB), to trade payables</t>
  </si>
  <si>
    <t xml:space="preserve">SUPPLIER DEPOSITS AND PREPAYMENTS</t>
  </si>
  <si>
    <t xml:space="preserve">Opening supplier deposits</t>
  </si>
  <si>
    <t xml:space="preserve">Deposits paid at order (committed by deposit month plus policy)</t>
  </si>
  <si>
    <t xml:space="preserve">Balances paid at shipment (committed by ETD month plus policy)</t>
  </si>
  <si>
    <t xml:space="preserve">Transferred to inventory in transit at shipment</t>
  </si>
  <si>
    <t xml:space="preserve">= - shipped FOB</t>
  </si>
  <si>
    <t xml:space="preserve">CLOSING SUPPLIER DEPOSITS (to balance sheet)</t>
  </si>
  <si>
    <t xml:space="preserve">CASH PAID TO INVENTORY SUPPLIERS (deposits plus balances)</t>
  </si>
  <si>
    <t xml:space="preserve">to cash flow</t>
  </si>
  <si>
    <t xml:space="preserve">MEMO: INVENTORY BY LOCATION (share assumptions in column C applied to closing on hand)</t>
  </si>
  <si>
    <t xml:space="preserve">Share of on-hand stock at Amazon FBA (assumption)</t>
  </si>
  <si>
    <t xml:space="preserve">input</t>
  </si>
  <si>
    <t xml:space="preserve">Share of on-hand stock at Walmart WFS (assumption)</t>
  </si>
  <si>
    <t xml:space="preserve">of which at Amazon FBA warehouses</t>
  </si>
  <si>
    <t xml:space="preserve">share x closing</t>
  </si>
  <si>
    <t xml:space="preserve">of which at Walmart WFS warehouses</t>
  </si>
  <si>
    <t xml:space="preserve">of which at the Rotterdam 3PL</t>
  </si>
  <si>
    <t xml:space="preserve">remainder</t>
  </si>
  <si>
    <t xml:space="preserve">Location shares are memo assumptions (FBA 30%, WFS 8%); a live FBA inventory ledger and WFS report would replace them in a client build.</t>
  </si>
  <si>
    <t xml:space="preserve">PURCHASE ORDER REGISTER AND COMMITMENTS (FICTIONAL SUPPLIERS)</t>
  </si>
  <si>
    <t xml:space="preserve">Source of every inventory receipt, supplier deposit, balance payment and in-transit movement in the model (actual and committed). Status is computed against the last actual month. Blue = input.</t>
  </si>
  <si>
    <t xml:space="preserve">PO ref</t>
  </si>
  <si>
    <t xml:space="preserve">Supplier</t>
  </si>
  <si>
    <t xml:space="preserve">Category</t>
  </si>
  <si>
    <t xml:space="preserve">PO date</t>
  </si>
  <si>
    <t xml:space="preserve">Deposit %</t>
  </si>
  <si>
    <t xml:space="preserve">FOB value (EUR)</t>
  </si>
  <si>
    <t xml:space="preserve">Deposit (EUR)</t>
  </si>
  <si>
    <t xml:space="preserve">Deposit paid</t>
  </si>
  <si>
    <t xml:space="preserve">ETD (ship date)</t>
  </si>
  <si>
    <t xml:space="preserve">Balance (EUR)</t>
  </si>
  <si>
    <t xml:space="preserve">Balance paid</t>
  </si>
  <si>
    <t xml:space="preserve">ETA (arrival)</t>
  </si>
  <si>
    <t xml:space="preserve">Landed uplift</t>
  </si>
  <si>
    <t xml:space="preserve">Landed value (EUR)</t>
  </si>
  <si>
    <t xml:space="preserve">Status at last actual</t>
  </si>
  <si>
    <t xml:space="preserve">Deposit month</t>
  </si>
  <si>
    <t xml:space="preserve">ETD month</t>
  </si>
  <si>
    <t xml:space="preserve">ETA month</t>
  </si>
  <si>
    <t xml:space="preserve">PO-2025-041</t>
  </si>
  <si>
    <t xml:space="preserve">Foshan Crestware Manufacturing Co.</t>
  </si>
  <si>
    <t xml:space="preserve">Cookware</t>
  </si>
  <si>
    <t xml:space="preserve">PO-2025-044</t>
  </si>
  <si>
    <t xml:space="preserve">Chaozhou Terra Ceramics Co.</t>
  </si>
  <si>
    <t xml:space="preserve">Tableware</t>
  </si>
  <si>
    <t xml:space="preserve">PO-2025-047</t>
  </si>
  <si>
    <t xml:space="preserve">Yangjiang Edgeline Cutlery Ltd</t>
  </si>
  <si>
    <t xml:space="preserve">Knives</t>
  </si>
  <si>
    <t xml:space="preserve">PO-2025-049</t>
  </si>
  <si>
    <t xml:space="preserve">Ningbo Homeform Plastics Co.</t>
  </si>
  <si>
    <t xml:space="preserve">Storage</t>
  </si>
  <si>
    <t xml:space="preserve">PO-2026-003</t>
  </si>
  <si>
    <t xml:space="preserve">Guimaraes Textil Norte Lda</t>
  </si>
  <si>
    <t xml:space="preserve">Textiles</t>
  </si>
  <si>
    <t xml:space="preserve">PO-2026-007</t>
  </si>
  <si>
    <t xml:space="preserve">PO-2026-011</t>
  </si>
  <si>
    <t xml:space="preserve">PO-2026-014</t>
  </si>
  <si>
    <t xml:space="preserve">PO-2026-018</t>
  </si>
  <si>
    <t xml:space="preserve">PO-2026-022</t>
  </si>
  <si>
    <t xml:space="preserve">PO-2026-024</t>
  </si>
  <si>
    <t xml:space="preserve">PO-2026-025</t>
  </si>
  <si>
    <t xml:space="preserve">PO-2026-026</t>
  </si>
  <si>
    <t xml:space="preserve">PO-2026-029</t>
  </si>
  <si>
    <t xml:space="preserve">PO-2026-031</t>
  </si>
  <si>
    <t xml:space="preserve">PO-2026-034</t>
  </si>
  <si>
    <t xml:space="preserve">PO-2026-037</t>
  </si>
  <si>
    <t xml:space="preserve">PO-2026-040</t>
  </si>
  <si>
    <t xml:space="preserve">PO-2026-043</t>
  </si>
  <si>
    <t xml:space="preserve">Open commitments at the last actual month (POs not yet received)</t>
  </si>
  <si>
    <t xml:space="preserve">FOB value of open POs (EUR)</t>
  </si>
  <si>
    <t xml:space="preserve">of which deposits already paid (EUR)</t>
  </si>
  <si>
    <t xml:space="preserve">of which balances already paid on shipped POs (EUR)</t>
  </si>
  <si>
    <t xml:space="preserve">Cash still to pay on open POs (EUR)</t>
  </si>
  <si>
    <t xml:space="preserve">Landed value of open POs (EUR)</t>
  </si>
  <si>
    <t xml:space="preserve">Payment terms: Asian suppliers 30% deposit at order, 70% at shipment (FOB); Portuguese supplier 50/50. Freight, duty and inbound handling are billed by the forwarder on arrival and sit in trade payables (logistics).</t>
  </si>
  <si>
    <t xml:space="preserve">AGED RECEIVABLES AND OTHER RECEIVABLES AT THE LAST ACTUAL MONTH (EUR)</t>
  </si>
  <si>
    <t xml:space="preserve">Marketplace receivables are settlement balances not yet paid out, aged by expected settlement date. Other receivables age by due date. The group totals must agree with the balance sheet.</t>
  </si>
  <si>
    <t xml:space="preserve">As at</t>
  </si>
  <si>
    <t xml:space="preserve">Counterparty</t>
  </si>
  <si>
    <t xml:space="preserve">Item / document</t>
  </si>
  <si>
    <t xml:space="preserve">Group</t>
  </si>
  <si>
    <t xml:space="preserve">Amount (EUR)</t>
  </si>
  <si>
    <t xml:space="preserve">Due / expected date</t>
  </si>
  <si>
    <t xml:space="preserve">Days past due</t>
  </si>
  <si>
    <t xml:space="preserve">Not yet due</t>
  </si>
  <si>
    <t xml:space="preserve">1 to 30</t>
  </si>
  <si>
    <t xml:space="preserve">31 to 60</t>
  </si>
  <si>
    <t xml:space="preserve">61 to 90</t>
  </si>
  <si>
    <t xml:space="preserve">Over 90</t>
  </si>
  <si>
    <t xml:space="preserve">Action / note</t>
  </si>
  <si>
    <t xml:space="preserve">Shopify International Ltd</t>
  </si>
  <si>
    <t xml:space="preserve">Shopify Payments: payouts in transit, orders 29 to 31 Aug</t>
  </si>
  <si>
    <t xml:space="preserve">Marketplace</t>
  </si>
  <si>
    <t xml:space="preserve">Settles daily; no action.</t>
  </si>
  <si>
    <t xml:space="preserve">Amazon EU S.a r.l.</t>
  </si>
  <si>
    <t xml:space="preserve">Open settlement period 19 Aug to 1 Sep (unsettled balance)</t>
  </si>
  <si>
    <t xml:space="preserve">Settles on the 14-day cycle; reconcile the 1-Sep settlement report to the ledger.</t>
  </si>
  <si>
    <t xml:space="preserve">Reserve (unavailable balance, roughly 7 days)</t>
  </si>
  <si>
    <t xml:space="preserve">Ask account health for a reserve review after 90 days of clean metrics.</t>
  </si>
  <si>
    <t xml:space="preserve">A-to-z claims and refund adjustments under review</t>
  </si>
  <si>
    <t xml:space="preserve">Contest claims with tracking evidence within the 30-day window.</t>
  </si>
  <si>
    <t xml:space="preserve">Walmart.com (Walmart Marketplace)</t>
  </si>
  <si>
    <t xml:space="preserve">Settlement cycle 18 to 31 Aug</t>
  </si>
  <si>
    <t xml:space="preserve">Biweekly cycle; convert at the settlement-date rate.</t>
  </si>
  <si>
    <t xml:space="preserve">Reserve (14-day new-seller hold)</t>
  </si>
  <si>
    <t xml:space="preserve">Hold expected to lapse after six months of clean performance.</t>
  </si>
  <si>
    <t xml:space="preserve">FBA lost and damaged inventory reimbursement claim, raised 15-Jul-26</t>
  </si>
  <si>
    <t xml:space="preserve">Other</t>
  </si>
  <si>
    <t xml:space="preserve">46 days open: escalate through Seller Support; write off if unresolved by 31-Oct.</t>
  </si>
  <si>
    <t xml:space="preserve">Nationale Assuradeuren N.V.</t>
  </si>
  <si>
    <t xml:space="preserve">Prepaid insurance, cover to Mar-27</t>
  </si>
  <si>
    <t xml:space="preserve">Prepayment, released monthly; not a receivable.</t>
  </si>
  <si>
    <t xml:space="preserve">Amsterdam Werkplek B.V.</t>
  </si>
  <si>
    <t xml:space="preserve">Office rent deposit</t>
  </si>
  <si>
    <t xml:space="preserve">Refundable at lease end.</t>
  </si>
  <si>
    <t xml:space="preserve">Share of total</t>
  </si>
  <si>
    <t xml:space="preserve">Marketplace and payment receivables: aging total vs balance sheet</t>
  </si>
  <si>
    <t xml:space="preserve">Ledger balance</t>
  </si>
  <si>
    <t xml:space="preserve">Difference</t>
  </si>
  <si>
    <t xml:space="preserve">Other receivables and prepaid expenses: aging total vs balance sheet</t>
  </si>
  <si>
    <t xml:space="preserve">AGED PAYABLES AT THE LAST ACTUAL MONTH (EUR)</t>
  </si>
  <si>
    <t xml:space="preserve">Open supplier invoices at the last actual month, aged by due date. Group totals must agree with the AP_Schedule closing balances. Inventory suppliers are prepaid (deposits and balances before shipment) and therefore carry no trade payable.</t>
  </si>
  <si>
    <t xml:space="preserve">Rotterdam Fulfilment Partners B.V.</t>
  </si>
  <si>
    <t xml:space="preserve">Invoice RFP-2608: August pick, pack and packaging</t>
  </si>
  <si>
    <t xml:space="preserve">Logistics</t>
  </si>
  <si>
    <t xml:space="preserve">30-day terms; approved for the 25-Sep run.</t>
  </si>
  <si>
    <t xml:space="preserve">Benelux Parcel Services B.V.</t>
  </si>
  <si>
    <t xml:space="preserve">August carrier invoice (parcels and returns)</t>
  </si>
  <si>
    <t xml:space="preserve">Reconcile surcharge lines to the rate card before release.</t>
  </si>
  <si>
    <t xml:space="preserve">Northsea Freight Forwarding B.V.</t>
  </si>
  <si>
    <t xml:space="preserve">FCL freight, duty and handling on PO-2026-022 (arrived 20-Aug)</t>
  </si>
  <si>
    <t xml:space="preserve">Matches the landed cost posted on receipt.</t>
  </si>
  <si>
    <t xml:space="preserve">Invoice NF-1177: disputed demurrage charge, June arrival</t>
  </si>
  <si>
    <t xml:space="preserve">47 days overdue, disputed: forwarder failed to book the customs slot. Hold pending credit note.</t>
  </si>
  <si>
    <t xml:space="preserve">Meta Platforms Ireland Ltd</t>
  </si>
  <si>
    <t xml:space="preserve">August advertising invoice</t>
  </si>
  <si>
    <t xml:space="preserve">Reverse-charged VAT; pays on the 10th.</t>
  </si>
  <si>
    <t xml:space="preserve">Google Ireland Ltd</t>
  </si>
  <si>
    <t xml:space="preserve">August plan and apps</t>
  </si>
  <si>
    <t xml:space="preserve">Other opex</t>
  </si>
  <si>
    <t xml:space="preserve">Card on file.</t>
  </si>
  <si>
    <t xml:space="preserve">Klaviyo, Gorgias and SaaS stack</t>
  </si>
  <si>
    <t xml:space="preserve">August subscriptions</t>
  </si>
  <si>
    <t xml:space="preserve">Reverse-charged VAT.</t>
  </si>
  <si>
    <t xml:space="preserve">Van der Berg Accountants B.V.</t>
  </si>
  <si>
    <t xml:space="preserve">August accounting and payroll fee</t>
  </si>
  <si>
    <t xml:space="preserve">SupportDesk Lisboa Lda</t>
  </si>
  <si>
    <t xml:space="preserve">August customer service (per order)</t>
  </si>
  <si>
    <t xml:space="preserve">Studio Nordlicht B.V.</t>
  </si>
  <si>
    <t xml:space="preserve">August content production</t>
  </si>
  <si>
    <t xml:space="preserve">September rent, invoiced in advance</t>
  </si>
  <si>
    <t xml:space="preserve">Paid 1-Sep.</t>
  </si>
  <si>
    <t xml:space="preserve">Q3 insurance instalment</t>
  </si>
  <si>
    <t xml:space="preserve">VAT-exempt.</t>
  </si>
  <si>
    <t xml:space="preserve">Sundry suppliers (11 invoices under EUR 1,000)</t>
  </si>
  <si>
    <t xml:space="preserve">Office, travel, recruitment, other G&amp;A</t>
  </si>
  <si>
    <t xml:space="preserve">Per the AP ledger listing.</t>
  </si>
  <si>
    <t xml:space="preserve">Logistics and fulfilment: aging total vs schedule</t>
  </si>
  <si>
    <t xml:space="preserve">Paid media: aging total vs schedule</t>
  </si>
  <si>
    <t xml:space="preserve">Other opex: aging total vs schedule</t>
  </si>
  <si>
    <t xml:space="preserve">TRADE PAYABLES BY SUPPLIER GROUP (EUR, VAT-inclusive where VAT applies)</t>
  </si>
  <si>
    <t xml:space="preserve">Roll per group: opening + accrued - paid = closing. Accruals are gross of NL VAT where the supplier charges it (share on Assumptions); foreign ad platforms and Amazon Services are reverse-charged. Actual payments per bank; forecast payments sized to the DPO per group.</t>
  </si>
  <si>
    <t xml:space="preserve">LOGISTICS AND FULFILMENT (carrier, 3PL, FBA inbound, forwarder freight and duty)</t>
  </si>
  <si>
    <t xml:space="preserve">Opening balance</t>
  </si>
  <si>
    <t xml:space="preserve">Accrued (invoices for the month, VAT-inclusive where applicable)</t>
  </si>
  <si>
    <t xml:space="preserve">Channel_PL / Inventory / Opex</t>
  </si>
  <si>
    <t xml:space="preserve">Forecast closing balance (accrued x DPO / days in month)</t>
  </si>
  <si>
    <t xml:space="preserve">Paid (cash)</t>
  </si>
  <si>
    <t xml:space="preserve">CLOSING BALANCE</t>
  </si>
  <si>
    <t xml:space="preserve">Days payable outstanding (closing / accrued x days)</t>
  </si>
  <si>
    <t xml:space="preserve">PAID MEDIA (Meta, Google; reverse-charged VAT)</t>
  </si>
  <si>
    <t xml:space="preserve">OTHER OPEX SUPPLIERS</t>
  </si>
  <si>
    <t xml:space="preserve">ALL GROUPS</t>
  </si>
  <si>
    <t xml:space="preserve">Accrued</t>
  </si>
  <si>
    <t xml:space="preserve">TRADE PAYABLES (to balance sheet)</t>
  </si>
  <si>
    <t xml:space="preserve">VAT: OUTPUT, INPUT, PAYABLE ROLL AND PAYMENTS (EUR)</t>
  </si>
  <si>
    <t xml:space="preserve">Output VAT on EU sales at blended NL/OSS rates (Walmart US exports zero-rated). Input VAT on domestic services and capex. Import VAT on goods is deferred under the Article 23 licence (reverse charged, no cash). Payable roll: opening + net charge - paid = closing; paid quarterly in the month after quarter end.</t>
  </si>
  <si>
    <t xml:space="preserve">OUTPUT VAT</t>
  </si>
  <si>
    <t xml:space="preserve">Shopify EU: (gross less discounts less refunds plus shipping) x rate</t>
  </si>
  <si>
    <t xml:space="preserve">Channel_PL x Assumptions</t>
  </si>
  <si>
    <t xml:space="preserve">Amazon EU: (gross less discounts less refunds) x rate</t>
  </si>
  <si>
    <t xml:space="preserve">Walmart US: exports zero-rated</t>
  </si>
  <si>
    <t xml:space="preserve">Total output VAT</t>
  </si>
  <si>
    <t xml:space="preserve">INPUT VAT (recoverable)</t>
  </si>
  <si>
    <t xml:space="preserve">Carrier and 3PL (share bearing NL VAT)</t>
  </si>
  <si>
    <t xml:space="preserve">Other opex (share bearing NL VAT)</t>
  </si>
  <si>
    <t xml:space="preserve">Capex</t>
  </si>
  <si>
    <t xml:space="preserve">Total input VAT</t>
  </si>
  <si>
    <t xml:space="preserve">VAT PAYABLE</t>
  </si>
  <si>
    <t xml:space="preserve">Net VAT charge for the month (output less input)</t>
  </si>
  <si>
    <t xml:space="preserve">Opening VAT payable</t>
  </si>
  <si>
    <t xml:space="preserve">VAT paid (quarter balance settled in the month after quarter end)</t>
  </si>
  <si>
    <t xml:space="preserve">CLOSING VAT PAYABLE (to balance sheet)</t>
  </si>
  <si>
    <t xml:space="preserve">MEMO</t>
  </si>
  <si>
    <t xml:space="preserve">Import VAT deferred under Article 23 (FOB received x NL rate; declared and reclaimed on the same return, no cash)</t>
  </si>
  <si>
    <t xml:space="preserve">Duty is paid to customs through the forwarder and is part of landed cost. OSS and NL returns are both quarterly; the model assumes both are paid in the month after quarter end.</t>
  </si>
  <si>
    <t xml:space="preserve">OPERATING EXPENSES AND HEADCOUNT (EUR, ex VAT)</t>
  </si>
  <si>
    <t xml:space="preserve">Actual months from Inputs_Actuals. Forecast: salaries from the headcount table (planned hires switched by the scenario); fixed lines from the monthly base in column C with inflation from FY27; discretionary lines scaled by the scenario factor; customer service per order and bank charges as a share of net revenue.</t>
  </si>
  <si>
    <t xml:space="preserve">HEADCOUNT TABLE (C = monthly employer cost, D = start month; existing roles at cost, planned hires only if the scenario allows)</t>
  </si>
  <si>
    <t xml:space="preserve">Founder and CEO</t>
  </si>
  <si>
    <t xml:space="preserve">employer cost x inflation x active flag</t>
  </si>
  <si>
    <t xml:space="preserve">Customer Experience Lead</t>
  </si>
  <si>
    <t xml:space="preserve">Content and Creative Lead</t>
  </si>
  <si>
    <t xml:space="preserve">Marketplace Specialist (Amazon, Walmart)</t>
  </si>
  <si>
    <t xml:space="preserve">Warehouse and Inventory Coordinator</t>
  </si>
  <si>
    <t xml:space="preserve">Customer Support Agent 1</t>
  </si>
  <si>
    <t xml:space="preserve">Customer Support Agent 2</t>
  </si>
  <si>
    <t xml:space="preserve">CRM and Email Specialist</t>
  </si>
  <si>
    <t xml:space="preserve">Planned hire: Customer Support Agent 3</t>
  </si>
  <si>
    <t xml:space="preserve">Planned hire: Growth Marketing Analyst</t>
  </si>
  <si>
    <t xml:space="preserve">Planned hire: Supply Chain Planner</t>
  </si>
  <si>
    <t xml:space="preserve">Headcount plan: total monthly employer cost</t>
  </si>
  <si>
    <t xml:space="preserve">sum of roles</t>
  </si>
  <si>
    <t xml:space="preserve">count of active roles</t>
  </si>
  <si>
    <t xml:space="preserve">FORECAST MONTHLY BASE (column C, EUR per month at FY26 prices)</t>
  </si>
  <si>
    <t xml:space="preserve">Contractors and freelancers (discretionary)</t>
  </si>
  <si>
    <t xml:space="preserve">monthly base</t>
  </si>
  <si>
    <t xml:space="preserve">Travel and entertainment (discretionary)</t>
  </si>
  <si>
    <t xml:space="preserve">Content, creative and PR (non-media) (discretionary)</t>
  </si>
  <si>
    <t xml:space="preserve">Recruitment and training (discretionary)</t>
  </si>
  <si>
    <t xml:space="preserve">A: Inputs; F: see column basis</t>
  </si>
  <si>
    <t xml:space="preserve">Other opex subject to trade payables (all lines except salaries and bank charges)</t>
  </si>
  <si>
    <t xml:space="preserve">WAGE TAX AND SOCIAL CHARGES PAYABLE</t>
  </si>
  <si>
    <t xml:space="preserve">Accrued in the month (share of payroll cost)</t>
  </si>
  <si>
    <t xml:space="preserve">Paid (prior month balance remitted)</t>
  </si>
  <si>
    <t xml:space="preserve">CLOSING BALANCE (to balance sheet)</t>
  </si>
  <si>
    <t xml:space="preserve">Net salaries paid to staff in the month (cash)</t>
  </si>
  <si>
    <t xml:space="preserve">payroll cost less accrued charges</t>
  </si>
  <si>
    <t xml:space="preserve">FIXED ASSETS AND DEPRECIATION (EUR)</t>
  </si>
  <si>
    <t xml:space="preserve">Two classes, straight-line over the useful life on Assumptions. Actual capex from Inputs_Actuals; forecast maintenance capex monthly plus the website rebuild in Feb-27.</t>
  </si>
  <si>
    <t xml:space="preserve">EQUIPMENT AND FIXTURES</t>
  </si>
  <si>
    <t xml:space="preserve">Cost: opening</t>
  </si>
  <si>
    <t xml:space="preserve">Additions (capex)</t>
  </si>
  <si>
    <t xml:space="preserve">A: Inputs; F: Assumptions</t>
  </si>
  <si>
    <t xml:space="preserve">Cost: closing</t>
  </si>
  <si>
    <t xml:space="preserve">Accumulated depreciation: opening</t>
  </si>
  <si>
    <t xml:space="preserve">Depreciation charge</t>
  </si>
  <si>
    <t xml:space="preserve">min(NBV, closing cost / life)</t>
  </si>
  <si>
    <t xml:space="preserve">Accumulated depreciation: closing</t>
  </si>
  <si>
    <t xml:space="preserve">Net book value</t>
  </si>
  <si>
    <t xml:space="preserve">WEBSITE AND SOFTWARE</t>
  </si>
  <si>
    <t xml:space="preserve">Capex (to cash flow)</t>
  </si>
  <si>
    <t xml:space="preserve">Depreciation (to P&amp;L)</t>
  </si>
  <si>
    <t xml:space="preserve">NET BOOK VALUE (to balance sheet)</t>
  </si>
  <si>
    <t xml:space="preserve">TERM LOAN SCHEDULE (EUR)</t>
  </si>
  <si>
    <t xml:space="preserve">Annuity loan per Assumptions. Interest on the opening balance; current portion = principal falling due in the next 12 months from the annuity formula.</t>
  </si>
  <si>
    <t xml:space="preserve">TERM LOAN</t>
  </si>
  <si>
    <t xml:space="preserve">Monthly annuity instalment (PMT)</t>
  </si>
  <si>
    <t xml:space="preserve">Drawdowns</t>
  </si>
  <si>
    <t xml:space="preserve">none modelled</t>
  </si>
  <si>
    <t xml:space="preserve">Interest expense (paid in the month)</t>
  </si>
  <si>
    <t xml:space="preserve">opening x rate / 12</t>
  </si>
  <si>
    <t xml:space="preserve">Principal repaid</t>
  </si>
  <si>
    <t xml:space="preserve">instalment less interest, capped at the balance</t>
  </si>
  <si>
    <t xml:space="preserve">Balance after a further 12 instalments (annuity formula)</t>
  </si>
  <si>
    <t xml:space="preserve">Current portion (due within 12 months)</t>
  </si>
  <si>
    <t xml:space="preserve">closing less balance in 12 months</t>
  </si>
  <si>
    <t xml:space="preserve">Non-current portion</t>
  </si>
  <si>
    <t xml:space="preserve">Debt service (interest plus principal)</t>
  </si>
  <si>
    <t xml:space="preserve">An undrawn revolving facility per Assumptions is available as a lever; no drawdown is modelled in any scenario.</t>
  </si>
  <si>
    <t xml:space="preserve">VOLUME AND PRICE ENGINE BY CATEGORY AND CHANNEL</t>
  </si>
  <si>
    <t xml:space="preserve">Actual months link to Inputs_Actuals. Forecast months: channel units from Channel_PL run-rate x seasonality x growth, split by the latest actual category mix; prices and unit costs roll forward from the last actual month at the scenario rate.</t>
  </si>
  <si>
    <t xml:space="preserve">LANDED UNIT COST BY CATEGORY (EUR)</t>
  </si>
  <si>
    <t xml:space="preserve">Unit cost at last actual month: Cookware</t>
  </si>
  <si>
    <t xml:space="preserve">Unit cost at last actual month: Knives</t>
  </si>
  <si>
    <t xml:space="preserve">Unit cost at last actual month: Textiles</t>
  </si>
  <si>
    <t xml:space="preserve">Unit cost at last actual month: Tableware</t>
  </si>
  <si>
    <t xml:space="preserve">Unit cost at last actual month: Storage</t>
  </si>
  <si>
    <t xml:space="preserve">Landed unit cost: Cookware</t>
  </si>
  <si>
    <t xml:space="preserve">A: Inputs; F: last actual x cost inflation</t>
  </si>
  <si>
    <t xml:space="preserve">Landed unit cost: Knives</t>
  </si>
  <si>
    <t xml:space="preserve">Landed unit cost: Textiles</t>
  </si>
  <si>
    <t xml:space="preserve">Landed unit cost: Tableware</t>
  </si>
  <si>
    <t xml:space="preserve">Landed unit cost: Storage</t>
  </si>
  <si>
    <t xml:space="preserve">SHOPIFY EU (DTC): UNITS, PRICES (EUR) AND COST OF GOODS SHIPPED</t>
  </si>
  <si>
    <t xml:space="preserve">Forecast unit mix, Cookware (average of latest actual months)</t>
  </si>
  <si>
    <t xml:space="preserve">Forecast unit mix, Knives (average of latest actual months)</t>
  </si>
  <si>
    <t xml:space="preserve">Forecast unit mix, Textiles (average of latest actual months)</t>
  </si>
  <si>
    <t xml:space="preserve">Forecast unit mix, Tableware (average of latest actual months)</t>
  </si>
  <si>
    <t xml:space="preserve">Forecast unit mix, Storage (average of latest actual months)</t>
  </si>
  <si>
    <t xml:space="preserve">Units sold: Cookware</t>
  </si>
  <si>
    <t xml:space="preserve">A: Inputs; F: channel units x mix</t>
  </si>
  <si>
    <t xml:space="preserve">Units sold: Knives</t>
  </si>
  <si>
    <t xml:space="preserve">Units sold: Textiles</t>
  </si>
  <si>
    <t xml:space="preserve">Units sold: Tableware</t>
  </si>
  <si>
    <t xml:space="preserve">Units sold: Storage</t>
  </si>
  <si>
    <t xml:space="preserve">Total units sold</t>
  </si>
  <si>
    <t xml:space="preserve">Gross unit price at last actual month: Cookware</t>
  </si>
  <si>
    <t xml:space="preserve">Gross unit price at last actual month: Knives</t>
  </si>
  <si>
    <t xml:space="preserve">Gross unit price at last actual month: Textiles</t>
  </si>
  <si>
    <t xml:space="preserve">Gross unit price at last actual month: Tableware</t>
  </si>
  <si>
    <t xml:space="preserve">Gross unit price at last actual month: Storage</t>
  </si>
  <si>
    <t xml:space="preserve">Gross unit price ex VAT (EUR): Cookware</t>
  </si>
  <si>
    <t xml:space="preserve">A: Inputs; F: last actual x price change</t>
  </si>
  <si>
    <t xml:space="preserve">Gross unit price ex VAT (EUR): Knives</t>
  </si>
  <si>
    <t xml:space="preserve">Gross unit price ex VAT (EUR): Textiles</t>
  </si>
  <si>
    <t xml:space="preserve">Gross unit price ex VAT (EUR): Tableware</t>
  </si>
  <si>
    <t xml:space="preserve">Gross unit price ex VAT (EUR): Storage</t>
  </si>
  <si>
    <t xml:space="preserve">Gross sales ex VAT (EUR): Cookware</t>
  </si>
  <si>
    <t xml:space="preserve">units x price</t>
  </si>
  <si>
    <t xml:space="preserve">Gross sales ex VAT (EUR): Knives</t>
  </si>
  <si>
    <t xml:space="preserve">Gross sales ex VAT (EUR): Textiles</t>
  </si>
  <si>
    <t xml:space="preserve">Gross sales ex VAT (EUR): Tableware</t>
  </si>
  <si>
    <t xml:space="preserve">Gross sales ex VAT (EUR): Storage</t>
  </si>
  <si>
    <t xml:space="preserve">Total gross sales ex VAT (EUR)</t>
  </si>
  <si>
    <t xml:space="preserve">= local currency</t>
  </si>
  <si>
    <t xml:space="preserve">Cost of goods shipped (EUR): Cookware</t>
  </si>
  <si>
    <t xml:space="preserve">units x landed unit cost</t>
  </si>
  <si>
    <t xml:space="preserve">Cost of goods shipped (EUR): Knives</t>
  </si>
  <si>
    <t xml:space="preserve">Cost of goods shipped (EUR): Textiles</t>
  </si>
  <si>
    <t xml:space="preserve">Cost of goods shipped (EUR): Tableware</t>
  </si>
  <si>
    <t xml:space="preserve">Cost of goods shipped (EUR): Storage</t>
  </si>
  <si>
    <t xml:space="preserve">Total cost of goods shipped (EUR)</t>
  </si>
  <si>
    <t xml:space="preserve">AMAZON EU (FBA): UNITS, PRICES (EUR) AND COST OF GOODS SHIPPED</t>
  </si>
  <si>
    <t xml:space="preserve">WALMART US (WFS): UNITS, PRICES (USD) AND COST OF GOODS SHIPPED</t>
  </si>
  <si>
    <t xml:space="preserve">Gross unit price ex VAT (USD): Cookware</t>
  </si>
  <si>
    <t xml:space="preserve">Gross unit price ex VAT (USD): Knives</t>
  </si>
  <si>
    <t xml:space="preserve">Gross unit price ex VAT (USD): Textiles</t>
  </si>
  <si>
    <t xml:space="preserve">Gross unit price ex VAT (USD): Tableware</t>
  </si>
  <si>
    <t xml:space="preserve">Gross unit price ex VAT (USD): Storage</t>
  </si>
  <si>
    <t xml:space="preserve">Gross sales ex VAT (USD): Cookware</t>
  </si>
  <si>
    <t xml:space="preserve">Gross sales ex VAT (USD): Knives</t>
  </si>
  <si>
    <t xml:space="preserve">Gross sales ex VAT (USD): Textiles</t>
  </si>
  <si>
    <t xml:space="preserve">Gross sales ex VAT (USD): Tableware</t>
  </si>
  <si>
    <t xml:space="preserve">Gross sales ex VAT (USD): Storage</t>
  </si>
  <si>
    <t xml:space="preserve">Total gross sales ex VAT (USD)</t>
  </si>
  <si>
    <t xml:space="preserve">Gross sales ex VAT (EUR at Timeline rate): Cookware</t>
  </si>
  <si>
    <t xml:space="preserve">USD / FX</t>
  </si>
  <si>
    <t xml:space="preserve">Gross sales ex VAT (EUR at Timeline rate): Knives</t>
  </si>
  <si>
    <t xml:space="preserve">Gross sales ex VAT (EUR at Timeline rate): Textiles</t>
  </si>
  <si>
    <t xml:space="preserve">Gross sales ex VAT (EUR at Timeline rate): Tableware</t>
  </si>
  <si>
    <t xml:space="preserve">Gross sales ex VAT (EUR at Timeline rate): Storage</t>
  </si>
  <si>
    <t xml:space="preserve">ALDERWAY HOME B.V. (FICTIONAL DEMONSTRATION COMPANY)</t>
  </si>
  <si>
    <t xml:space="preserve">ASSUMPTIONS, TIMELINE AND SCENARIO DRIVERS</t>
  </si>
  <si>
    <t xml:space="preserve">Every input in the model lives here or on Inputs_Actuals, Purchase_Orders, Budget_FY26 and the Opex headcount table. Blue on yellow = input. Black = formula. Green = link to another sheet.</t>
  </si>
  <si>
    <t xml:space="preserve">GENERAL</t>
  </si>
  <si>
    <t xml:space="preserve">Company name</t>
  </si>
  <si>
    <t xml:space="preserve">Alderway Home B.V. (fictional demonstration company)</t>
  </si>
  <si>
    <t xml:space="preserve">All figures fictional. Netherlands B.V., financial year = calendar year, reporting currency EUR.</t>
  </si>
  <si>
    <t xml:space="preserve">Reporting currency</t>
  </si>
  <si>
    <t xml:space="preserve">Model start month (month end)</t>
  </si>
  <si>
    <t xml:space="preserve">date</t>
  </si>
  <si>
    <t xml:space="preserve">24 monthly columns from this month</t>
  </si>
  <si>
    <t xml:space="preserve">Last actual month (month end)</t>
  </si>
  <si>
    <t xml:space="preserve">Months up to and including this date are actual (fictional ledger); later months are forecast</t>
  </si>
  <si>
    <t xml:space="preserve">Last actual month number</t>
  </si>
  <si>
    <t xml:space="preserve">calc</t>
  </si>
  <si>
    <t xml:space="preserve">Scenario selector (1 = Base, 2 = Downside, 3 = Upside)</t>
  </si>
  <si>
    <t xml:space="preserve">Change this cell and every forecast month moves. Base = management case; Downside = worst case; Upside = best case.</t>
  </si>
  <si>
    <t xml:space="preserve">Scenario name</t>
  </si>
  <si>
    <t xml:space="preserve">Used by the 13-week cash forecast and the CFO report</t>
  </si>
  <si>
    <t xml:space="preserve">Committed but undrawn; lever if the buffer is breached</t>
  </si>
  <si>
    <t xml:space="preserve">Corporate income tax: first bracket threshold</t>
  </si>
  <si>
    <t xml:space="preserve">NL 2026: 19% up to EUR 200,000, 25.8% above (Belastingdienst)</t>
  </si>
  <si>
    <t xml:space="preserve">Corporate income tax: rate on first bracket</t>
  </si>
  <si>
    <t xml:space="preserve">rate</t>
  </si>
  <si>
    <t xml:space="preserve">Corporate income tax: rate above threshold</t>
  </si>
  <si>
    <t xml:space="preserve">Corporate income tax: payment month for prior-year liability</t>
  </si>
  <si>
    <t xml:space="preserve">Assumed paid in April of the following year (final assessment); no provisional assessments modelled</t>
  </si>
  <si>
    <t xml:space="preserve">NL VAT standard rate</t>
  </si>
  <si>
    <t xml:space="preserve">Blended output VAT rate on Shopify EU sales (NL + OSS destination rates)</t>
  </si>
  <si>
    <t xml:space="preserve">Blend of NL 21% and other EU destination rates under the OSS scheme</t>
  </si>
  <si>
    <t xml:space="preserve">Blended output VAT rate on Amazon EU sales (Pan-EU, OSS)</t>
  </si>
  <si>
    <t xml:space="preserve">Output VAT on Walmart US sales</t>
  </si>
  <si>
    <t xml:space="preserve">Exports zero-rated; US sales tax collected and remitted by Walmart as marketplace facilitator</t>
  </si>
  <si>
    <t xml:space="preserve">Share of carrier and 3PL cost bearing recoverable NL VAT</t>
  </si>
  <si>
    <t xml:space="preserve">share</t>
  </si>
  <si>
    <t xml:space="preserve">Share of other opex bearing recoverable NL VAT</t>
  </si>
  <si>
    <t xml:space="preserve">Remainder is reverse-charged (foreign SaaS, ad platforms) or exempt (insurance)</t>
  </si>
  <si>
    <t xml:space="preserve">Share of capex bearing recoverable NL VAT</t>
  </si>
  <si>
    <t xml:space="preserve">Wage tax and social charges as share of payroll cost, remitted the following month</t>
  </si>
  <si>
    <t xml:space="preserve">Run-rate basis for Shopify forecast: number of latest actual months</t>
  </si>
  <si>
    <t xml:space="preserve">months</t>
  </si>
  <si>
    <t xml:space="preserve">Deseasonalised average of the latest N actual months</t>
  </si>
  <si>
    <t xml:space="preserve">Run-rate basis for Amazon forecast: number of latest actual months</t>
  </si>
  <si>
    <t xml:space="preserve">Run-rate basis for Walmart forecast: number of latest actual months</t>
  </si>
  <si>
    <t xml:space="preserve">Channel launched Jan-26 and still ramping, so only the latest quarter is representative</t>
  </si>
  <si>
    <t xml:space="preserve">Forecast category mix: number of latest actual months averaged</t>
  </si>
  <si>
    <t xml:space="preserve">Refund liability: days of month-end sales still inside the return window</t>
  </si>
  <si>
    <t xml:space="preserve">days</t>
  </si>
  <si>
    <t xml:space="preserve">Provision = refunds of the month x days / days in month</t>
  </si>
  <si>
    <t xml:space="preserve">Slow-moving inventory: months of cover above which excess is provided</t>
  </si>
  <si>
    <t xml:space="preserve">Slow-moving provision rate on the excess</t>
  </si>
  <si>
    <t xml:space="preserve">Forecast inventory write-offs as share of cost of goods shipped</t>
  </si>
  <si>
    <t xml:space="preserve">Uncommitted purchases: deposit share paid at order</t>
  </si>
  <si>
    <t xml:space="preserve">Committed POs use the deposit share in the Purchase_Orders register</t>
  </si>
  <si>
    <t xml:space="preserve">Uncommitted purchases: months between deposit and receipt</t>
  </si>
  <si>
    <t xml:space="preserve">Uncommitted purchases: months between balance payment (shipment) and receipt</t>
  </si>
  <si>
    <t xml:space="preserve">Landed cost uplift on FOB: Cookware (freight, duty, inbound handling)</t>
  </si>
  <si>
    <t xml:space="preserve">Landed cost uplift on FOB: Knives (freight, duty, inbound handling)</t>
  </si>
  <si>
    <t xml:space="preserve">Landed cost uplift on FOB: Textiles (freight, duty, inbound handling)</t>
  </si>
  <si>
    <t xml:space="preserve">Landed cost uplift on FOB: Tableware (freight, duty, inbound handling)</t>
  </si>
  <si>
    <t xml:space="preserve">Landed cost uplift on FOB: Storage (freight, duty, inbound handling)</t>
  </si>
  <si>
    <t xml:space="preserve">Amazon FBA storage fee multiplier in Oct to Dec (peak season)</t>
  </si>
  <si>
    <t xml:space="preserve">x</t>
  </si>
  <si>
    <t xml:space="preserve">Amazon peak-season storage rates apply Oct to Dec</t>
  </si>
  <si>
    <t xml:space="preserve">Trade payables: days outstanding, logistics and fulfilment</t>
  </si>
  <si>
    <t xml:space="preserve">Trade payables: days outstanding, paid media (Meta, Google)</t>
  </si>
  <si>
    <t xml:space="preserve">Trade payables: days outstanding, other opex</t>
  </si>
  <si>
    <t xml:space="preserve">Customer service cost per order (outsourced)</t>
  </si>
  <si>
    <t xml:space="preserve">Bank charges and FX costs as share of net revenue</t>
  </si>
  <si>
    <t xml:space="preserve">Opex inflation applied from the second financial year</t>
  </si>
  <si>
    <t xml:space="preserve">Share of Shopify paid media on Meta (rest Google)</t>
  </si>
  <si>
    <t xml:space="preserve">Term loan: principal drawn</t>
  </si>
  <si>
    <t xml:space="preserve">Drawn Dec-25; 48 monthly annuity instalments from Jan-26</t>
  </si>
  <si>
    <t xml:space="preserve">Term loan: annual interest rate</t>
  </si>
  <si>
    <t xml:space="preserve">Term loan: term in months</t>
  </si>
  <si>
    <t xml:space="preserve">Forecast maintenance capex per month (equipment)</t>
  </si>
  <si>
    <t xml:space="preserve">Website rebuild capitalised (software) in Feb-27</t>
  </si>
  <si>
    <t xml:space="preserve">Depreciation: equipment and fixtures useful life</t>
  </si>
  <si>
    <t xml:space="preserve">years</t>
  </si>
  <si>
    <t xml:space="preserve">Depreciation: website and software useful life</t>
  </si>
  <si>
    <t xml:space="preserve">Aged receivables and payables: as-at date</t>
  </si>
  <si>
    <t xml:space="preserve">TIMELINE (24 months)</t>
  </si>
  <si>
    <t xml:space="preserve">Month end date</t>
  </si>
  <si>
    <t xml:space="preserve">Financial year</t>
  </si>
  <si>
    <t xml:space="preserve">Calendar month</t>
  </si>
  <si>
    <t xml:space="preserve">Quarter</t>
  </si>
  <si>
    <t xml:space="preserve">Days in month</t>
  </si>
  <si>
    <t xml:space="preserve">Months after the last actual month (growth compounding base)</t>
  </si>
  <si>
    <t xml:space="preserve">Seasonality index (12-month profile, FY27 repeats FY26)</t>
  </si>
  <si>
    <t xml:space="preserve">USD per EUR (actual months from bank rates; forecast from the selected scenario)</t>
  </si>
  <si>
    <t xml:space="preserve">Amazon storage fee seasonal multiplier</t>
  </si>
  <si>
    <t xml:space="preserve">VAT payment month flag (quarterly, month after quarter end)</t>
  </si>
  <si>
    <t xml:space="preserve">Corporate tax payment month flag</t>
  </si>
  <si>
    <t xml:space="preserve">Opex inflation factor</t>
  </si>
  <si>
    <t xml:space="preserve">SCENARIO DRIVERS  (C = Base, D = Downside, E = Upside, F = selected, G = YTD actual reference)</t>
  </si>
  <si>
    <t xml:space="preserve">Driver</t>
  </si>
  <si>
    <t xml:space="preserve">Selected</t>
  </si>
  <si>
    <t xml:space="preserve">Note</t>
  </si>
  <si>
    <t xml:space="preserve">Shopify unit volume growth vs deseasonalised run-rate (annualised)</t>
  </si>
  <si>
    <t xml:space="preserve">Compounds monthly from the first forecast month</t>
  </si>
  <si>
    <t xml:space="preserve">Amazon unit volume growth vs run-rate (annualised)</t>
  </si>
  <si>
    <t xml:space="preserve">Walmart unit volume growth vs run-rate (annualised)</t>
  </si>
  <si>
    <t xml:space="preserve">New channel: run-rate is the latest quarter only</t>
  </si>
  <si>
    <t xml:space="preserve">Shopify gross unit price change (annualised)</t>
  </si>
  <si>
    <t xml:space="preserve">Amazon gross unit price change (annualised)</t>
  </si>
  <si>
    <t xml:space="preserve">Walmart gross unit price change in USD (annualised)</t>
  </si>
  <si>
    <t xml:space="preserve">Shopify discounts as share of gross sales</t>
  </si>
  <si>
    <t xml:space="preserve">Amazon discounts and coupons as share of gross sales</t>
  </si>
  <si>
    <t xml:space="preserve">Walmart discounts as share of gross sales</t>
  </si>
  <si>
    <t xml:space="preserve">Shopify refunds and returns as share of gross sales</t>
  </si>
  <si>
    <t xml:space="preserve">Textiles quality issue lifted the actual rate through the year</t>
  </si>
  <si>
    <t xml:space="preserve">Amazon refunds and returns as share of gross sales</t>
  </si>
  <si>
    <t xml:space="preserve">Walmart refunds and returns as share of gross sales</t>
  </si>
  <si>
    <t xml:space="preserve">Shopify units per order</t>
  </si>
  <si>
    <t xml:space="preserve">units</t>
  </si>
  <si>
    <t xml:space="preserve">Amazon units per order</t>
  </si>
  <si>
    <t xml:space="preserve">Walmart units per order</t>
  </si>
  <si>
    <t xml:space="preserve">Shopify shipping income per order</t>
  </si>
  <si>
    <t xml:space="preserve">Landed unit cost inflation (annualised)</t>
  </si>
  <si>
    <t xml:space="preserve">Downside reflects freight and input cost spikes</t>
  </si>
  <si>
    <t xml:space="preserve">Returned units resellable and recovered to stock</t>
  </si>
  <si>
    <t xml:space="preserve">Amazon referral fee rate (Home and Kitchen)</t>
  </si>
  <si>
    <t xml:space="preserve">Amazon refund administration fee (share of referral fee retained on refunds)</t>
  </si>
  <si>
    <t xml:space="preserve">FBA fulfilment fee per unit</t>
  </si>
  <si>
    <t xml:space="preserve">FBA storage and other fees per unit sold (off-peak)</t>
  </si>
  <si>
    <t xml:space="preserve">Multiplied by the Oct to Dec peak factor on the Timeline</t>
  </si>
  <si>
    <t xml:space="preserve">FBA inbound placement and freight per unit</t>
  </si>
  <si>
    <t xml:space="preserve">Walmart referral fee rate</t>
  </si>
  <si>
    <t xml:space="preserve">Walmart WFS fulfilment fee per unit (USD)</t>
  </si>
  <si>
    <t xml:space="preserve">USD</t>
  </si>
  <si>
    <t xml:space="preserve">Walmart WFS storage per unit sold (USD)</t>
  </si>
  <si>
    <t xml:space="preserve">Shopify Payments fee rate (on VAT-inclusive amount charged)</t>
  </si>
  <si>
    <t xml:space="preserve">Shopify Payments fixed fee per order</t>
  </si>
  <si>
    <t xml:space="preserve">Chargebacks and disputes as share of gross sales</t>
  </si>
  <si>
    <t xml:space="preserve">Carrier cost per Shopify order</t>
  </si>
  <si>
    <t xml:space="preserve">Downside includes a peak surcharge</t>
  </si>
  <si>
    <t xml:space="preserve">3PL pick, pack and packaging per Shopify order</t>
  </si>
  <si>
    <t xml:space="preserve">Shopify paid media (Meta, Google) as share of net revenue</t>
  </si>
  <si>
    <t xml:space="preserve">Amazon advertising as share of net revenue</t>
  </si>
  <si>
    <t xml:space="preserve">Walmart Connect advertising as share of net revenue</t>
  </si>
  <si>
    <t xml:space="preserve">New customers as share of Shopify orders</t>
  </si>
  <si>
    <t xml:space="preserve">Shopify Payments payout lag</t>
  </si>
  <si>
    <t xml:space="preserve">Amazon settlement cycle plus reserve</t>
  </si>
  <si>
    <t xml:space="preserve">14-day cycle plus roughly 7 days reserve; Downside assumes a larger reserve</t>
  </si>
  <si>
    <t xml:space="preserve">Walmart settlement cycle plus reserve</t>
  </si>
  <si>
    <t xml:space="preserve">Inventory purchasing policy: target forward days of cover</t>
  </si>
  <si>
    <t xml:space="preserve">Uncommitted purchases sized to reach this cover on next month cost of goods</t>
  </si>
  <si>
    <t xml:space="preserve">Discretionary opex factor (contractors, travel, content, recruitment)</t>
  </si>
  <si>
    <t xml:space="preserve">Planned hires proceed (1 = yes, 0 = frozen)</t>
  </si>
  <si>
    <t xml:space="preserve">flag</t>
  </si>
  <si>
    <t xml:space="preserve">USD per EUR, forecast months</t>
  </si>
  <si>
    <t xml:space="preserve">Actual months use the bank rate on the Timeline</t>
  </si>
  <si>
    <t xml:space="preserve">INPUTS: ACTUAL MONTHS (FICTIONAL LEDGER, SETTLEMENT REPORTS AND OPERATIONS DATA)</t>
  </si>
  <si>
    <t xml:space="preserve">Jan-26 to Aug-26 are fictional actuals entered here as inputs. Forecast months are blank by design: they are driven from Assumptions. Walmart amounts are entered in USD as reported by Walmart Seller Center.</t>
  </si>
  <si>
    <t xml:space="preserve">VOLUMES (orders and units by channel and category)</t>
  </si>
  <si>
    <t xml:space="preserve">order export</t>
  </si>
  <si>
    <t xml:space="preserve">Shopify EU (DTC): units sold, Cookware</t>
  </si>
  <si>
    <t xml:space="preserve">Shopify EU (DTC): units sold, Knives</t>
  </si>
  <si>
    <t xml:space="preserve">Shopify EU (DTC): units sold, Textiles</t>
  </si>
  <si>
    <t xml:space="preserve">Shopify EU (DTC): units sold, Tableware</t>
  </si>
  <si>
    <t xml:space="preserve">Shopify EU (DTC): units sold, Storage</t>
  </si>
  <si>
    <t xml:space="preserve">Shopify EU (DTC): total units (calc)</t>
  </si>
  <si>
    <t xml:space="preserve">sum of category units</t>
  </si>
  <si>
    <t xml:space="preserve">Amazon EU (FBA): units sold, Cookware</t>
  </si>
  <si>
    <t xml:space="preserve">Amazon EU (FBA): units sold, Knives</t>
  </si>
  <si>
    <t xml:space="preserve">Amazon EU (FBA): units sold, Textiles</t>
  </si>
  <si>
    <t xml:space="preserve">Amazon EU (FBA): units sold, Tableware</t>
  </si>
  <si>
    <t xml:space="preserve">Amazon EU (FBA): units sold, Storage</t>
  </si>
  <si>
    <t xml:space="preserve">Amazon EU (FBA): total units (calc)</t>
  </si>
  <si>
    <t xml:space="preserve">Walmart US (WFS): units sold, Cookware</t>
  </si>
  <si>
    <t xml:space="preserve">Walmart US (WFS): units sold, Knives</t>
  </si>
  <si>
    <t xml:space="preserve">Walmart US (WFS): units sold, Textiles</t>
  </si>
  <si>
    <t xml:space="preserve">Walmart US (WFS): units sold, Tableware</t>
  </si>
  <si>
    <t xml:space="preserve">Walmart US (WFS): units sold, Storage</t>
  </si>
  <si>
    <t xml:space="preserve">Walmart US (WFS): total units (calc)</t>
  </si>
  <si>
    <t xml:space="preserve">Shopify: first-time customers (orders from new customers)</t>
  </si>
  <si>
    <t xml:space="preserve">Shopify customer report</t>
  </si>
  <si>
    <t xml:space="preserve">GROSS UNIT PRICES EX VAT (local currency: EUR for Shopify and Amazon, USD for Walmart)</t>
  </si>
  <si>
    <t xml:space="preserve">Shopify EU (DTC): average gross unit price, Cookware</t>
  </si>
  <si>
    <t xml:space="preserve">Shopify EU (DTC): average gross unit price, Knives</t>
  </si>
  <si>
    <t xml:space="preserve">Shopify EU (DTC): average gross unit price, Textiles</t>
  </si>
  <si>
    <t xml:space="preserve">Shopify EU (DTC): average gross unit price, Tableware</t>
  </si>
  <si>
    <t xml:space="preserve">Shopify EU (DTC): average gross unit price, Storage</t>
  </si>
  <si>
    <t xml:space="preserve">Amazon EU (FBA): average gross unit price, Cookware</t>
  </si>
  <si>
    <t xml:space="preserve">Amazon EU (FBA): average gross unit price, Knives</t>
  </si>
  <si>
    <t xml:space="preserve">Amazon EU (FBA): average gross unit price, Textiles</t>
  </si>
  <si>
    <t xml:space="preserve">Amazon EU (FBA): average gross unit price, Tableware</t>
  </si>
  <si>
    <t xml:space="preserve">Amazon EU (FBA): average gross unit price, Storage</t>
  </si>
  <si>
    <t xml:space="preserve">Walmart US (WFS): average gross unit price, Cookware</t>
  </si>
  <si>
    <t xml:space="preserve">Walmart US (WFS): average gross unit price, Knives</t>
  </si>
  <si>
    <t xml:space="preserve">Walmart US (WFS): average gross unit price, Textiles</t>
  </si>
  <si>
    <t xml:space="preserve">Walmart US (WFS): average gross unit price, Tableware</t>
  </si>
  <si>
    <t xml:space="preserve">Walmart US (WFS): average gross unit price, Storage</t>
  </si>
  <si>
    <t xml:space="preserve">DISCOUNTS, REFUNDS AND SHIPPING INCOME (local currency)</t>
  </si>
  <si>
    <t xml:space="preserve">Shopify EU (DTC): discounts and coupons</t>
  </si>
  <si>
    <t xml:space="preserve">settlement / order export</t>
  </si>
  <si>
    <t xml:space="preserve">Shopify EU (DTC): refunds and returns (value)</t>
  </si>
  <si>
    <t xml:space="preserve">settlement report</t>
  </si>
  <si>
    <t xml:space="preserve">Shopify EU (DTC): units returned</t>
  </si>
  <si>
    <t xml:space="preserve">returns report</t>
  </si>
  <si>
    <t xml:space="preserve">Shopify EU (DTC): returned stock recovered to sellable inventory (EUR at cost)</t>
  </si>
  <si>
    <t xml:space="preserve">3PL / FBA returns report</t>
  </si>
  <si>
    <t xml:space="preserve">Amazon EU (FBA): discounts and coupons</t>
  </si>
  <si>
    <t xml:space="preserve">Amazon EU (FBA): refunds and returns (value)</t>
  </si>
  <si>
    <t xml:space="preserve">Amazon EU (FBA): units returned</t>
  </si>
  <si>
    <t xml:space="preserve">Amazon EU (FBA): returned stock recovered to sellable inventory (EUR at cost)</t>
  </si>
  <si>
    <t xml:space="preserve">Walmart US (WFS): discounts and coupons</t>
  </si>
  <si>
    <t xml:space="preserve">Walmart US (WFS): refunds and returns (value)</t>
  </si>
  <si>
    <t xml:space="preserve">Walmart US (WFS): units returned</t>
  </si>
  <si>
    <t xml:space="preserve">Walmart US (WFS): returned stock recovered to sellable inventory (EUR at cost)</t>
  </si>
  <si>
    <t xml:space="preserve">Shopify: shipping charged to customers ex VAT</t>
  </si>
  <si>
    <t xml:space="preserve">CHANNEL VARIABLE COSTS (local currency; Amazon and Walmart fees per settlement reports)</t>
  </si>
  <si>
    <t xml:space="preserve">Shopify: payment processing fees and chargebacks</t>
  </si>
  <si>
    <t xml:space="preserve">settlement / invoice</t>
  </si>
  <si>
    <t xml:space="preserve">Shopify: carrier shipping cost</t>
  </si>
  <si>
    <t xml:space="preserve">Shopify: 3PL pick, pack and packaging</t>
  </si>
  <si>
    <t xml:space="preserve">Shopify: paid media, Meta</t>
  </si>
  <si>
    <t xml:space="preserve">Shopify: paid media, Google</t>
  </si>
  <si>
    <t xml:space="preserve">Amazon: referral fees (incl. refund administration fee)</t>
  </si>
  <si>
    <t xml:space="preserve">Amazon: FBA fulfilment fees</t>
  </si>
  <si>
    <t xml:space="preserve">Amazon: FBA storage, aged inventory and other fees</t>
  </si>
  <si>
    <t xml:space="preserve">Amazon: advertising (Sponsored Products and Brands)</t>
  </si>
  <si>
    <t xml:space="preserve">Amazon: FBA inbound placement and freight</t>
  </si>
  <si>
    <t xml:space="preserve">Walmart: referral fees (USD)</t>
  </si>
  <si>
    <t xml:space="preserve">Walmart: WFS fulfilment fees (USD)</t>
  </si>
  <si>
    <t xml:space="preserve">Walmart: WFS storage fees (USD)</t>
  </si>
  <si>
    <t xml:space="preserve">Walmart: Walmart Connect advertising (USD)</t>
  </si>
  <si>
    <t xml:space="preserve">LANDED UNIT COST BY CATEGORY (EUR, weighted average of stock on hand)</t>
  </si>
  <si>
    <t xml:space="preserve">inventory valuation</t>
  </si>
  <si>
    <t xml:space="preserve">INVENTORY WRITE-OFFS (EUR at cost)</t>
  </si>
  <si>
    <t xml:space="preserve">Write-offs: Cookware</t>
  </si>
  <si>
    <t xml:space="preserve">stock count adjustments</t>
  </si>
  <si>
    <t xml:space="preserve">Write-offs: Knives</t>
  </si>
  <si>
    <t xml:space="preserve">Write-offs: Textiles</t>
  </si>
  <si>
    <t xml:space="preserve">Write-offs: Tableware</t>
  </si>
  <si>
    <t xml:space="preserve">Write-offs: Storage</t>
  </si>
  <si>
    <t xml:space="preserve">OPERATING EXPENSES (EUR, ex VAT)</t>
  </si>
  <si>
    <t xml:space="preserve">ledger</t>
  </si>
  <si>
    <t xml:space="preserve">CAPITAL EXPENDITURE (EUR, ex VAT)</t>
  </si>
  <si>
    <t xml:space="preserve">Capex: equipment and fixtures</t>
  </si>
  <si>
    <t xml:space="preserve">fixed asset register</t>
  </si>
  <si>
    <t xml:space="preserve">Capex: website and software development</t>
  </si>
  <si>
    <t xml:space="preserve">CASH ACTUALS (EUR, per bank statements)</t>
  </si>
  <si>
    <t xml:space="preserve">Shopify EU (DTC): payouts received</t>
  </si>
  <si>
    <t xml:space="preserve">bank statement</t>
  </si>
  <si>
    <t xml:space="preserve">Amazon EU (FBA): payouts received</t>
  </si>
  <si>
    <t xml:space="preserve">Walmart US (WFS): payouts received</t>
  </si>
  <si>
    <t xml:space="preserve">Payments to logistics and fulfilment suppliers</t>
  </si>
  <si>
    <t xml:space="preserve">Payments to Meta and Google</t>
  </si>
  <si>
    <t xml:space="preserve">Payments to other opex suppliers</t>
  </si>
  <si>
    <t xml:space="preserve">OPENING BALANCE SHEET AT 31-DEC-25 (per FY25 signed accounts, fictional) - values in column C</t>
  </si>
  <si>
    <t xml:space="preserve">FY25 accounts</t>
  </si>
  <si>
    <t xml:space="preserve">Shopify Payments receivable</t>
  </si>
  <si>
    <t xml:space="preserve">Amazon settlement receivable incl. reserve</t>
  </si>
  <si>
    <t xml:space="preserve">Walmart settlement receivable</t>
  </si>
  <si>
    <t xml:space="preserve">Inventory on hand at landed cost: Cookware</t>
  </si>
  <si>
    <t xml:space="preserve">Inventory on hand at landed cost: Knives</t>
  </si>
  <si>
    <t xml:space="preserve">Inventory on hand at landed cost: Textiles</t>
  </si>
  <si>
    <t xml:space="preserve">Inventory on hand at landed cost: Tableware</t>
  </si>
  <si>
    <t xml:space="preserve">Inventory on hand at landed cost: Storage</t>
  </si>
  <si>
    <t xml:space="preserve">Slow-moving inventory provision</t>
  </si>
  <si>
    <t xml:space="preserve">Inventory in transit (FOB value of shipped POs)</t>
  </si>
  <si>
    <t xml:space="preserve">Supplier deposits (prepayments on open POs)</t>
  </si>
  <si>
    <t xml:space="preserve">Equipment and fixtures: cost</t>
  </si>
  <si>
    <t xml:space="preserve">Equipment and fixtures: accumulated depreciation</t>
  </si>
  <si>
    <t xml:space="preserve">Website and software: cost</t>
  </si>
  <si>
    <t xml:space="preserve">Website and software: accumulated depreciation</t>
  </si>
  <si>
    <t xml:space="preserve">Trade payables: logistics and fulfilment</t>
  </si>
  <si>
    <t xml:space="preserve">Trade payables: paid media</t>
  </si>
  <si>
    <t xml:space="preserve">Trade payables: other opex</t>
  </si>
  <si>
    <t xml:space="preserve">Corporate income tax payable (FY25)</t>
  </si>
  <si>
    <t xml:space="preserve">Term loan</t>
  </si>
  <si>
    <t xml:space="preserve">Opening balance check: assets less liabilities less equity (must be zero)</t>
  </si>
  <si>
    <t xml:space="preserve">formula</t>
  </si>
  <si>
    <t xml:space="preserve">ORIGINAL FY2026 BUDGET (APPROVED DEC-25, FICTIONAL)</t>
  </si>
  <si>
    <t xml:space="preserve">Twelve budget months. Orders, net revenue per order, cost ratios and opex lines are inputs as approved; everything else is calculated. The budget is never overwritten: BvA compares it with actuals and with the current outlook.</t>
  </si>
  <si>
    <t xml:space="preserve">VOLUMES AND NET REVENUE</t>
  </si>
  <si>
    <t xml:space="preserve">budget input</t>
  </si>
  <si>
    <t xml:space="preserve">Shopify EU (DTC): units per order</t>
  </si>
  <si>
    <t xml:space="preserve">Amazon EU (FBA): units per order</t>
  </si>
  <si>
    <t xml:space="preserve">Walmart US (WFS): units per order</t>
  </si>
  <si>
    <t xml:space="preserve">Shopify EU (DTC): units</t>
  </si>
  <si>
    <t xml:space="preserve">orders x units per order</t>
  </si>
  <si>
    <t xml:space="preserve">Amazon EU (FBA): units</t>
  </si>
  <si>
    <t xml:space="preserve">Walmart US (WFS): units</t>
  </si>
  <si>
    <t xml:space="preserve">Shopify EU (DTC): net revenue per order (EUR)</t>
  </si>
  <si>
    <t xml:space="preserve">Amazon EU (FBA): net revenue per order (EUR)</t>
  </si>
  <si>
    <t xml:space="preserve">Walmart US (WFS): net revenue per order (EUR)</t>
  </si>
  <si>
    <t xml:space="preserve">orders x net revenue per order</t>
  </si>
  <si>
    <t xml:space="preserve">Total orders</t>
  </si>
  <si>
    <t xml:space="preserve">Total units</t>
  </si>
  <si>
    <t xml:space="preserve">COST RATIOS AND CONTRIBUTION</t>
  </si>
  <si>
    <t xml:space="preserve">Cost of goods sold as share of net revenue</t>
  </si>
  <si>
    <t xml:space="preserve">Shopify EU (DTC): variable channel costs as share of net revenue</t>
  </si>
  <si>
    <t xml:space="preserve">Amazon EU (FBA): variable channel costs as share of net revenue</t>
  </si>
  <si>
    <t xml:space="preserve">Walmart US (WFS): variable channel costs as share of net revenue</t>
  </si>
  <si>
    <t xml:space="preserve">Shopify EU (DTC): paid media as share of net revenue</t>
  </si>
  <si>
    <t xml:space="preserve">Amazon EU (FBA): paid media as share of net revenue</t>
  </si>
  <si>
    <t xml:space="preserve">Walmart US (WFS): paid media as share of net revenue</t>
  </si>
  <si>
    <t xml:space="preserve">Shopify EU (DTC): paid media</t>
  </si>
  <si>
    <t xml:space="preserve">Amazon EU (FBA): paid media</t>
  </si>
  <si>
    <t xml:space="preserve">Walmart US (WFS): paid media</t>
  </si>
  <si>
    <t xml:space="preserve">EUR 0.65 per order</t>
  </si>
  <si>
    <t xml:space="preserve">0.15% of net revenue</t>
  </si>
  <si>
    <t xml:space="preserve">Corporate income tax (budget: 19% of positive profit)</t>
  </si>
  <si>
    <t xml:space="preserve">BUDGETED MONTH-END BALANCES (per the FY26 budget pack)</t>
  </si>
  <si>
    <t xml:space="preserve">budget balance</t>
  </si>
</sst>
</file>

<file path=xl/styles.xml><?xml version="1.0" encoding="utf-8"?>
<styleSheet xmlns="http://schemas.openxmlformats.org/spreadsheetml/2006/main">
  <numFmts count="18">
    <numFmt numFmtId="164" formatCode="General"/>
    <numFmt numFmtId="165" formatCode="mmm\-yy"/>
    <numFmt numFmtId="166" formatCode="@"/>
    <numFmt numFmtId="167" formatCode="#,##0;\(#,##0\);\-"/>
    <numFmt numFmtId="168" formatCode="0.0"/>
    <numFmt numFmtId="169" formatCode="0.0;\(0.0\);\-"/>
    <numFmt numFmtId="170" formatCode="0.0%;\(0.0%\);\-"/>
    <numFmt numFmtId="171" formatCode="General"/>
    <numFmt numFmtId="172" formatCode="dd\-mmm\-yy"/>
    <numFmt numFmtId="173" formatCode="0"/>
    <numFmt numFmtId="174" formatCode="#,##0.00;\(#,##0.00\);\-"/>
    <numFmt numFmtId="175" formatCode="0.00\x"/>
    <numFmt numFmtId="176" formatCode="0%"/>
    <numFmt numFmtId="177" formatCode="0.00"/>
    <numFmt numFmtId="178" formatCode="0.0000"/>
    <numFmt numFmtId="179" formatCode="0.000"/>
    <numFmt numFmtId="180" formatCode="#,##0;\(#,##0\);\-"/>
    <numFmt numFmtId="181" formatCode="0.00%;\(0.00%\);\-"/>
  </numFmts>
  <fonts count="36">
    <font>
      <sz val="11"/>
      <color theme="1"/>
      <name val="Calibri"/>
      <family val="2"/>
      <charset val="1"/>
    </font>
    <font>
      <sz val="10"/>
      <name val="Arial"/>
      <family val="0"/>
    </font>
    <font>
      <sz val="10"/>
      <name val="Arial"/>
      <family val="0"/>
    </font>
    <font>
      <sz val="10"/>
      <name val="Arial"/>
      <family val="0"/>
    </font>
    <font>
      <b val="true"/>
      <sz val="20"/>
      <color rgb="FF032330"/>
      <name val="Arial"/>
      <family val="0"/>
      <charset val="1"/>
    </font>
    <font>
      <b val="true"/>
      <sz val="14"/>
      <color rgb="FF003B46"/>
      <name val="Arial"/>
      <family val="0"/>
      <charset val="1"/>
    </font>
    <font>
      <sz val="11"/>
      <color rgb="FF1A2B33"/>
      <name val="Arial"/>
      <family val="0"/>
      <charset val="1"/>
    </font>
    <font>
      <b val="true"/>
      <sz val="10"/>
      <color rgb="FF9C1C1C"/>
      <name val="Arial"/>
      <family val="0"/>
      <charset val="1"/>
    </font>
    <font>
      <b val="true"/>
      <sz val="10"/>
      <color rgb="FF032330"/>
      <name val="Arial"/>
      <family val="0"/>
      <charset val="1"/>
    </font>
    <font>
      <sz val="10"/>
      <color rgb="FF008000"/>
      <name val="Arial"/>
      <family val="0"/>
      <charset val="1"/>
    </font>
    <font>
      <sz val="10"/>
      <color rgb="FF1A2B33"/>
      <name val="Arial"/>
      <family val="0"/>
      <charset val="1"/>
    </font>
    <font>
      <b val="true"/>
      <sz val="10"/>
      <color rgb="FFFFFFFF"/>
      <name val="Arial"/>
      <family val="0"/>
      <charset val="1"/>
    </font>
    <font>
      <u val="single"/>
      <sz val="10"/>
      <color rgb="FF0563C1"/>
      <name val="Arial"/>
      <family val="0"/>
      <charset val="1"/>
    </font>
    <font>
      <sz val="9"/>
      <color rgb="FF1A2B33"/>
      <name val="Arial"/>
      <family val="0"/>
      <charset val="1"/>
    </font>
    <font>
      <sz val="9"/>
      <color rgb="FF5A6E77"/>
      <name val="Arial"/>
      <family val="0"/>
      <charset val="1"/>
    </font>
    <font>
      <sz val="10"/>
      <color rgb="FF0000FF"/>
      <name val="Arial"/>
      <family val="0"/>
      <charset val="1"/>
    </font>
    <font>
      <sz val="10"/>
      <color rgb="FF000000"/>
      <name val="Arial"/>
      <family val="0"/>
      <charset val="1"/>
    </font>
    <font>
      <sz val="10"/>
      <color rgb="FFFFFFFF"/>
      <name val="Arial"/>
      <family val="0"/>
      <charset val="1"/>
    </font>
    <font>
      <b val="true"/>
      <sz val="11"/>
      <color rgb="FF032330"/>
      <name val="Arial"/>
      <family val="0"/>
      <charset val="1"/>
    </font>
    <font>
      <b val="true"/>
      <sz val="14"/>
      <color rgb="FF032330"/>
      <name val="Arial"/>
      <family val="0"/>
      <charset val="1"/>
    </font>
    <font>
      <i val="true"/>
      <sz val="9"/>
      <color rgb="FF5A6E77"/>
      <name val="Arial"/>
      <family val="0"/>
      <charset val="1"/>
    </font>
    <font>
      <b val="true"/>
      <sz val="10"/>
      <color rgb="FF000000"/>
      <name val="Arial"/>
      <family val="0"/>
      <charset val="1"/>
    </font>
    <font>
      <b val="true"/>
      <sz val="12"/>
      <color rgb="FF032330"/>
      <name val="Arial"/>
      <family val="0"/>
      <charset val="1"/>
    </font>
    <font>
      <b val="true"/>
      <sz val="9"/>
      <color rgb="FF9C1C1C"/>
      <name val="Arial"/>
      <family val="0"/>
      <charset val="1"/>
    </font>
    <font>
      <b val="true"/>
      <sz val="11"/>
      <color rgb="FFFFFFFF"/>
      <name val="Arial"/>
      <family val="0"/>
      <charset val="1"/>
    </font>
    <font>
      <i val="true"/>
      <sz val="10"/>
      <color rgb="FF5A6E77"/>
      <name val="Arial"/>
      <family val="0"/>
      <charset val="1"/>
    </font>
    <font>
      <b val="true"/>
      <sz val="9"/>
      <color rgb="FF003B46"/>
      <name val="Arial"/>
      <family val="0"/>
      <charset val="1"/>
    </font>
    <font>
      <sz val="8"/>
      <color rgb="FF999999"/>
      <name val="Arial"/>
      <family val="0"/>
      <charset val="1"/>
    </font>
    <font>
      <i val="true"/>
      <sz val="8"/>
      <color rgb="FF5A6E77"/>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0"/>
      <color rgb="FF008000"/>
      <name val="Arial"/>
      <family val="0"/>
      <charset val="1"/>
    </font>
    <font>
      <sz val="8"/>
      <color rgb="FF888888"/>
      <name val="Arial"/>
      <family val="0"/>
      <charset val="1"/>
    </font>
    <font>
      <sz val="9"/>
      <color rgb="FF0000FF"/>
      <name val="Arial"/>
      <family val="0"/>
      <charset val="1"/>
    </font>
    <font>
      <b val="true"/>
      <sz val="10"/>
      <color rgb="FF003B46"/>
      <name val="Arial"/>
      <family val="0"/>
      <charset val="1"/>
    </font>
  </fonts>
  <fills count="9">
    <fill>
      <patternFill patternType="none"/>
    </fill>
    <fill>
      <patternFill patternType="gray125"/>
    </fill>
    <fill>
      <patternFill patternType="solid">
        <fgColor rgb="FF032330"/>
        <bgColor rgb="FF1A2B33"/>
      </patternFill>
    </fill>
    <fill>
      <patternFill patternType="solid">
        <fgColor rgb="FFFFF9E0"/>
        <bgColor rgb="FFF0F9E8"/>
      </patternFill>
    </fill>
    <fill>
      <patternFill patternType="solid">
        <fgColor rgb="FF003B46"/>
        <bgColor rgb="FF1A2B33"/>
      </patternFill>
    </fill>
    <fill>
      <patternFill patternType="solid">
        <fgColor rgb="FFF0F9E8"/>
        <bgColor rgb="FFF2F7F9"/>
      </patternFill>
    </fill>
    <fill>
      <patternFill patternType="solid">
        <fgColor rgb="FFF2F7F9"/>
        <bgColor rgb="FFF0F9E8"/>
      </patternFill>
    </fill>
    <fill>
      <patternFill patternType="solid">
        <fgColor rgb="FFEEEEEE"/>
        <bgColor rgb="FFF2F7F9"/>
      </patternFill>
    </fill>
    <fill>
      <patternFill patternType="solid">
        <fgColor rgb="FFFFFF00"/>
        <bgColor rgb="FFFFFF00"/>
      </patternFill>
    </fill>
  </fills>
  <borders count="3">
    <border diagonalUp="false" diagonalDown="false">
      <left/>
      <right/>
      <top/>
      <bottom/>
      <diagonal/>
    </border>
    <border diagonalUp="false" diagonalDown="false">
      <left/>
      <right/>
      <top style="thin">
        <color rgb="FFDDE6EA"/>
      </top>
      <bottom style="thin">
        <color rgb="FFDDE6EA"/>
      </bottom>
      <diagonal/>
    </border>
    <border diagonalUp="false" diagonalDown="false">
      <left/>
      <right/>
      <top style="thin">
        <color rgb="FFDDE6EA"/>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9" fillId="0" borderId="0" xfId="0" applyFont="true" applyBorder="false" applyAlignment="true" applyProtection="false">
      <alignment horizontal="general" vertical="bottom" textRotation="0" wrapText="true" indent="0" shrinkToFit="false"/>
      <protection locked="true" hidden="false"/>
    </xf>
    <xf numFmtId="166" fontId="9" fillId="0" borderId="0" xfId="0" applyFont="true" applyBorder="false" applyAlignment="true" applyProtection="false">
      <alignment horizontal="general" vertical="bottom" textRotation="0" wrapText="true" indent="0" shrinkToFit="false"/>
      <protection locked="true" hidden="false"/>
    </xf>
    <xf numFmtId="166" fontId="10" fillId="0" borderId="0" xfId="0" applyFont="true" applyBorder="false" applyAlignment="true" applyProtection="false">
      <alignment horizontal="general" vertical="bottom" textRotation="0" wrapText="true" indent="0" shrinkToFit="false"/>
      <protection locked="true" hidden="false"/>
    </xf>
    <xf numFmtId="167" fontId="9" fillId="0" borderId="0" xfId="0" applyFont="true" applyBorder="false" applyAlignment="true" applyProtection="false">
      <alignment horizontal="general" vertical="bottom" textRotation="0" wrapText="true" indent="0" shrinkToFit="false"/>
      <protection locked="true" hidden="false"/>
    </xf>
    <xf numFmtId="164" fontId="11" fillId="2"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15" fillId="3"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7" fillId="2" borderId="0" xfId="0" applyFont="true" applyBorder="false" applyAlignment="true" applyProtection="false">
      <alignment horizontal="general" vertical="bottom" textRotation="0" wrapText="false" indent="0" shrinkToFit="false"/>
      <protection locked="true" hidden="false"/>
    </xf>
    <xf numFmtId="164" fontId="17" fillId="4" borderId="0" xfId="0" applyFont="true" applyBorder="false" applyAlignment="tru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4" fontId="11" fillId="4" borderId="0" xfId="0" applyFont="true" applyBorder="false" applyAlignment="tru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20"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bottom" textRotation="0" wrapText="false" indent="0" shrinkToFit="false"/>
      <protection locked="true" hidden="false"/>
    </xf>
    <xf numFmtId="164" fontId="11" fillId="2"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7" fontId="0" fillId="0" borderId="0" xfId="0" applyFont="false" applyBorder="false" applyAlignment="true" applyProtection="false">
      <alignment horizontal="general" vertical="bottom" textRotation="0" wrapText="false" indent="0" shrinkToFit="false"/>
      <protection locked="true" hidden="false"/>
    </xf>
    <xf numFmtId="168" fontId="0" fillId="0" borderId="0" xfId="0" applyFont="false" applyBorder="false" applyAlignment="tru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center" vertical="bottom" textRotation="0" wrapText="false" indent="0" shrinkToFit="false"/>
      <protection locked="true" hidden="false"/>
    </xf>
    <xf numFmtId="164" fontId="22" fillId="5" borderId="1" xfId="0" applyFont="true" applyBorder="true" applyAlignment="true" applyProtection="false">
      <alignment horizontal="general" vertical="bottom" textRotation="0" wrapText="false" indent="0" shrinkToFit="false"/>
      <protection locked="true" hidden="false"/>
    </xf>
    <xf numFmtId="164" fontId="0" fillId="5" borderId="1" xfId="0" applyFont="false" applyBorder="true" applyAlignment="true" applyProtection="false">
      <alignment horizontal="general" vertical="bottom" textRotation="0" wrapText="false" indent="0" shrinkToFit="false"/>
      <protection locked="true" hidden="false"/>
    </xf>
    <xf numFmtId="164" fontId="22" fillId="5" borderId="1" xfId="0" applyFont="true" applyBorder="true" applyAlignment="true" applyProtection="false">
      <alignment horizontal="center" vertical="bottom" textRotation="0" wrapText="false" indent="0" shrinkToFit="false"/>
      <protection locked="true" hidden="false"/>
    </xf>
    <xf numFmtId="167" fontId="21" fillId="0" borderId="0" xfId="0" applyFont="true" applyBorder="false" applyAlignment="true" applyProtection="false">
      <alignment horizontal="general" vertical="bottom" textRotation="0" wrapText="false" indent="0" shrinkToFit="false"/>
      <protection locked="true" hidden="false"/>
    </xf>
    <xf numFmtId="169" fontId="21" fillId="0" borderId="0" xfId="0" applyFont="true" applyBorder="false" applyAlignment="true" applyProtection="false">
      <alignment horizontal="general" vertical="bottom" textRotation="0" wrapText="false" indent="0" shrinkToFit="false"/>
      <protection locked="true" hidden="false"/>
    </xf>
    <xf numFmtId="170" fontId="21" fillId="0" borderId="0" xfId="0" applyFont="true" applyBorder="false" applyAlignment="true" applyProtection="false">
      <alignment horizontal="general" vertical="bottom" textRotation="0" wrapText="false" indent="0" shrinkToFit="false"/>
      <protection locked="true" hidden="false"/>
    </xf>
    <xf numFmtId="164" fontId="23" fillId="0" borderId="0" xfId="0" applyFont="true" applyBorder="false" applyAlignment="true" applyProtection="false">
      <alignment horizontal="general" vertical="bottom" textRotation="0" wrapText="false" indent="0" shrinkToFit="false"/>
      <protection locked="true" hidden="false"/>
    </xf>
    <xf numFmtId="164" fontId="24" fillId="2" borderId="0" xfId="0" applyFont="tru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4" borderId="0" xfId="0" applyFont="true" applyBorder="false" applyAlignment="true" applyProtection="false">
      <alignment horizontal="left" vertical="bottom" textRotation="0" wrapText="false" indent="0" shrinkToFit="false"/>
      <protection locked="true" hidden="false"/>
    </xf>
    <xf numFmtId="164" fontId="11" fillId="4" borderId="0" xfId="0" applyFont="tru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center" vertical="top" textRotation="0" wrapText="false" indent="0" shrinkToFit="false"/>
      <protection locked="true" hidden="false"/>
    </xf>
    <xf numFmtId="171" fontId="21" fillId="0" borderId="0" xfId="0" applyFont="true" applyBorder="false" applyAlignment="true" applyProtection="false">
      <alignment horizontal="center" vertical="top"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72" fontId="0" fillId="0" borderId="0" xfId="0" applyFont="false" applyBorder="false" applyAlignment="true" applyProtection="false">
      <alignment horizontal="center" vertical="top" textRotation="0" wrapText="false" indent="0" shrinkToFit="false"/>
      <protection locked="true" hidden="false"/>
    </xf>
    <xf numFmtId="164" fontId="25" fillId="0" borderId="0" xfId="0" applyFont="true" applyBorder="false" applyAlignment="true" applyProtection="false">
      <alignment horizontal="general" vertical="top" textRotation="0" wrapText="true" indent="0" shrinkToFit="false"/>
      <protection locked="true" hidden="false"/>
    </xf>
    <xf numFmtId="165" fontId="11" fillId="2" borderId="0" xfId="0" applyFont="true" applyBorder="false" applyAlignment="true" applyProtection="false">
      <alignment horizontal="center" vertical="bottom" textRotation="0" wrapText="false" indent="0" shrinkToFit="false"/>
      <protection locked="true" hidden="false"/>
    </xf>
    <xf numFmtId="164" fontId="26" fillId="6" borderId="0" xfId="0" applyFont="true" applyBorder="false" applyAlignment="true" applyProtection="false">
      <alignment horizontal="general" vertical="bottom" textRotation="0" wrapText="false" indent="0" shrinkToFit="false"/>
      <protection locked="true" hidden="false"/>
    </xf>
    <xf numFmtId="164" fontId="0" fillId="6" borderId="0" xfId="0" applyFont="false" applyBorder="false" applyAlignment="true" applyProtection="false">
      <alignment horizontal="general" vertical="bottom" textRotation="0" wrapText="false" indent="0" shrinkToFit="false"/>
      <protection locked="true" hidden="false"/>
    </xf>
    <xf numFmtId="164" fontId="26" fillId="6" borderId="0" xfId="0" applyFont="true" applyBorder="false" applyAlignment="true" applyProtection="false">
      <alignment horizontal="center" vertical="bottom" textRotation="0" wrapText="false" indent="0" shrinkToFit="false"/>
      <protection locked="true" hidden="false"/>
    </xf>
    <xf numFmtId="164" fontId="27" fillId="0" borderId="0" xfId="0" applyFont="true" applyBorder="false" applyAlignment="true" applyProtection="false">
      <alignment horizontal="general" vertical="bottom" textRotation="0" wrapText="false" indent="0" shrinkToFit="false"/>
      <protection locked="true" hidden="false"/>
    </xf>
    <xf numFmtId="173" fontId="27" fillId="0" borderId="0" xfId="0" applyFont="true" applyBorder="false" applyAlignment="true" applyProtection="false">
      <alignment horizontal="center" vertical="bottom" textRotation="0" wrapText="false" indent="0" shrinkToFit="false"/>
      <protection locked="true" hidden="false"/>
    </xf>
    <xf numFmtId="164" fontId="28" fillId="0" borderId="0" xfId="0" applyFont="true" applyBorder="false" applyAlignment="true" applyProtection="false">
      <alignment horizontal="general" vertical="bottom" textRotation="0" wrapText="false" indent="0" shrinkToFit="false"/>
      <protection locked="true" hidden="false"/>
    </xf>
    <xf numFmtId="167" fontId="21" fillId="5" borderId="0" xfId="0" applyFont="true" applyBorder="false" applyAlignment="true" applyProtection="false">
      <alignment horizontal="general" vertical="bottom" textRotation="0" wrapText="false" indent="0" shrinkToFit="false"/>
      <protection locked="true" hidden="false"/>
    </xf>
    <xf numFmtId="167" fontId="9" fillId="0" borderId="0" xfId="0" applyFont="true" applyBorder="false" applyAlignment="true" applyProtection="false">
      <alignment horizontal="general" vertical="bottom" textRotation="0" wrapText="false" indent="0" shrinkToFit="false"/>
      <protection locked="true" hidden="false"/>
    </xf>
    <xf numFmtId="170" fontId="16" fillId="0" borderId="0" xfId="0" applyFont="true" applyBorder="false" applyAlignment="true" applyProtection="false">
      <alignment horizontal="general" vertical="bottom" textRotation="0" wrapText="false" indent="0" shrinkToFit="false"/>
      <protection locked="true" hidden="false"/>
    </xf>
    <xf numFmtId="170" fontId="21" fillId="5" borderId="0" xfId="0" applyFont="true" applyBorder="false" applyAlignment="true" applyProtection="false">
      <alignment horizontal="general" vertical="bottom" textRotation="0" wrapText="false" indent="0" shrinkToFit="false"/>
      <protection locked="true" hidden="false"/>
    </xf>
    <xf numFmtId="170" fontId="9" fillId="0" borderId="0" xfId="0" applyFont="true" applyBorder="false" applyAlignment="true" applyProtection="false">
      <alignment horizontal="general" vertical="bottom" textRotation="0" wrapText="false" indent="0" shrinkToFit="false"/>
      <protection locked="true" hidden="false"/>
    </xf>
    <xf numFmtId="174" fontId="21" fillId="5" borderId="0" xfId="0" applyFont="true" applyBorder="false" applyAlignment="true" applyProtection="false">
      <alignment horizontal="general" vertical="bottom" textRotation="0" wrapText="false" indent="0" shrinkToFit="false"/>
      <protection locked="true" hidden="false"/>
    </xf>
    <xf numFmtId="174" fontId="16" fillId="0" borderId="0" xfId="0" applyFont="true" applyBorder="false" applyAlignment="true" applyProtection="false">
      <alignment horizontal="general" vertical="bottom" textRotation="0" wrapText="false" indent="0" shrinkToFit="false"/>
      <protection locked="true" hidden="false"/>
    </xf>
    <xf numFmtId="175" fontId="21" fillId="5" borderId="0" xfId="0" applyFont="true" applyBorder="false" applyAlignment="true" applyProtection="false">
      <alignment horizontal="general" vertical="bottom" textRotation="0" wrapText="false" indent="0" shrinkToFit="false"/>
      <protection locked="true" hidden="false"/>
    </xf>
    <xf numFmtId="175" fontId="9" fillId="0" borderId="0" xfId="0" applyFont="true" applyBorder="false" applyAlignment="true" applyProtection="false">
      <alignment horizontal="general" vertical="bottom" textRotation="0" wrapText="false" indent="0" shrinkToFit="false"/>
      <protection locked="true" hidden="false"/>
    </xf>
    <xf numFmtId="174" fontId="9" fillId="0" borderId="0" xfId="0" applyFont="true" applyBorder="false" applyAlignment="true" applyProtection="false">
      <alignment horizontal="general" vertical="bottom" textRotation="0" wrapText="false" indent="0" shrinkToFit="false"/>
      <protection locked="true" hidden="false"/>
    </xf>
    <xf numFmtId="169" fontId="21" fillId="5" borderId="0" xfId="0" applyFont="true" applyBorder="false" applyAlignment="true" applyProtection="false">
      <alignment horizontal="general" vertical="bottom" textRotation="0" wrapText="false" indent="0" shrinkToFit="false"/>
      <protection locked="true" hidden="false"/>
    </xf>
    <xf numFmtId="169" fontId="9" fillId="0" borderId="0" xfId="0" applyFont="true" applyBorder="false" applyAlignment="true" applyProtection="false">
      <alignment horizontal="general" vertical="bottom" textRotation="0" wrapText="false" indent="0" shrinkToFit="false"/>
      <protection locked="true" hidden="false"/>
    </xf>
    <xf numFmtId="169" fontId="16" fillId="0" borderId="0" xfId="0" applyFont="true" applyBorder="false" applyAlignment="true" applyProtection="false">
      <alignment horizontal="general" vertical="bottom" textRotation="0" wrapText="false" indent="0" shrinkToFit="false"/>
      <protection locked="true" hidden="false"/>
    </xf>
    <xf numFmtId="167" fontId="16" fillId="0" borderId="0" xfId="0" applyFont="true" applyBorder="false" applyAlignment="tru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bottom" textRotation="0" wrapText="false" indent="0" shrinkToFit="false"/>
      <protection locked="true" hidden="false"/>
    </xf>
    <xf numFmtId="164" fontId="28" fillId="0" borderId="2" xfId="0" applyFont="true" applyBorder="true" applyAlignment="true" applyProtection="false">
      <alignment horizontal="general" vertical="bottom" textRotation="0" wrapText="false" indent="0" shrinkToFit="false"/>
      <protection locked="true" hidden="false"/>
    </xf>
    <xf numFmtId="167" fontId="21" fillId="6" borderId="2" xfId="0" applyFont="true" applyBorder="true" applyAlignment="true" applyProtection="false">
      <alignment horizontal="general" vertical="bottom" textRotation="0" wrapText="false" indent="0" shrinkToFit="false"/>
      <protection locked="true" hidden="false"/>
    </xf>
    <xf numFmtId="167" fontId="32" fillId="6" borderId="2" xfId="0" applyFont="true" applyBorder="true" applyAlignment="true" applyProtection="false">
      <alignment horizontal="general" vertical="bottom" textRotation="0" wrapText="false" indent="0" shrinkToFit="false"/>
      <protection locked="true" hidden="false"/>
    </xf>
    <xf numFmtId="167" fontId="15" fillId="3" borderId="0" xfId="0" applyFont="true" applyBorder="false" applyAlignment="true" applyProtection="false">
      <alignment horizontal="general" vertical="bottom" textRotation="0" wrapText="false" indent="0" shrinkToFit="false"/>
      <protection locked="true" hidden="false"/>
    </xf>
    <xf numFmtId="164" fontId="8" fillId="6" borderId="2" xfId="0" applyFont="true" applyBorder="true" applyAlignment="true" applyProtection="false">
      <alignment horizontal="general" vertical="bottom" textRotation="0" wrapText="false" indent="0" shrinkToFit="false"/>
      <protection locked="true" hidden="false"/>
    </xf>
    <xf numFmtId="170" fontId="21" fillId="6" borderId="2" xfId="0" applyFont="true" applyBorder="true" applyAlignment="true" applyProtection="false">
      <alignment horizontal="general" vertical="bottom" textRotation="0" wrapText="false" indent="0" shrinkToFit="false"/>
      <protection locked="true" hidden="false"/>
    </xf>
    <xf numFmtId="164" fontId="13" fillId="6" borderId="2" xfId="0" applyFont="true" applyBorder="true" applyAlignment="true" applyProtection="false">
      <alignment horizontal="general" vertical="top" textRotation="0" wrapText="true" indent="0" shrinkToFit="false"/>
      <protection locked="true" hidden="false"/>
    </xf>
    <xf numFmtId="164" fontId="11" fillId="4" borderId="0" xfId="0" applyFont="true" applyBorder="false" applyAlignment="true" applyProtection="false">
      <alignment horizontal="left" vertical="bottom" textRotation="0" wrapText="true" indent="0" shrinkToFit="false"/>
      <protection locked="true" hidden="false"/>
    </xf>
    <xf numFmtId="164" fontId="11" fillId="4" borderId="0" xfId="0" applyFont="true" applyBorder="false" applyAlignment="true" applyProtection="false">
      <alignment horizontal="center" vertical="bottom" textRotation="0" wrapText="true" indent="0" shrinkToFit="false"/>
      <protection locked="true" hidden="false"/>
    </xf>
    <xf numFmtId="174" fontId="0" fillId="0" borderId="0" xfId="0" applyFont="false" applyBorder="false" applyAlignment="tru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7" fontId="21" fillId="6" borderId="0" xfId="0" applyFont="true" applyBorder="false" applyAlignment="true" applyProtection="false">
      <alignment horizontal="general" vertical="bottom" textRotation="0" wrapText="false" indent="0" shrinkToFit="false"/>
      <protection locked="true" hidden="false"/>
    </xf>
    <xf numFmtId="164" fontId="32" fillId="0" borderId="0" xfId="0" applyFont="true" applyBorder="false" applyAlignment="true" applyProtection="false">
      <alignment horizontal="general" vertical="bottom" textRotation="0" wrapText="false" indent="0" shrinkToFit="false"/>
      <protection locked="true" hidden="false"/>
    </xf>
    <xf numFmtId="167" fontId="16" fillId="7" borderId="0" xfId="0" applyFont="true" applyBorder="false" applyAlignment="true" applyProtection="false">
      <alignment horizontal="general" vertical="bottom" textRotation="0" wrapText="false" indent="0" shrinkToFit="false"/>
      <protection locked="true" hidden="false"/>
    </xf>
    <xf numFmtId="167" fontId="32" fillId="0" borderId="0" xfId="0" applyFont="true" applyBorder="false" applyAlignment="true" applyProtection="false">
      <alignment horizontal="general" vertical="bottom" textRotation="0" wrapText="false" indent="0" shrinkToFit="false"/>
      <protection locked="true" hidden="false"/>
    </xf>
    <xf numFmtId="170" fontId="16" fillId="7" borderId="0" xfId="0" applyFont="true" applyBorder="false" applyAlignment="true" applyProtection="false">
      <alignment horizontal="general" vertical="bottom" textRotation="0" wrapText="false" indent="0" shrinkToFit="false"/>
      <protection locked="true" hidden="false"/>
    </xf>
    <xf numFmtId="170" fontId="32" fillId="0" borderId="0" xfId="0" applyFont="true" applyBorder="false" applyAlignment="true" applyProtection="false">
      <alignment horizontal="general" vertical="bottom" textRotation="0" wrapText="false" indent="0" shrinkToFit="false"/>
      <protection locked="true" hidden="false"/>
    </xf>
    <xf numFmtId="165" fontId="16" fillId="7" borderId="0" xfId="0" applyFont="true" applyBorder="false" applyAlignment="true" applyProtection="false">
      <alignment horizontal="general" vertical="bottom" textRotation="0" wrapText="false" indent="0" shrinkToFit="false"/>
      <protection locked="true" hidden="false"/>
    </xf>
    <xf numFmtId="165" fontId="32" fillId="0" borderId="0" xfId="0" applyFont="true" applyBorder="false" applyAlignment="true" applyProtection="false">
      <alignment horizontal="general" vertical="bottom" textRotation="0" wrapText="false" indent="0" shrinkToFit="false"/>
      <protection locked="true" hidden="false"/>
    </xf>
    <xf numFmtId="173" fontId="0" fillId="0" borderId="0" xfId="0" applyFont="false" applyBorder="false" applyAlignment="true" applyProtection="false">
      <alignment horizontal="general" vertical="bottom" textRotation="0" wrapText="false" indent="0" shrinkToFit="false"/>
      <protection locked="true" hidden="false"/>
    </xf>
    <xf numFmtId="174" fontId="32" fillId="0" borderId="0" xfId="0" applyFont="true" applyBorder="false" applyAlignment="true" applyProtection="false">
      <alignment horizontal="general" vertical="bottom" textRotation="0" wrapText="false" indent="0" shrinkToFit="false"/>
      <protection locked="true" hidden="false"/>
    </xf>
    <xf numFmtId="173" fontId="9" fillId="0" borderId="0" xfId="0" applyFont="true" applyBorder="false" applyAlignment="true" applyProtection="false">
      <alignment horizontal="general" vertical="bottom" textRotation="0" wrapText="false" indent="0" shrinkToFit="false"/>
      <protection locked="true" hidden="false"/>
    </xf>
    <xf numFmtId="173" fontId="32" fillId="0" borderId="0" xfId="0" applyFont="true" applyBorder="false" applyAlignment="true" applyProtection="false">
      <alignment horizontal="general" vertical="bottom" textRotation="0" wrapText="false" indent="0" shrinkToFit="false"/>
      <protection locked="true" hidden="false"/>
    </xf>
    <xf numFmtId="177" fontId="9" fillId="0" borderId="0" xfId="0" applyFont="true" applyBorder="false" applyAlignment="true" applyProtection="false">
      <alignment horizontal="general" vertical="bottom" textRotation="0" wrapText="false" indent="0" shrinkToFit="false"/>
      <protection locked="true" hidden="false"/>
    </xf>
    <xf numFmtId="177" fontId="32" fillId="0" borderId="0" xfId="0" applyFont="true" applyBorder="false" applyAlignment="true" applyProtection="false">
      <alignment horizontal="general" vertical="bottom" textRotation="0" wrapText="false" indent="0" shrinkToFit="false"/>
      <protection locked="true" hidden="false"/>
    </xf>
    <xf numFmtId="178" fontId="9" fillId="0" borderId="0" xfId="0" applyFont="true" applyBorder="false" applyAlignment="true" applyProtection="false">
      <alignment horizontal="general" vertical="bottom" textRotation="0" wrapText="false" indent="0" shrinkToFit="false"/>
      <protection locked="true" hidden="false"/>
    </xf>
    <xf numFmtId="178" fontId="32"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bottom" textRotation="0" wrapText="true" indent="0" shrinkToFit="false"/>
      <protection locked="true" hidden="false"/>
    </xf>
    <xf numFmtId="164" fontId="11" fillId="2" borderId="0" xfId="0" applyFont="true" applyBorder="false" applyAlignment="true" applyProtection="false">
      <alignment horizontal="center" vertical="bottom" textRotation="0" wrapText="true" indent="0" shrinkToFit="false"/>
      <protection locked="true" hidden="false"/>
    </xf>
    <xf numFmtId="172" fontId="15" fillId="0" borderId="0" xfId="0" applyFont="true" applyBorder="false" applyAlignment="true" applyProtection="false">
      <alignment horizontal="general" vertical="bottom" textRotation="0" wrapText="false" indent="0" shrinkToFit="false"/>
      <protection locked="true" hidden="false"/>
    </xf>
    <xf numFmtId="172" fontId="16" fillId="0" borderId="0" xfId="0" applyFont="true" applyBorder="false" applyAlignment="true" applyProtection="false">
      <alignment horizontal="general" vertical="bottom" textRotation="0" wrapText="false" indent="0" shrinkToFit="false"/>
      <protection locked="true" hidden="false"/>
    </xf>
    <xf numFmtId="172" fontId="0" fillId="0" borderId="0" xfId="0" applyFont="false" applyBorder="false" applyAlignment="tru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general" vertical="bottom" textRotation="0" wrapText="false" indent="0" shrinkToFit="false"/>
      <protection locked="true" hidden="false"/>
    </xf>
    <xf numFmtId="179" fontId="33" fillId="0" borderId="0" xfId="0" applyFont="true" applyBorder="false" applyAlignment="true" applyProtection="false">
      <alignment horizontal="general" vertical="bottom" textRotation="0" wrapText="false" indent="0" shrinkToFit="false"/>
      <protection locked="true" hidden="false"/>
    </xf>
    <xf numFmtId="164" fontId="34" fillId="0" borderId="0" xfId="0" applyFont="true" applyBorder="false" applyAlignment="true" applyProtection="false">
      <alignment horizontal="general" vertical="bottom" textRotation="0" wrapText="false" indent="0" shrinkToFit="false"/>
      <protection locked="true" hidden="false"/>
    </xf>
    <xf numFmtId="172" fontId="15" fillId="3" borderId="0" xfId="0" applyFont="true" applyBorder="false" applyAlignment="true" applyProtection="false">
      <alignment horizontal="general" vertical="bottom" textRotation="0" wrapText="false" indent="0" shrinkToFit="false"/>
      <protection locked="true" hidden="false"/>
    </xf>
    <xf numFmtId="173" fontId="15" fillId="3" borderId="0" xfId="0" applyFont="true" applyBorder="false" applyAlignment="true" applyProtection="false">
      <alignment horizontal="general" vertical="bottom" textRotation="0" wrapText="false" indent="0" shrinkToFit="false"/>
      <protection locked="true" hidden="false"/>
    </xf>
    <xf numFmtId="179" fontId="0" fillId="0" borderId="0" xfId="0" applyFont="false" applyBorder="false" applyAlignment="true" applyProtection="false">
      <alignment horizontal="general" vertical="bottom" textRotation="0" wrapText="false" indent="0" shrinkToFit="false"/>
      <protection locked="true" hidden="false"/>
    </xf>
    <xf numFmtId="164" fontId="28" fillId="6" borderId="2" xfId="0" applyFont="true" applyBorder="true" applyAlignment="true" applyProtection="false">
      <alignment horizontal="general" vertical="bottom" textRotation="0" wrapText="false" indent="0" shrinkToFit="false"/>
      <protection locked="true" hidden="false"/>
    </xf>
    <xf numFmtId="167" fontId="9" fillId="6" borderId="2" xfId="0" applyFont="true" applyBorder="true" applyAlignment="true" applyProtection="false">
      <alignment horizontal="general" vertical="bottom" textRotation="0" wrapText="false" indent="0" shrinkToFit="false"/>
      <protection locked="true" hidden="false"/>
    </xf>
    <xf numFmtId="164" fontId="0" fillId="6" borderId="2" xfId="0" applyFont="false" applyBorder="true" applyAlignment="true" applyProtection="false">
      <alignment horizontal="general" vertical="bottom" textRotation="0" wrapText="false" indent="0" shrinkToFit="false"/>
      <protection locked="true" hidden="false"/>
    </xf>
    <xf numFmtId="172" fontId="21" fillId="0" borderId="0" xfId="0" applyFont="true" applyBorder="false" applyAlignment="true" applyProtection="false">
      <alignment horizontal="general" vertical="bottom" textRotation="0" wrapText="false" indent="0" shrinkToFit="false"/>
      <protection locked="true" hidden="false"/>
    </xf>
    <xf numFmtId="167" fontId="35" fillId="5" borderId="0" xfId="0" applyFont="true" applyBorder="false" applyAlignment="true" applyProtection="false">
      <alignment horizontal="general" vertical="bottom" textRotation="0" wrapText="false" indent="0" shrinkToFit="false"/>
      <protection locked="true" hidden="false"/>
    </xf>
    <xf numFmtId="177" fontId="21" fillId="5" borderId="0" xfId="0" applyFont="true" applyBorder="false" applyAlignment="true" applyProtection="false">
      <alignment horizontal="general" vertical="bottom" textRotation="0" wrapText="false" indent="0" shrinkToFit="false"/>
      <protection locked="true" hidden="false"/>
    </xf>
    <xf numFmtId="177" fontId="16" fillId="0" borderId="0" xfId="0" applyFont="true" applyBorder="false" applyAlignment="true" applyProtection="false">
      <alignment horizontal="general" vertical="bottom" textRotation="0" wrapText="false" indent="0" shrinkToFit="false"/>
      <protection locked="true" hidden="false"/>
    </xf>
    <xf numFmtId="175" fontId="16" fillId="0" borderId="0" xfId="0" applyFont="true" applyBorder="false" applyAlignment="true" applyProtection="false">
      <alignment horizontal="general" vertical="bottom" textRotation="0" wrapText="false" indent="0" shrinkToFit="false"/>
      <protection locked="true" hidden="false"/>
    </xf>
    <xf numFmtId="170" fontId="35" fillId="5" borderId="0" xfId="0" applyFont="true" applyBorder="false" applyAlignment="true" applyProtection="false">
      <alignment horizontal="general" vertical="bottom" textRotation="0" wrapText="false" indent="0" shrinkToFit="false"/>
      <protection locked="true" hidden="false"/>
    </xf>
    <xf numFmtId="169" fontId="35" fillId="5" borderId="0" xfId="0" applyFont="true" applyBorder="false" applyAlignment="true" applyProtection="false">
      <alignment horizontal="general" vertical="bottom" textRotation="0" wrapText="false" indent="0" shrinkToFit="false"/>
      <protection locked="true" hidden="false"/>
    </xf>
    <xf numFmtId="170" fontId="35" fillId="3" borderId="0" xfId="0" applyFont="true" applyBorder="false" applyAlignment="true" applyProtection="false">
      <alignment horizontal="general" vertical="bottom" textRotation="0" wrapText="false" indent="0" shrinkToFit="false"/>
      <protection locked="true" hidden="false"/>
    </xf>
    <xf numFmtId="166" fontId="15" fillId="3" borderId="0" xfId="0" applyFont="true" applyBorder="false" applyAlignment="true" applyProtection="false">
      <alignment horizontal="general" vertical="bottom" textRotation="0" wrapText="false" indent="0" shrinkToFit="false"/>
      <protection locked="true" hidden="false"/>
    </xf>
    <xf numFmtId="170" fontId="15" fillId="3" borderId="0" xfId="0" applyFont="true" applyBorder="false" applyAlignment="true" applyProtection="false">
      <alignment horizontal="general" vertical="bottom" textRotation="0" wrapText="false" indent="0" shrinkToFit="false"/>
      <protection locked="true" hidden="false"/>
    </xf>
    <xf numFmtId="166" fontId="16" fillId="0" borderId="0" xfId="0" applyFont="true" applyBorder="false" applyAlignment="true" applyProtection="false">
      <alignment horizontal="general" vertical="bottom" textRotation="0" wrapText="false" indent="0" shrinkToFit="false"/>
      <protection locked="true" hidden="false"/>
    </xf>
    <xf numFmtId="165" fontId="16" fillId="0" borderId="0" xfId="0" applyFont="true" applyBorder="false" applyAlignment="true" applyProtection="false">
      <alignment horizontal="general" vertical="bottom" textRotation="0" wrapText="false" indent="0" shrinkToFit="false"/>
      <protection locked="true" hidden="false"/>
    </xf>
    <xf numFmtId="172" fontId="32" fillId="0" borderId="0" xfId="0" applyFont="true" applyBorder="false" applyAlignment="true" applyProtection="false">
      <alignment horizontal="general" vertical="bottom" textRotation="0" wrapText="false" indent="0" shrinkToFit="false"/>
      <protection locked="true" hidden="false"/>
    </xf>
    <xf numFmtId="170" fontId="0" fillId="0" borderId="0" xfId="0" applyFont="false" applyBorder="false" applyAlignment="true" applyProtection="false">
      <alignment horizontal="general" vertical="bottom" textRotation="0" wrapText="false" indent="0" shrinkToFit="false"/>
      <protection locked="true" hidden="false"/>
    </xf>
    <xf numFmtId="180" fontId="15" fillId="3" borderId="0" xfId="0" applyFont="true" applyBorder="false" applyAlignment="true" applyProtection="false">
      <alignment horizontal="general" vertical="bottom" textRotation="0" wrapText="false" indent="0" shrinkToFit="false"/>
      <protection locked="true" hidden="false"/>
    </xf>
    <xf numFmtId="165" fontId="15" fillId="3" borderId="0" xfId="0" applyFont="true" applyBorder="false" applyAlignment="true" applyProtection="false">
      <alignment horizontal="general" vertical="bottom" textRotation="0" wrapText="false" indent="0" shrinkToFit="false"/>
      <protection locked="true" hidden="false"/>
    </xf>
    <xf numFmtId="167" fontId="35" fillId="3" borderId="0" xfId="0" applyFont="true" applyBorder="false" applyAlignment="true" applyProtection="false">
      <alignment horizontal="general" vertical="bottom" textRotation="0" wrapText="false" indent="0" shrinkToFit="false"/>
      <protection locked="true" hidden="false"/>
    </xf>
    <xf numFmtId="174" fontId="35" fillId="5" borderId="0" xfId="0" applyFont="true" applyBorder="false" applyAlignment="true" applyProtection="false">
      <alignment horizontal="general" vertical="bottom" textRotation="0" wrapText="false" indent="0" shrinkToFit="false"/>
      <protection locked="true" hidden="false"/>
    </xf>
    <xf numFmtId="173" fontId="15" fillId="8" borderId="0" xfId="0" applyFont="true" applyBorder="false" applyAlignment="true" applyProtection="false">
      <alignment horizontal="general" vertical="bottom" textRotation="0" wrapText="false" indent="0" shrinkToFit="false"/>
      <protection locked="true" hidden="false"/>
    </xf>
    <xf numFmtId="166" fontId="21" fillId="0" borderId="0" xfId="0" applyFont="true" applyBorder="false" applyAlignment="true" applyProtection="false">
      <alignment horizontal="general" vertical="bottom" textRotation="0" wrapText="false" indent="0" shrinkToFit="false"/>
      <protection locked="true" hidden="false"/>
    </xf>
    <xf numFmtId="181" fontId="15" fillId="3" borderId="0" xfId="0" applyFont="true" applyBorder="false" applyAlignment="true" applyProtection="false">
      <alignment horizontal="general" vertical="bottom" textRotation="0" wrapText="false" indent="0" shrinkToFit="false"/>
      <protection locked="true" hidden="false"/>
    </xf>
    <xf numFmtId="168" fontId="15" fillId="3" borderId="0" xfId="0" applyFont="true" applyBorder="false" applyAlignment="true" applyProtection="false">
      <alignment horizontal="general" vertical="bottom" textRotation="0" wrapText="false" indent="0" shrinkToFit="false"/>
      <protection locked="true" hidden="false"/>
    </xf>
    <xf numFmtId="174" fontId="15" fillId="3" borderId="0" xfId="0" applyFont="true" applyBorder="false" applyAlignment="true" applyProtection="false">
      <alignment horizontal="general" vertical="bottom" textRotation="0" wrapText="false" indent="0" shrinkToFit="false"/>
      <protection locked="true" hidden="false"/>
    </xf>
    <xf numFmtId="165" fontId="0" fillId="0" borderId="0" xfId="0" applyFont="false" applyBorder="false" applyAlignment="true" applyProtection="false">
      <alignment horizontal="center" vertical="bottom" textRotation="0" wrapText="false" indent="0" shrinkToFit="false"/>
      <protection locked="true" hidden="false"/>
    </xf>
    <xf numFmtId="173"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77" fontId="15" fillId="3" borderId="0" xfId="0" applyFont="true" applyBorder="false" applyAlignment="true" applyProtection="false">
      <alignment horizontal="center" vertical="bottom" textRotation="0" wrapText="false" indent="0" shrinkToFit="false"/>
      <protection locked="true" hidden="false"/>
    </xf>
    <xf numFmtId="177" fontId="16" fillId="0" borderId="0" xfId="0" applyFont="true" applyBorder="false" applyAlignment="true" applyProtection="false">
      <alignment horizontal="center" vertical="bottom" textRotation="0" wrapText="false" indent="0" shrinkToFit="false"/>
      <protection locked="true" hidden="false"/>
    </xf>
    <xf numFmtId="178" fontId="15" fillId="3" borderId="0" xfId="0" applyFont="true" applyBorder="false" applyAlignment="true" applyProtection="false">
      <alignment horizontal="center" vertical="bottom" textRotation="0" wrapText="false" indent="0" shrinkToFit="false"/>
      <protection locked="true" hidden="false"/>
    </xf>
    <xf numFmtId="178" fontId="16" fillId="0" borderId="0" xfId="0" applyFont="true" applyBorder="false" applyAlignment="true" applyProtection="false">
      <alignment horizontal="center" vertical="bottom" textRotation="0" wrapText="false" indent="0" shrinkToFit="false"/>
      <protection locked="true" hidden="false"/>
    </xf>
    <xf numFmtId="168" fontId="0" fillId="0" borderId="0" xfId="0" applyFont="false" applyBorder="false" applyAlignment="true" applyProtection="false">
      <alignment horizontal="center" vertical="bottom" textRotation="0" wrapText="false" indent="0" shrinkToFit="false"/>
      <protection locked="true" hidden="false"/>
    </xf>
    <xf numFmtId="179" fontId="0" fillId="0" borderId="0" xfId="0" applyFont="false" applyBorder="false" applyAlignment="true" applyProtection="false">
      <alignment horizontal="center" vertical="bottom" textRotation="0" wrapText="false" indent="0" shrinkToFit="false"/>
      <protection locked="true" hidden="false"/>
    </xf>
    <xf numFmtId="177" fontId="15" fillId="3" borderId="0" xfId="0" applyFont="true" applyBorder="false" applyAlignment="true" applyProtection="false">
      <alignment horizontal="general" vertical="bottom" textRotation="0" wrapText="false" indent="0" shrinkToFit="false"/>
      <protection locked="true" hidden="false"/>
    </xf>
    <xf numFmtId="181" fontId="21" fillId="5" borderId="0" xfId="0" applyFont="true" applyBorder="false" applyAlignment="true" applyProtection="false">
      <alignment horizontal="general" vertical="bottom" textRotation="0" wrapText="false" indent="0" shrinkToFit="false"/>
      <protection locked="true" hidden="false"/>
    </xf>
    <xf numFmtId="173" fontId="21" fillId="5" borderId="0" xfId="0" applyFont="true" applyBorder="false" applyAlignment="true" applyProtection="false">
      <alignment horizontal="general" vertical="bottom" textRotation="0" wrapText="false" indent="0" shrinkToFit="false"/>
      <protection locked="true" hidden="false"/>
    </xf>
    <xf numFmtId="178" fontId="15" fillId="3" borderId="0" xfId="0" applyFont="true" applyBorder="false" applyAlignment="true" applyProtection="false">
      <alignment horizontal="general" vertical="bottom" textRotation="0" wrapText="false" indent="0" shrinkToFit="false"/>
      <protection locked="true" hidden="false"/>
    </xf>
    <xf numFmtId="178" fontId="21" fillId="5" borderId="0" xfId="0" applyFont="true" applyBorder="false" applyAlignment="true" applyProtection="false">
      <alignment horizontal="general" vertical="bottom" textRotation="0" wrapText="false" indent="0" shrinkToFit="false"/>
      <protection locked="true" hidden="false"/>
    </xf>
    <xf numFmtId="164" fontId="0" fillId="0" borderId="2" xfId="0" applyFont="false" applyBorder="true" applyAlignment="true" applyProtection="false">
      <alignment horizontal="general" vertical="bottom" textRotation="0" wrapText="false" indent="0" shrinkToFit="false"/>
      <protection locked="true" hidden="false"/>
    </xf>
    <xf numFmtId="167" fontId="35" fillId="5" borderId="2"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9BBB59"/>
      <rgbColor rgb="FF878787"/>
      <rgbColor rgb="FF888888"/>
      <rgbColor rgb="FFBE4B48"/>
      <rgbColor rgb="FFFFF9E0"/>
      <rgbColor rgb="FFF0F9E8"/>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F2F7F9"/>
      <rgbColor rgb="FFDDE6EA"/>
      <rgbColor rgb="FFEEEEEE"/>
      <rgbColor rgb="FF99CCFF"/>
      <rgbColor rgb="FFFF99CC"/>
      <rgbColor rgb="FFCC99FF"/>
      <rgbColor rgb="FFFFCC99"/>
      <rgbColor rgb="FF4A7EBB"/>
      <rgbColor rgb="FF33CCCC"/>
      <rgbColor rgb="FF98B855"/>
      <rgbColor rgb="FFFFCC00"/>
      <rgbColor rgb="FFFF9900"/>
      <rgbColor rgb="FFFF6600"/>
      <rgbColor rgb="FF5A6E77"/>
      <rgbColor rgb="FF999999"/>
      <rgbColor rgb="FF003B46"/>
      <rgbColor rgb="FF4F81BD"/>
      <rgbColor rgb="FF032330"/>
      <rgbColor rgb="FF333300"/>
      <rgbColor rgb="FF9C1C1C"/>
      <rgbColor rgb="FFC0504D"/>
      <rgbColor rgb="FF333399"/>
      <rgbColor rgb="FF1A2B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Net revenue by channel (EUR)</a:t>
            </a:r>
          </a:p>
        </c:rich>
      </c:tx>
      <c:overlay val="0"/>
      <c:spPr>
        <a:noFill/>
        <a:ln w="0">
          <a:noFill/>
        </a:ln>
      </c:spPr>
    </c:title>
    <c:autoTitleDeleted val="0"/>
    <c:plotArea>
      <c:barChart>
        <c:barDir val="col"/>
        <c:grouping val="stacked"/>
        <c:varyColors val="0"/>
        <c:ser>
          <c:idx val="0"/>
          <c:order val="0"/>
          <c:tx>
            <c:strRef>
              <c:f>"Shopify EU"</c:f>
              <c:strCache>
                <c:ptCount val="1"/>
                <c:pt idx="0">
                  <c:v>Shopify EU</c:v>
                </c:pt>
              </c:strCache>
            </c:strRef>
          </c:tx>
          <c:spPr>
            <a:solidFill>
              <a:srgbClr val="4f81bd"/>
            </a:solidFill>
            <a:ln w="0">
              <a:noFill/>
            </a:ln>
          </c:spPr>
          <c:invertIfNegative val="0"/>
          <c:dLbls>
            <c:txPr>
              <a:bodyPr wrap="square"/>
              <a:lstStyle/>
              <a:p>
                <a:pPr>
                  <a:defRPr b="0" sz="1000" spc="-1" strike="noStrike">
                    <a:solidFill>
                      <a:srgbClr val="000000"/>
                    </a:solidFill>
                    <a:latin typeface="Arial"/>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Assumptions!$E$61:$AB$61</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PL!$E$9:$AB$9</c:f>
              <c:numCache>
                <c:formatCode>#,##0;\(#,##0\);\-</c:formatCode>
                <c:ptCount val="24"/>
                <c:pt idx="0">
                  <c:v>126518</c:v>
                </c:pt>
                <c:pt idx="1">
                  <c:v>127276.58</c:v>
                </c:pt>
                <c:pt idx="2">
                  <c:v>144241.58</c:v>
                </c:pt>
                <c:pt idx="3">
                  <c:v>143072.38</c:v>
                </c:pt>
                <c:pt idx="4">
                  <c:v>164600.64</c:v>
                </c:pt>
                <c:pt idx="5">
                  <c:v>154082.25</c:v>
                </c:pt>
                <c:pt idx="6">
                  <c:v>143338.43</c:v>
                </c:pt>
                <c:pt idx="7">
                  <c:v>145932.25</c:v>
                </c:pt>
                <c:pt idx="8">
                  <c:v>161219.612045003</c:v>
                </c:pt>
                <c:pt idx="9">
                  <c:v>185873.853238251</c:v>
                </c:pt>
                <c:pt idx="10">
                  <c:v>267223.767921303</c:v>
                </c:pt>
                <c:pt idx="11">
                  <c:v>237856.43979889</c:v>
                </c:pt>
                <c:pt idx="12">
                  <c:v>151060.954469948</c:v>
                </c:pt>
                <c:pt idx="13">
                  <c:v>143206.199567388</c:v>
                </c:pt>
                <c:pt idx="14">
                  <c:v>164184.636162175</c:v>
                </c:pt>
                <c:pt idx="15">
                  <c:v>172898.505884076</c:v>
                </c:pt>
                <c:pt idx="16">
                  <c:v>185674.715371997</c:v>
                </c:pt>
                <c:pt idx="17">
                  <c:v>183429.342225887</c:v>
                </c:pt>
                <c:pt idx="18">
                  <c:v>177095.015478629</c:v>
                </c:pt>
                <c:pt idx="19">
                  <c:v>176467.704989638</c:v>
                </c:pt>
                <c:pt idx="20">
                  <c:v>202318.971860377</c:v>
                </c:pt>
                <c:pt idx="21">
                  <c:v>233258.994162161</c:v>
                </c:pt>
                <c:pt idx="22">
                  <c:v>335348.629330097</c:v>
                </c:pt>
                <c:pt idx="23">
                  <c:v>298495.452473682</c:v>
                </c:pt>
              </c:numCache>
            </c:numRef>
          </c:val>
        </c:ser>
        <c:ser>
          <c:idx val="1"/>
          <c:order val="1"/>
          <c:tx>
            <c:strRef>
              <c:f>"Amazon EU"</c:f>
              <c:strCache>
                <c:ptCount val="1"/>
                <c:pt idx="0">
                  <c:v>Amazon EU</c:v>
                </c:pt>
              </c:strCache>
            </c:strRef>
          </c:tx>
          <c:spPr>
            <a:solidFill>
              <a:srgbClr val="c0504d"/>
            </a:solidFill>
            <a:ln w="0">
              <a:noFill/>
            </a:ln>
          </c:spPr>
          <c:invertIfNegative val="0"/>
          <c:dLbls>
            <c:txPr>
              <a:bodyPr wrap="square"/>
              <a:lstStyle/>
              <a:p>
                <a:pPr>
                  <a:defRPr b="0" sz="1000" spc="-1" strike="noStrike">
                    <a:solidFill>
                      <a:srgbClr val="000000"/>
                    </a:solidFill>
                    <a:latin typeface="Arial"/>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Assumptions!$E$61:$AB$61</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PL!$E$10:$AB$10</c:f>
              <c:numCache>
                <c:formatCode>#,##0;\(#,##0\);\-</c:formatCode>
                <c:ptCount val="24"/>
                <c:pt idx="0">
                  <c:v>127000.07</c:v>
                </c:pt>
                <c:pt idx="1">
                  <c:v>108247.38</c:v>
                </c:pt>
                <c:pt idx="2">
                  <c:v>127924.34</c:v>
                </c:pt>
                <c:pt idx="3">
                  <c:v>140331.46</c:v>
                </c:pt>
                <c:pt idx="4">
                  <c:v>152575.28</c:v>
                </c:pt>
                <c:pt idx="5">
                  <c:v>139616.56</c:v>
                </c:pt>
                <c:pt idx="6">
                  <c:v>125727.11</c:v>
                </c:pt>
                <c:pt idx="7">
                  <c:v>122488.86</c:v>
                </c:pt>
                <c:pt idx="8">
                  <c:v>146368.463763659</c:v>
                </c:pt>
                <c:pt idx="9">
                  <c:v>169309.445679136</c:v>
                </c:pt>
                <c:pt idx="10">
                  <c:v>244214.303772802</c:v>
                </c:pt>
                <c:pt idx="11">
                  <c:v>218094.112468741</c:v>
                </c:pt>
                <c:pt idx="12">
                  <c:v>138967.790241991</c:v>
                </c:pt>
                <c:pt idx="13">
                  <c:v>132177.195418778</c:v>
                </c:pt>
                <c:pt idx="14">
                  <c:v>152040.713914755</c:v>
                </c:pt>
                <c:pt idx="15">
                  <c:v>160639.071198893</c:v>
                </c:pt>
                <c:pt idx="16">
                  <c:v>173079.310601265</c:v>
                </c:pt>
                <c:pt idx="17">
                  <c:v>171551.109581215</c:v>
                </c:pt>
                <c:pt idx="18">
                  <c:v>166174.079087877</c:v>
                </c:pt>
                <c:pt idx="19">
                  <c:v>166132.380650495</c:v>
                </c:pt>
                <c:pt idx="20">
                  <c:v>191098.666289834</c:v>
                </c:pt>
                <c:pt idx="21">
                  <c:v>221050.41227868</c:v>
                </c:pt>
                <c:pt idx="22">
                  <c:v>318846.195005771</c:v>
                </c:pt>
                <c:pt idx="23">
                  <c:v>284743.673239188</c:v>
                </c:pt>
              </c:numCache>
            </c:numRef>
          </c:val>
        </c:ser>
        <c:ser>
          <c:idx val="2"/>
          <c:order val="2"/>
          <c:tx>
            <c:strRef>
              <c:f>"Walmart US"</c:f>
              <c:strCache>
                <c:ptCount val="1"/>
                <c:pt idx="0">
                  <c:v>Walmart US</c:v>
                </c:pt>
              </c:strCache>
            </c:strRef>
          </c:tx>
          <c:spPr>
            <a:solidFill>
              <a:srgbClr val="9bbb59"/>
            </a:solidFill>
            <a:ln w="0">
              <a:noFill/>
            </a:ln>
          </c:spPr>
          <c:invertIfNegative val="0"/>
          <c:dLbls>
            <c:txPr>
              <a:bodyPr wrap="square"/>
              <a:lstStyle/>
              <a:p>
                <a:pPr>
                  <a:defRPr b="0" sz="1000" spc="-1" strike="noStrike">
                    <a:solidFill>
                      <a:srgbClr val="000000"/>
                    </a:solidFill>
                    <a:latin typeface="Arial"/>
                  </a:defRPr>
                </a:pPr>
              </a:p>
            </c:txPr>
            <c:dLblPos val="ct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Assumptions!$E$61:$AB$61</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PL!$E$11:$AB$11</c:f>
              <c:numCache>
                <c:formatCode>#,##0;\(#,##0\);\-</c:formatCode>
                <c:ptCount val="24"/>
                <c:pt idx="0">
                  <c:v>14036.1486486486</c:v>
                </c:pt>
                <c:pt idx="1">
                  <c:v>15338.0307396734</c:v>
                </c:pt>
                <c:pt idx="2">
                  <c:v>22211.6730038023</c:v>
                </c:pt>
                <c:pt idx="3">
                  <c:v>27594.7402597403</c:v>
                </c:pt>
                <c:pt idx="4">
                  <c:v>31721.5996343693</c:v>
                </c:pt>
                <c:pt idx="5">
                  <c:v>38248.3664259928</c:v>
                </c:pt>
                <c:pt idx="6">
                  <c:v>37495.637823372</c:v>
                </c:pt>
                <c:pt idx="7">
                  <c:v>46110.9498207885</c:v>
                </c:pt>
                <c:pt idx="8">
                  <c:v>46028.0555260907</c:v>
                </c:pt>
                <c:pt idx="9">
                  <c:v>54516.2800915821</c:v>
                </c:pt>
                <c:pt idx="10">
                  <c:v>80516.7128511666</c:v>
                </c:pt>
                <c:pt idx="11">
                  <c:v>73625.5909133496</c:v>
                </c:pt>
                <c:pt idx="12">
                  <c:v>48036.2300492</c:v>
                </c:pt>
                <c:pt idx="13">
                  <c:v>46782.2612133998</c:v>
                </c:pt>
                <c:pt idx="14">
                  <c:v>55100.3667760839</c:v>
                </c:pt>
                <c:pt idx="15">
                  <c:v>59609.5284953672</c:v>
                </c:pt>
                <c:pt idx="16">
                  <c:v>65762.690297204</c:v>
                </c:pt>
                <c:pt idx="17">
                  <c:v>66741.7913407629</c:v>
                </c:pt>
                <c:pt idx="18">
                  <c:v>66196.8800145498</c:v>
                </c:pt>
                <c:pt idx="19">
                  <c:v>67763.907547956</c:v>
                </c:pt>
                <c:pt idx="20">
                  <c:v>79812.6482822413</c:v>
                </c:pt>
                <c:pt idx="21">
                  <c:v>94531.2296788033</c:v>
                </c:pt>
                <c:pt idx="22">
                  <c:v>139615.980083923</c:v>
                </c:pt>
                <c:pt idx="23">
                  <c:v>127666.774643748</c:v>
                </c:pt>
              </c:numCache>
            </c:numRef>
          </c:val>
        </c:ser>
        <c:gapWidth val="150"/>
        <c:overlap val="100"/>
        <c:axId val="65343888"/>
        <c:axId val="12097342"/>
      </c:barChart>
      <c:catAx>
        <c:axId val="65343888"/>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2097342"/>
        <c:crosses val="autoZero"/>
        <c:auto val="1"/>
        <c:lblAlgn val="ctr"/>
        <c:lblOffset val="100"/>
        <c:noMultiLvlLbl val="0"/>
      </c:catAx>
      <c:valAx>
        <c:axId val="1209734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5343888"/>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Margins: gross, CM2 and EBITDA %</a:t>
            </a:r>
          </a:p>
        </c:rich>
      </c:tx>
      <c:overlay val="0"/>
      <c:spPr>
        <a:noFill/>
        <a:ln w="0">
          <a:noFill/>
        </a:ln>
      </c:spPr>
    </c:title>
    <c:autoTitleDeleted val="0"/>
    <c:plotArea>
      <c:lineChart>
        <c:grouping val="standard"/>
        <c:varyColors val="0"/>
        <c:ser>
          <c:idx val="0"/>
          <c:order val="0"/>
          <c:tx>
            <c:strRef>
              <c:f>"Gross margin %"</c:f>
              <c:strCache>
                <c:ptCount val="1"/>
                <c:pt idx="0">
                  <c:v>Gross margin %</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Assumptions!$E$61:$AB$61</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PL!$E$20:$AB$20</c:f>
              <c:numCache>
                <c:formatCode>0.0%;\(0.0%\);\-</c:formatCode>
                <c:ptCount val="24"/>
                <c:pt idx="0">
                  <c:v>0.622034279855562</c:v>
                </c:pt>
                <c:pt idx="1">
                  <c:v>0.615001871239531</c:v>
                </c:pt>
                <c:pt idx="2">
                  <c:v>0.634679044138034</c:v>
                </c:pt>
                <c:pt idx="3">
                  <c:v>0.659345004544511</c:v>
                </c:pt>
                <c:pt idx="4">
                  <c:v>0.658260476308588</c:v>
                </c:pt>
                <c:pt idx="5">
                  <c:v>0.614050017813918</c:v>
                </c:pt>
                <c:pt idx="6">
                  <c:v>0.644208488161296</c:v>
                </c:pt>
                <c:pt idx="7">
                  <c:v>0.606878463320855</c:v>
                </c:pt>
                <c:pt idx="8">
                  <c:v>0.630863820302931</c:v>
                </c:pt>
                <c:pt idx="9">
                  <c:v>0.612822152027214</c:v>
                </c:pt>
                <c:pt idx="10">
                  <c:v>0.629593452869689</c:v>
                </c:pt>
                <c:pt idx="11">
                  <c:v>0.624238393252336</c:v>
                </c:pt>
                <c:pt idx="12">
                  <c:v>0.629579401522725</c:v>
                </c:pt>
                <c:pt idx="13">
                  <c:v>0.620831388709468</c:v>
                </c:pt>
                <c:pt idx="14">
                  <c:v>0.620855477002774</c:v>
                </c:pt>
                <c:pt idx="15">
                  <c:v>0.619927199584225</c:v>
                </c:pt>
                <c:pt idx="16">
                  <c:v>0.620333436485742</c:v>
                </c:pt>
                <c:pt idx="17">
                  <c:v>0.620323829428494</c:v>
                </c:pt>
                <c:pt idx="18">
                  <c:v>0.621358650720649</c:v>
                </c:pt>
                <c:pt idx="19">
                  <c:v>0.620188678624237</c:v>
                </c:pt>
                <c:pt idx="20">
                  <c:v>0.617625125545329</c:v>
                </c:pt>
                <c:pt idx="21">
                  <c:v>0.618191819470151</c:v>
                </c:pt>
                <c:pt idx="22">
                  <c:v>0.614601187202224</c:v>
                </c:pt>
                <c:pt idx="23">
                  <c:v>0.621404463696927</c:v>
                </c:pt>
              </c:numCache>
            </c:numRef>
          </c:val>
          <c:smooth val="1"/>
        </c:ser>
        <c:ser>
          <c:idx val="1"/>
          <c:order val="1"/>
          <c:tx>
            <c:strRef>
              <c:f>"CM2 %"</c:f>
              <c:strCache>
                <c:ptCount val="1"/>
                <c:pt idx="0">
                  <c:v>CM2 %</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Assumptions!$E$61:$AB$61</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PL!$E$33:$AB$33</c:f>
              <c:numCache>
                <c:formatCode>0.0%;\(0.0%\);\-</c:formatCode>
                <c:ptCount val="24"/>
                <c:pt idx="0">
                  <c:v>0.282044598795551</c:v>
                </c:pt>
                <c:pt idx="1">
                  <c:v>0.257160720185118</c:v>
                </c:pt>
                <c:pt idx="2">
                  <c:v>0.267436249671421</c:v>
                </c:pt>
                <c:pt idx="3">
                  <c:v>0.292711562433492</c:v>
                </c:pt>
                <c:pt idx="4">
                  <c:v>0.294160979037681</c:v>
                </c:pt>
                <c:pt idx="5">
                  <c:v>0.236181562957083</c:v>
                </c:pt>
                <c:pt idx="6">
                  <c:v>0.269804869544231</c:v>
                </c:pt>
                <c:pt idx="7">
                  <c:v>0.227868761387728</c:v>
                </c:pt>
                <c:pt idx="8">
                  <c:v>0.259836395664462</c:v>
                </c:pt>
                <c:pt idx="9">
                  <c:v>0.232802876587328</c:v>
                </c:pt>
                <c:pt idx="10">
                  <c:v>0.246507966213648</c:v>
                </c:pt>
                <c:pt idx="11">
                  <c:v>0.248308420238464</c:v>
                </c:pt>
                <c:pt idx="12">
                  <c:v>0.268068306702481</c:v>
                </c:pt>
                <c:pt idx="13">
                  <c:v>0.251196216991284</c:v>
                </c:pt>
                <c:pt idx="14">
                  <c:v>0.251656106039201</c:v>
                </c:pt>
                <c:pt idx="15">
                  <c:v>0.250236046300458</c:v>
                </c:pt>
                <c:pt idx="16">
                  <c:v>0.251447951078949</c:v>
                </c:pt>
                <c:pt idx="17">
                  <c:v>0.251838371951545</c:v>
                </c:pt>
                <c:pt idx="18">
                  <c:v>0.254284590940855</c:v>
                </c:pt>
                <c:pt idx="19">
                  <c:v>0.252387554021927</c:v>
                </c:pt>
                <c:pt idx="20">
                  <c:v>0.247750250706866</c:v>
                </c:pt>
                <c:pt idx="21">
                  <c:v>0.240728485573046</c:v>
                </c:pt>
                <c:pt idx="22">
                  <c:v>0.234040822837849</c:v>
                </c:pt>
                <c:pt idx="23">
                  <c:v>0.248006185461393</c:v>
                </c:pt>
              </c:numCache>
            </c:numRef>
          </c:val>
          <c:smooth val="1"/>
        </c:ser>
        <c:ser>
          <c:idx val="2"/>
          <c:order val="2"/>
          <c:tx>
            <c:strRef>
              <c:f>"EBITDA %"</c:f>
              <c:strCache>
                <c:ptCount val="1"/>
                <c:pt idx="0">
                  <c:v>EBITDA %</c:v>
                </c:pt>
              </c:strCache>
            </c:strRef>
          </c:tx>
          <c:spPr>
            <a:solidFill>
              <a:srgbClr val="98b855"/>
            </a:solidFill>
            <a:ln w="28440">
              <a:solidFill>
                <a:srgbClr val="98b855"/>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Assumptions!$E$61:$AB$61</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PL!$E$49:$AB$49</c:f>
              <c:numCache>
                <c:formatCode>0.0%;\(0.0%\);\-</c:formatCode>
                <c:ptCount val="24"/>
                <c:pt idx="0">
                  <c:v>0.00543730640009652</c:v>
                </c:pt>
                <c:pt idx="1">
                  <c:v>-0.0395722990680011</c:v>
                </c:pt>
                <c:pt idx="2">
                  <c:v>0.00772465257997738</c:v>
                </c:pt>
                <c:pt idx="3">
                  <c:v>0.0398113232624228</c:v>
                </c:pt>
                <c:pt idx="4">
                  <c:v>0.0671873844499308</c:v>
                </c:pt>
                <c:pt idx="5">
                  <c:v>-0.0090659902914</c:v>
                </c:pt>
                <c:pt idx="6">
                  <c:v>0.0119223315152304</c:v>
                </c:pt>
                <c:pt idx="7">
                  <c:v>-0.0331298066782696</c:v>
                </c:pt>
                <c:pt idx="8">
                  <c:v>0.0299071432038859</c:v>
                </c:pt>
                <c:pt idx="9">
                  <c:v>0.0259141200444512</c:v>
                </c:pt>
                <c:pt idx="10">
                  <c:v>0.0910497739270382</c:v>
                </c:pt>
                <c:pt idx="11">
                  <c:v>0.0791518811357034</c:v>
                </c:pt>
                <c:pt idx="12">
                  <c:v>0.00629964287618527</c:v>
                </c:pt>
                <c:pt idx="13">
                  <c:v>-0.0438997910122834</c:v>
                </c:pt>
                <c:pt idx="14">
                  <c:v>-0.00585388304582974</c:v>
                </c:pt>
                <c:pt idx="15">
                  <c:v>0.00589117297317764</c:v>
                </c:pt>
                <c:pt idx="16">
                  <c:v>0.0246284699796223</c:v>
                </c:pt>
                <c:pt idx="17">
                  <c:v>0.0237555453222853</c:v>
                </c:pt>
                <c:pt idx="18">
                  <c:v>0.0205563650136344</c:v>
                </c:pt>
                <c:pt idx="19">
                  <c:v>0.0185898679977577</c:v>
                </c:pt>
                <c:pt idx="20">
                  <c:v>0.042118970056384</c:v>
                </c:pt>
                <c:pt idx="21">
                  <c:v>0.0620921964559354</c:v>
                </c:pt>
                <c:pt idx="22">
                  <c:v>0.105569262776364</c:v>
                </c:pt>
                <c:pt idx="23">
                  <c:v>0.108639739720609</c:v>
                </c:pt>
              </c:numCache>
            </c:numRef>
          </c:val>
          <c:smooth val="1"/>
        </c:ser>
        <c:hiLowLines>
          <c:spPr>
            <a:ln w="0">
              <a:noFill/>
            </a:ln>
          </c:spPr>
        </c:hiLowLines>
        <c:marker val="0"/>
        <c:axId val="35443544"/>
        <c:axId val="62164180"/>
      </c:lineChart>
      <c:catAx>
        <c:axId val="35443544"/>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2164180"/>
        <c:crosses val="autoZero"/>
        <c:auto val="1"/>
        <c:lblAlgn val="ctr"/>
        <c:lblOffset val="100"/>
        <c:noMultiLvlLbl val="0"/>
      </c:catAx>
      <c:valAx>
        <c:axId val="62164180"/>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443544"/>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Cash, inventory on hand and marketplace receivables (EUR)</a:t>
            </a:r>
          </a:p>
        </c:rich>
      </c:tx>
      <c:overlay val="0"/>
      <c:spPr>
        <a:noFill/>
        <a:ln w="0">
          <a:noFill/>
        </a:ln>
      </c:spPr>
    </c:title>
    <c:autoTitleDeleted val="0"/>
    <c:plotArea>
      <c:lineChart>
        <c:grouping val="standard"/>
        <c:varyColors val="0"/>
        <c:ser>
          <c:idx val="0"/>
          <c:order val="0"/>
          <c:tx>
            <c:strRef>
              <c:f>"Cash"</c:f>
              <c:strCache>
                <c:ptCount val="1"/>
                <c:pt idx="0">
                  <c:v>Cash</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Assumptions!$E$61:$AB$61</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BS!$E$9:$AB$9</c:f>
              <c:numCache>
                <c:formatCode>#,##0;\(#,##0\);\-</c:formatCode>
                <c:ptCount val="24"/>
                <c:pt idx="0">
                  <c:v>396444.439224908</c:v>
                </c:pt>
                <c:pt idx="1">
                  <c:v>378620.878449815</c:v>
                </c:pt>
                <c:pt idx="2">
                  <c:v>473742.317674723</c:v>
                </c:pt>
                <c:pt idx="3">
                  <c:v>328674.27664963</c:v>
                </c:pt>
                <c:pt idx="4">
                  <c:v>453889.715874538</c:v>
                </c:pt>
                <c:pt idx="5">
                  <c:v>495519.155099445</c:v>
                </c:pt>
                <c:pt idx="6">
                  <c:v>332377.756974353</c:v>
                </c:pt>
                <c:pt idx="7">
                  <c:v>391452.19619926</c:v>
                </c:pt>
                <c:pt idx="8">
                  <c:v>312681.113650824</c:v>
                </c:pt>
                <c:pt idx="9">
                  <c:v>288663.198204064</c:v>
                </c:pt>
                <c:pt idx="10">
                  <c:v>399941.040920956</c:v>
                </c:pt>
                <c:pt idx="11">
                  <c:v>611228.15905107</c:v>
                </c:pt>
                <c:pt idx="12">
                  <c:v>487746.837917712</c:v>
                </c:pt>
                <c:pt idx="13">
                  <c:v>441345.671542249</c:v>
                </c:pt>
                <c:pt idx="14">
                  <c:v>504001.610207085</c:v>
                </c:pt>
                <c:pt idx="15">
                  <c:v>385995.665359386</c:v>
                </c:pt>
                <c:pt idx="16">
                  <c:v>458320.235359693</c:v>
                </c:pt>
                <c:pt idx="17">
                  <c:v>505412.125956048</c:v>
                </c:pt>
                <c:pt idx="18">
                  <c:v>259894.061342331</c:v>
                </c:pt>
                <c:pt idx="19">
                  <c:v>257728.957259515</c:v>
                </c:pt>
                <c:pt idx="20">
                  <c:v>118370.880441819</c:v>
                </c:pt>
                <c:pt idx="21">
                  <c:v>1825.21673517399</c:v>
                </c:pt>
                <c:pt idx="22">
                  <c:v>140551.651378412</c:v>
                </c:pt>
                <c:pt idx="23">
                  <c:v>346148.301803288</c:v>
                </c:pt>
              </c:numCache>
            </c:numRef>
          </c:val>
          <c:smooth val="1"/>
        </c:ser>
        <c:ser>
          <c:idx val="1"/>
          <c:order val="1"/>
          <c:tx>
            <c:strRef>
              <c:f>"Inventory on hand"</c:f>
              <c:strCache>
                <c:ptCount val="1"/>
                <c:pt idx="0">
                  <c:v>Inventory on hand</c:v>
                </c:pt>
              </c:strCache>
            </c:strRef>
          </c:tx>
          <c:spPr>
            <a:solidFill>
              <a:srgbClr val="be4b48"/>
            </a:solidFill>
            <a:ln w="28440">
              <a:solidFill>
                <a:srgbClr val="be4b48"/>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Assumptions!$E$61:$AB$61</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BS!$E$11:$AB$11</c:f>
              <c:numCache>
                <c:formatCode>#,##0;\(#,##0\);\-</c:formatCode>
                <c:ptCount val="24"/>
                <c:pt idx="0">
                  <c:v>734632.17</c:v>
                </c:pt>
                <c:pt idx="1">
                  <c:v>693600.55</c:v>
                </c:pt>
                <c:pt idx="2">
                  <c:v>671167.56</c:v>
                </c:pt>
                <c:pt idx="3">
                  <c:v>555934.38</c:v>
                </c:pt>
                <c:pt idx="4">
                  <c:v>591361.56</c:v>
                </c:pt>
                <c:pt idx="5">
                  <c:v>532501.08</c:v>
                </c:pt>
                <c:pt idx="6">
                  <c:v>467854.25</c:v>
                </c:pt>
                <c:pt idx="7">
                  <c:v>390173.13</c:v>
                </c:pt>
                <c:pt idx="8">
                  <c:v>518586.507970427</c:v>
                </c:pt>
                <c:pt idx="9">
                  <c:v>631432.396407788</c:v>
                </c:pt>
                <c:pt idx="10">
                  <c:v>478554.853053368</c:v>
                </c:pt>
                <c:pt idx="11">
                  <c:v>435689.783239396</c:v>
                </c:pt>
                <c:pt idx="12">
                  <c:v>552788.975271565</c:v>
                </c:pt>
                <c:pt idx="13">
                  <c:v>478424.882693761</c:v>
                </c:pt>
                <c:pt idx="14">
                  <c:v>468862.320711011</c:v>
                </c:pt>
                <c:pt idx="15">
                  <c:v>453385.625918179</c:v>
                </c:pt>
                <c:pt idx="16">
                  <c:v>438794.795232587</c:v>
                </c:pt>
                <c:pt idx="17">
                  <c:v>393633.427969154</c:v>
                </c:pt>
                <c:pt idx="18">
                  <c:v>394470.743193935</c:v>
                </c:pt>
                <c:pt idx="19">
                  <c:v>470384.738068628</c:v>
                </c:pt>
                <c:pt idx="20">
                  <c:v>528303.017317679</c:v>
                </c:pt>
                <c:pt idx="21">
                  <c:v>790119.455030334</c:v>
                </c:pt>
                <c:pt idx="22">
                  <c:v>685248.076029954</c:v>
                </c:pt>
                <c:pt idx="23">
                  <c:v>685248.076029954</c:v>
                </c:pt>
              </c:numCache>
            </c:numRef>
          </c:val>
          <c:smooth val="1"/>
        </c:ser>
        <c:ser>
          <c:idx val="2"/>
          <c:order val="2"/>
          <c:tx>
            <c:strRef>
              <c:f>"Marketplace receivables"</c:f>
              <c:strCache>
                <c:ptCount val="1"/>
                <c:pt idx="0">
                  <c:v>Marketplace receivables</c:v>
                </c:pt>
              </c:strCache>
            </c:strRef>
          </c:tx>
          <c:spPr>
            <a:solidFill>
              <a:srgbClr val="98b855"/>
            </a:solidFill>
            <a:ln w="28440">
              <a:solidFill>
                <a:srgbClr val="98b855"/>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Assumptions!$E$61:$AB$61</c:f>
              <c:multiLvlStrCache>
                <c:ptCount val="1"/>
                <c:lvl>
                  <c:pt idx="0">
                    <c:v>Dec-27</c:v>
                  </c:pt>
                </c:lvl>
                <c:lvl>
                  <c:pt idx="0">
                    <c:v>Nov-27</c:v>
                  </c:pt>
                </c:lvl>
                <c:lvl>
                  <c:pt idx="0">
                    <c:v>Oct-27</c:v>
                  </c:pt>
                </c:lvl>
                <c:lvl>
                  <c:pt idx="0">
                    <c:v>Sep-27</c:v>
                  </c:pt>
                </c:lvl>
                <c:lvl>
                  <c:pt idx="0">
                    <c:v>Aug-27</c:v>
                  </c:pt>
                </c:lvl>
                <c:lvl>
                  <c:pt idx="0">
                    <c:v>Jul-27</c:v>
                  </c:pt>
                </c:lvl>
                <c:lvl>
                  <c:pt idx="0">
                    <c:v>Jun-27</c:v>
                  </c:pt>
                </c:lvl>
                <c:lvl>
                  <c:pt idx="0">
                    <c:v>May-27</c:v>
                  </c:pt>
                </c:lvl>
                <c:lvl>
                  <c:pt idx="0">
                    <c:v>Apr-27</c:v>
                  </c:pt>
                </c:lvl>
                <c:lvl>
                  <c:pt idx="0">
                    <c:v>Mar-27</c:v>
                  </c:pt>
                </c:lvl>
                <c:lvl>
                  <c:pt idx="0">
                    <c:v>Feb-27</c:v>
                  </c:pt>
                </c:lvl>
                <c:lvl>
                  <c:pt idx="0">
                    <c:v>Jan-27</c:v>
                  </c:pt>
                </c:lvl>
                <c:lvl>
                  <c:pt idx="0">
                    <c:v>Dec-26</c:v>
                  </c:pt>
                </c:lvl>
                <c:lvl>
                  <c:pt idx="0">
                    <c:v>Nov-26</c:v>
                  </c:pt>
                </c:lvl>
                <c:lvl>
                  <c:pt idx="0">
                    <c:v>Oct-26</c:v>
                  </c:pt>
                </c:lvl>
                <c:lvl>
                  <c:pt idx="0">
                    <c:v>Sep-26</c:v>
                  </c:pt>
                </c:lvl>
                <c:lvl>
                  <c:pt idx="0">
                    <c:v>Aug-26</c:v>
                  </c:pt>
                </c:lvl>
                <c:lvl>
                  <c:pt idx="0">
                    <c:v>Jul-26</c:v>
                  </c:pt>
                </c:lvl>
                <c:lvl>
                  <c:pt idx="0">
                    <c:v>Jun-26</c:v>
                  </c:pt>
                </c:lvl>
                <c:lvl>
                  <c:pt idx="0">
                    <c:v>May-26</c:v>
                  </c:pt>
                </c:lvl>
                <c:lvl>
                  <c:pt idx="0">
                    <c:v>Apr-26</c:v>
                  </c:pt>
                </c:lvl>
                <c:lvl>
                  <c:pt idx="0">
                    <c:v>Mar-26</c:v>
                  </c:pt>
                </c:lvl>
                <c:lvl>
                  <c:pt idx="0">
                    <c:v>Feb-26</c:v>
                  </c:pt>
                </c:lvl>
                <c:lvl>
                  <c:pt idx="0">
                    <c:v>Jan-26</c:v>
                  </c:pt>
                </c:lvl>
              </c:multiLvlStrCache>
            </c:multiLvlStrRef>
          </c:cat>
          <c:val>
            <c:numRef>
              <c:f>BS!$E$10:$AB$10</c:f>
              <c:numCache>
                <c:formatCode>#,##0;\(#,##0\);\-</c:formatCode>
                <c:ptCount val="24"/>
                <c:pt idx="0">
                  <c:v>85464.4307206564</c:v>
                </c:pt>
                <c:pt idx="1">
                  <c:v>96314.4317233461</c:v>
                </c:pt>
                <c:pt idx="2">
                  <c:v>107908.890038175</c:v>
                </c:pt>
                <c:pt idx="3">
                  <c:v>115541.157312387</c:v>
                </c:pt>
                <c:pt idx="4">
                  <c:v>129081.437073264</c:v>
                </c:pt>
                <c:pt idx="5">
                  <c:v>127648.255830845</c:v>
                </c:pt>
                <c:pt idx="6">
                  <c:v>102297.311816305</c:v>
                </c:pt>
                <c:pt idx="7">
                  <c:v>105116.523559853</c:v>
                </c:pt>
                <c:pt idx="8">
                  <c:v>127022.380612899</c:v>
                </c:pt>
                <c:pt idx="9">
                  <c:v>140287.912493951</c:v>
                </c:pt>
                <c:pt idx="10">
                  <c:v>209973.438205348</c:v>
                </c:pt>
                <c:pt idx="11">
                  <c:v>182242.784503807</c:v>
                </c:pt>
                <c:pt idx="12">
                  <c:v>118649.712573932</c:v>
                </c:pt>
                <c:pt idx="13">
                  <c:v>125488.153060527</c:v>
                </c:pt>
                <c:pt idx="14">
                  <c:v>130958.464043457</c:v>
                </c:pt>
                <c:pt idx="15">
                  <c:v>143627.688846041</c:v>
                </c:pt>
                <c:pt idx="16">
                  <c:v>150455.09758686</c:v>
                </c:pt>
                <c:pt idx="17">
                  <c:v>154829.544883117</c:v>
                </c:pt>
                <c:pt idx="18">
                  <c:v>145842.724624459</c:v>
                </c:pt>
                <c:pt idx="19">
                  <c:v>146528.294108939</c:v>
                </c:pt>
                <c:pt idx="20">
                  <c:v>175047.41441388</c:v>
                </c:pt>
                <c:pt idx="21">
                  <c:v>193799.45893346</c:v>
                </c:pt>
                <c:pt idx="22">
                  <c:v>290411.097366481</c:v>
                </c:pt>
                <c:pt idx="23">
                  <c:v>252361.302761511</c:v>
                </c:pt>
              </c:numCache>
            </c:numRef>
          </c:val>
          <c:smooth val="1"/>
        </c:ser>
        <c:hiLowLines>
          <c:spPr>
            <a:ln w="0">
              <a:noFill/>
            </a:ln>
          </c:spPr>
        </c:hiLowLines>
        <c:marker val="0"/>
        <c:axId val="98512251"/>
        <c:axId val="76912279"/>
      </c:lineChart>
      <c:catAx>
        <c:axId val="98512251"/>
        <c:scaling>
          <c:orientation val="minMax"/>
        </c:scaling>
        <c:delete val="0"/>
        <c:axPos val="b"/>
        <c:numFmt formatCode="mmm\-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6912279"/>
        <c:crosses val="autoZero"/>
        <c:auto val="1"/>
        <c:lblAlgn val="ctr"/>
        <c:lblOffset val="100"/>
        <c:noMultiLvlLbl val="0"/>
      </c:catAx>
      <c:valAx>
        <c:axId val="76912279"/>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EUR</a:t>
                </a:r>
              </a:p>
            </c:rich>
          </c:tx>
          <c:overlay val="0"/>
          <c:spPr>
            <a:noFill/>
            <a:ln w="0">
              <a:noFill/>
            </a:ln>
          </c:spPr>
        </c:title>
        <c:numFmt formatCode="#,##0;\(#,##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8512251"/>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46</xdr:row>
      <xdr:rowOff>160560</xdr:rowOff>
    </xdr:from>
    <xdr:to>
      <xdr:col>4</xdr:col>
      <xdr:colOff>729720</xdr:colOff>
      <xdr:row>61</xdr:row>
      <xdr:rowOff>2520</xdr:rowOff>
    </xdr:to>
    <xdr:graphicFrame>
      <xdr:nvGraphicFramePr>
        <xdr:cNvPr id="0" name="Chart 1"/>
        <xdr:cNvGraphicFramePr/>
      </xdr:nvGraphicFramePr>
      <xdr:xfrm>
        <a:off x="0" y="8952120"/>
        <a:ext cx="791928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62</xdr:row>
      <xdr:rowOff>160920</xdr:rowOff>
    </xdr:from>
    <xdr:to>
      <xdr:col>4</xdr:col>
      <xdr:colOff>729720</xdr:colOff>
      <xdr:row>77</xdr:row>
      <xdr:rowOff>2520</xdr:rowOff>
    </xdr:to>
    <xdr:graphicFrame>
      <xdr:nvGraphicFramePr>
        <xdr:cNvPr id="1" name="Chart 2"/>
        <xdr:cNvGraphicFramePr/>
      </xdr:nvGraphicFramePr>
      <xdr:xfrm>
        <a:off x="0" y="12000600"/>
        <a:ext cx="7919280" cy="269892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78</xdr:row>
      <xdr:rowOff>160560</xdr:rowOff>
    </xdr:from>
    <xdr:to>
      <xdr:col>4</xdr:col>
      <xdr:colOff>729720</xdr:colOff>
      <xdr:row>93</xdr:row>
      <xdr:rowOff>2520</xdr:rowOff>
    </xdr:to>
    <xdr:graphicFrame>
      <xdr:nvGraphicFramePr>
        <xdr:cNvPr id="2" name="Chart 3"/>
        <xdr:cNvGraphicFramePr/>
      </xdr:nvGraphicFramePr>
      <xdr:xfrm>
        <a:off x="0" y="15048000"/>
        <a:ext cx="7919280" cy="269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final.xlsx" TargetMode="External"/><Relationship Id="rId2" Type="http://schemas.openxmlformats.org/officeDocument/2006/relationships/hyperlink" Target="final.xlsx" TargetMode="External"/><Relationship Id="rId3" Type="http://schemas.openxmlformats.org/officeDocument/2006/relationships/hyperlink" Target="final.xlsx" TargetMode="External"/><Relationship Id="rId4" Type="http://schemas.openxmlformats.org/officeDocument/2006/relationships/hyperlink" Target="final.xlsx" TargetMode="External"/><Relationship Id="rId5" Type="http://schemas.openxmlformats.org/officeDocument/2006/relationships/hyperlink" Target="final.xlsx" TargetMode="External"/><Relationship Id="rId6" Type="http://schemas.openxmlformats.org/officeDocument/2006/relationships/hyperlink" Target="final.xlsx" TargetMode="External"/><Relationship Id="rId7" Type="http://schemas.openxmlformats.org/officeDocument/2006/relationships/hyperlink" Target="final.xlsx" TargetMode="External"/><Relationship Id="rId8" Type="http://schemas.openxmlformats.org/officeDocument/2006/relationships/hyperlink" Target="final.xlsx" TargetMode="External"/><Relationship Id="rId9" Type="http://schemas.openxmlformats.org/officeDocument/2006/relationships/hyperlink" Target="final.xlsx" TargetMode="External"/><Relationship Id="rId10" Type="http://schemas.openxmlformats.org/officeDocument/2006/relationships/hyperlink" Target="final.xlsx" TargetMode="External"/><Relationship Id="rId11" Type="http://schemas.openxmlformats.org/officeDocument/2006/relationships/hyperlink" Target="final.xlsx" TargetMode="External"/><Relationship Id="rId12" Type="http://schemas.openxmlformats.org/officeDocument/2006/relationships/hyperlink" Target="final.xlsx" TargetMode="External"/><Relationship Id="rId13" Type="http://schemas.openxmlformats.org/officeDocument/2006/relationships/hyperlink" Target="final.xlsx" TargetMode="External"/><Relationship Id="rId14" Type="http://schemas.openxmlformats.org/officeDocument/2006/relationships/hyperlink" Target="final.xlsx" TargetMode="External"/><Relationship Id="rId15" Type="http://schemas.openxmlformats.org/officeDocument/2006/relationships/hyperlink" Target="final.xlsx" TargetMode="External"/><Relationship Id="rId16" Type="http://schemas.openxmlformats.org/officeDocument/2006/relationships/hyperlink" Target="final.xlsx" TargetMode="External"/><Relationship Id="rId17" Type="http://schemas.openxmlformats.org/officeDocument/2006/relationships/hyperlink" Target="final.xlsx" TargetMode="External"/><Relationship Id="rId18" Type="http://schemas.openxmlformats.org/officeDocument/2006/relationships/hyperlink" Target="final.xlsx" TargetMode="External"/><Relationship Id="rId19" Type="http://schemas.openxmlformats.org/officeDocument/2006/relationships/hyperlink" Target="final.xlsx" TargetMode="External"/><Relationship Id="rId20" Type="http://schemas.openxmlformats.org/officeDocument/2006/relationships/hyperlink" Target="final.xlsx" TargetMode="External"/><Relationship Id="rId21" Type="http://schemas.openxmlformats.org/officeDocument/2006/relationships/hyperlink" Target="final.xlsx" TargetMode="External"/><Relationship Id="rId22" Type="http://schemas.openxmlformats.org/officeDocument/2006/relationships/hyperlink" Target="final.xlsx" TargetMode="External"/><Relationship Id="rId23" Type="http://schemas.openxmlformats.org/officeDocument/2006/relationships/hyperlink" Target="final.xlsx" TargetMode="External"/><Relationship Id="rId24" Type="http://schemas.openxmlformats.org/officeDocument/2006/relationships/hyperlink" Target="final.xlsx" TargetMode="External"/><Relationship Id="rId25" Type="http://schemas.openxmlformats.org/officeDocument/2006/relationships/hyperlink" Target="final.xlsx" TargetMode="External"/><Relationship Id="rId26" Type="http://schemas.openxmlformats.org/officeDocument/2006/relationships/hyperlink" Target="final.xlsx" TargetMode="External"/><Relationship Id="rId27" Type="http://schemas.openxmlformats.org/officeDocument/2006/relationships/hyperlink" Target="final.xlsx" TargetMode="Externa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5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4"/>
    <col collapsed="false" customWidth="true" hidden="false" outlineLevel="0" max="3" min="3" style="1" width="90"/>
    <col collapsed="false" customWidth="true" hidden="false" outlineLevel="0" max="5" min="4" style="1" width="12"/>
  </cols>
  <sheetData>
    <row r="2" customFormat="false" ht="24" hidden="false" customHeight="true" outlineLevel="0" collapsed="false">
      <c r="B2" s="2" t="str">
        <f aca="false">Assumptions!$C$6</f>
        <v>Alderway Home B.V. (fictional demonstration company)</v>
      </c>
    </row>
    <row r="3" customFormat="false" ht="17.25" hidden="false" customHeight="true" outlineLevel="0" collapsed="false">
      <c r="B3" s="3" t="s">
        <v>0</v>
      </c>
    </row>
    <row r="4" customFormat="false" ht="15" hidden="false" customHeight="true" outlineLevel="0" collapsed="false">
      <c r="B4" s="4" t="s">
        <v>1</v>
      </c>
    </row>
    <row r="6" customFormat="false" ht="57.75" hidden="false" customHeight="true" outlineLevel="0" collapsed="false">
      <c r="B6" s="5" t="s">
        <v>2</v>
      </c>
      <c r="C6" s="5"/>
      <c r="D6" s="5"/>
      <c r="E6" s="5"/>
    </row>
    <row r="8" customFormat="false" ht="15" hidden="false" customHeight="true" outlineLevel="0" collapsed="false">
      <c r="B8" s="6" t="s">
        <v>3</v>
      </c>
      <c r="C8" s="7" t="n">
        <f aca="false">Assumptions!$C$9</f>
        <v>46265</v>
      </c>
    </row>
    <row r="9" customFormat="false" ht="15" hidden="false" customHeight="true" outlineLevel="0" collapsed="false">
      <c r="B9" s="6" t="s">
        <v>4</v>
      </c>
      <c r="C9" s="8" t="str">
        <f aca="false">"Sep-26 to Dec-27 ("&amp;Assumptions!$C$12&amp;" scenario selected)"</f>
        <v>Sep-26 to Dec-27 (Base scenario selected)</v>
      </c>
    </row>
    <row r="10" customFormat="false" ht="15" hidden="false" customHeight="true" outlineLevel="0" collapsed="false">
      <c r="B10" s="6" t="s">
        <v>5</v>
      </c>
      <c r="C10" s="9" t="s">
        <v>6</v>
      </c>
    </row>
    <row r="11" customFormat="false" ht="15" hidden="false" customHeight="true" outlineLevel="0" collapsed="false">
      <c r="B11" s="6" t="s">
        <v>7</v>
      </c>
      <c r="C11" s="8" t="str">
        <f aca="false">Checks!E35</f>
        <v>OK</v>
      </c>
    </row>
    <row r="12" customFormat="false" ht="15" hidden="false" customHeight="true" outlineLevel="0" collapsed="false">
      <c r="B12" s="6" t="s">
        <v>8</v>
      </c>
      <c r="C12" s="10" t="n">
        <f aca="false">PL!$C$14</f>
        <v>4310520.89880083</v>
      </c>
    </row>
    <row r="13" customFormat="false" ht="15" hidden="false" customHeight="true" outlineLevel="0" collapsed="false">
      <c r="B13" s="6" t="s">
        <v>9</v>
      </c>
      <c r="C13" s="10" t="n">
        <f aca="false">PL!$C$48</f>
        <v>136385.730066086</v>
      </c>
    </row>
    <row r="14" customFormat="false" ht="15" hidden="false" customHeight="true" outlineLevel="0" collapsed="false">
      <c r="B14" s="6" t="s">
        <v>10</v>
      </c>
      <c r="C14" s="10" t="n">
        <f aca="false">INDEX(BS!$E$9:$AB$9,Assumptions!$C$10)</f>
        <v>391452.19619926</v>
      </c>
    </row>
    <row r="15" customFormat="false" ht="15" hidden="false" customHeight="true" outlineLevel="0" collapsed="false">
      <c r="B15" s="6" t="s">
        <v>11</v>
      </c>
      <c r="C15" s="10" t="n">
        <f aca="false">Cash_13W!C75</f>
        <v>290055.24057975</v>
      </c>
    </row>
    <row r="16" customFormat="false" ht="23.25" hidden="false" customHeight="true" outlineLevel="0" collapsed="false">
      <c r="B16" s="6" t="s">
        <v>12</v>
      </c>
      <c r="C16" s="9" t="s">
        <v>13</v>
      </c>
    </row>
    <row r="18" customFormat="false" ht="15" hidden="false" customHeight="true" outlineLevel="0" collapsed="false">
      <c r="B18" s="11" t="s">
        <v>14</v>
      </c>
      <c r="C18" s="11" t="s">
        <v>15</v>
      </c>
      <c r="D18" s="11" t="s">
        <v>16</v>
      </c>
    </row>
    <row r="19" customFormat="false" ht="15" hidden="false" customHeight="true" outlineLevel="0" collapsed="false">
      <c r="B19" s="12" t="s">
        <v>17</v>
      </c>
      <c r="C19" s="13" t="s">
        <v>18</v>
      </c>
      <c r="D19" s="14" t="s">
        <v>19</v>
      </c>
    </row>
    <row r="20" customFormat="false" ht="15" hidden="false" customHeight="true" outlineLevel="0" collapsed="false">
      <c r="B20" s="12" t="s">
        <v>20</v>
      </c>
      <c r="C20" s="13" t="s">
        <v>21</v>
      </c>
      <c r="D20" s="14" t="s">
        <v>19</v>
      </c>
    </row>
    <row r="21" customFormat="false" ht="15" hidden="false" customHeight="true" outlineLevel="0" collapsed="false">
      <c r="B21" s="12" t="s">
        <v>22</v>
      </c>
      <c r="C21" s="13" t="s">
        <v>23</v>
      </c>
      <c r="D21" s="14" t="s">
        <v>24</v>
      </c>
    </row>
    <row r="22" customFormat="false" ht="15" hidden="false" customHeight="true" outlineLevel="0" collapsed="false">
      <c r="B22" s="12" t="s">
        <v>25</v>
      </c>
      <c r="C22" s="13" t="s">
        <v>26</v>
      </c>
      <c r="D22" s="14" t="s">
        <v>19</v>
      </c>
    </row>
    <row r="23" customFormat="false" ht="15" hidden="false" customHeight="true" outlineLevel="0" collapsed="false">
      <c r="B23" s="12" t="s">
        <v>27</v>
      </c>
      <c r="C23" s="13" t="s">
        <v>28</v>
      </c>
      <c r="D23" s="14" t="s">
        <v>19</v>
      </c>
    </row>
    <row r="24" customFormat="false" ht="15" hidden="false" customHeight="true" outlineLevel="0" collapsed="false">
      <c r="B24" s="12" t="s">
        <v>29</v>
      </c>
      <c r="C24" s="13" t="s">
        <v>30</v>
      </c>
      <c r="D24" s="14" t="s">
        <v>31</v>
      </c>
    </row>
    <row r="25" customFormat="false" ht="15" hidden="false" customHeight="true" outlineLevel="0" collapsed="false">
      <c r="B25" s="12" t="s">
        <v>32</v>
      </c>
      <c r="C25" s="13" t="s">
        <v>33</v>
      </c>
      <c r="D25" s="14" t="s">
        <v>31</v>
      </c>
    </row>
    <row r="26" customFormat="false" ht="15" hidden="false" customHeight="true" outlineLevel="0" collapsed="false">
      <c r="B26" s="12" t="s">
        <v>34</v>
      </c>
      <c r="C26" s="13" t="s">
        <v>35</v>
      </c>
      <c r="D26" s="14" t="s">
        <v>31</v>
      </c>
    </row>
    <row r="27" customFormat="false" ht="15" hidden="false" customHeight="true" outlineLevel="0" collapsed="false">
      <c r="B27" s="12" t="s">
        <v>36</v>
      </c>
      <c r="C27" s="13" t="s">
        <v>37</v>
      </c>
      <c r="D27" s="14" t="s">
        <v>38</v>
      </c>
    </row>
    <row r="28" customFormat="false" ht="15" hidden="false" customHeight="true" outlineLevel="0" collapsed="false">
      <c r="B28" s="12" t="s">
        <v>39</v>
      </c>
      <c r="C28" s="13" t="s">
        <v>40</v>
      </c>
      <c r="D28" s="14" t="s">
        <v>38</v>
      </c>
    </row>
    <row r="29" customFormat="false" ht="15" hidden="false" customHeight="true" outlineLevel="0" collapsed="false">
      <c r="B29" s="12" t="s">
        <v>41</v>
      </c>
      <c r="C29" s="13" t="s">
        <v>42</v>
      </c>
      <c r="D29" s="14" t="s">
        <v>38</v>
      </c>
    </row>
    <row r="30" customFormat="false" ht="15" hidden="false" customHeight="true" outlineLevel="0" collapsed="false">
      <c r="B30" s="12" t="s">
        <v>43</v>
      </c>
      <c r="C30" s="13" t="s">
        <v>44</v>
      </c>
      <c r="D30" s="14" t="s">
        <v>45</v>
      </c>
    </row>
    <row r="31" customFormat="false" ht="15" hidden="false" customHeight="true" outlineLevel="0" collapsed="false">
      <c r="B31" s="12" t="s">
        <v>46</v>
      </c>
      <c r="C31" s="13" t="s">
        <v>47</v>
      </c>
      <c r="D31" s="14" t="s">
        <v>45</v>
      </c>
    </row>
    <row r="32" customFormat="false" ht="15" hidden="false" customHeight="true" outlineLevel="0" collapsed="false">
      <c r="B32" s="12" t="s">
        <v>48</v>
      </c>
      <c r="C32" s="13" t="s">
        <v>49</v>
      </c>
      <c r="D32" s="14" t="s">
        <v>45</v>
      </c>
    </row>
    <row r="33" customFormat="false" ht="15" hidden="false" customHeight="true" outlineLevel="0" collapsed="false">
      <c r="B33" s="12" t="s">
        <v>50</v>
      </c>
      <c r="C33" s="13" t="s">
        <v>51</v>
      </c>
      <c r="D33" s="14" t="s">
        <v>45</v>
      </c>
    </row>
    <row r="34" customFormat="false" ht="15" hidden="false" customHeight="true" outlineLevel="0" collapsed="false">
      <c r="B34" s="12" t="s">
        <v>52</v>
      </c>
      <c r="C34" s="13" t="s">
        <v>53</v>
      </c>
      <c r="D34" s="14" t="s">
        <v>45</v>
      </c>
    </row>
    <row r="35" customFormat="false" ht="15" hidden="false" customHeight="true" outlineLevel="0" collapsed="false">
      <c r="B35" s="12" t="s">
        <v>54</v>
      </c>
      <c r="C35" s="13" t="s">
        <v>55</v>
      </c>
      <c r="D35" s="14" t="s">
        <v>45</v>
      </c>
    </row>
    <row r="36" customFormat="false" ht="15" hidden="false" customHeight="true" outlineLevel="0" collapsed="false">
      <c r="B36" s="12" t="s">
        <v>56</v>
      </c>
      <c r="C36" s="13" t="s">
        <v>57</v>
      </c>
      <c r="D36" s="14" t="s">
        <v>45</v>
      </c>
    </row>
    <row r="37" customFormat="false" ht="15" hidden="false" customHeight="true" outlineLevel="0" collapsed="false">
      <c r="B37" s="12" t="s">
        <v>58</v>
      </c>
      <c r="C37" s="13" t="s">
        <v>59</v>
      </c>
      <c r="D37" s="14" t="s">
        <v>45</v>
      </c>
    </row>
    <row r="38" customFormat="false" ht="15" hidden="false" customHeight="true" outlineLevel="0" collapsed="false">
      <c r="B38" s="12" t="s">
        <v>60</v>
      </c>
      <c r="C38" s="13" t="s">
        <v>61</v>
      </c>
      <c r="D38" s="14" t="s">
        <v>45</v>
      </c>
    </row>
    <row r="39" customFormat="false" ht="15" hidden="false" customHeight="true" outlineLevel="0" collapsed="false">
      <c r="B39" s="12" t="s">
        <v>62</v>
      </c>
      <c r="C39" s="13" t="s">
        <v>63</v>
      </c>
      <c r="D39" s="14" t="s">
        <v>45</v>
      </c>
    </row>
    <row r="40" customFormat="false" ht="15" hidden="false" customHeight="true" outlineLevel="0" collapsed="false">
      <c r="B40" s="12" t="s">
        <v>64</v>
      </c>
      <c r="C40" s="13" t="s">
        <v>65</v>
      </c>
      <c r="D40" s="14" t="s">
        <v>45</v>
      </c>
    </row>
    <row r="41" customFormat="false" ht="15" hidden="false" customHeight="true" outlineLevel="0" collapsed="false">
      <c r="B41" s="12" t="s">
        <v>66</v>
      </c>
      <c r="C41" s="13" t="s">
        <v>67</v>
      </c>
      <c r="D41" s="14" t="s">
        <v>45</v>
      </c>
    </row>
    <row r="42" customFormat="false" ht="15" hidden="false" customHeight="true" outlineLevel="0" collapsed="false">
      <c r="B42" s="12" t="s">
        <v>68</v>
      </c>
      <c r="C42" s="13" t="s">
        <v>69</v>
      </c>
      <c r="D42" s="14" t="s">
        <v>70</v>
      </c>
    </row>
    <row r="43" customFormat="false" ht="15" hidden="false" customHeight="true" outlineLevel="0" collapsed="false">
      <c r="B43" s="12" t="s">
        <v>71</v>
      </c>
      <c r="C43" s="13" t="s">
        <v>72</v>
      </c>
      <c r="D43" s="14" t="s">
        <v>73</v>
      </c>
    </row>
    <row r="44" customFormat="false" ht="15" hidden="false" customHeight="true" outlineLevel="0" collapsed="false">
      <c r="B44" s="12" t="s">
        <v>74</v>
      </c>
      <c r="C44" s="13" t="s">
        <v>75</v>
      </c>
      <c r="D44" s="14" t="s">
        <v>73</v>
      </c>
    </row>
    <row r="45" customFormat="false" ht="15" hidden="false" customHeight="true" outlineLevel="0" collapsed="false">
      <c r="B45" s="12" t="s">
        <v>76</v>
      </c>
      <c r="C45" s="13" t="s">
        <v>77</v>
      </c>
      <c r="D45" s="14" t="s">
        <v>73</v>
      </c>
    </row>
    <row r="47" customFormat="false" ht="15" hidden="false" customHeight="true" outlineLevel="0" collapsed="false">
      <c r="B47" s="6" t="s">
        <v>78</v>
      </c>
    </row>
    <row r="48" customFormat="false" ht="15" hidden="false" customHeight="true" outlineLevel="0" collapsed="false">
      <c r="B48" s="15" t="s">
        <v>79</v>
      </c>
    </row>
    <row r="49" customFormat="false" ht="15" hidden="false" customHeight="true" outlineLevel="0" collapsed="false">
      <c r="B49" s="16" t="s">
        <v>80</v>
      </c>
    </row>
    <row r="50" customFormat="false" ht="15" hidden="false" customHeight="true" outlineLevel="0" collapsed="false">
      <c r="B50" s="17" t="s">
        <v>81</v>
      </c>
    </row>
    <row r="51" customFormat="false" ht="15" hidden="false" customHeight="true" outlineLevel="0" collapsed="false">
      <c r="B51" s="18" t="s">
        <v>82</v>
      </c>
    </row>
    <row r="52" customFormat="false" ht="15" hidden="false" customHeight="true" outlineLevel="0" collapsed="false">
      <c r="B52" s="19" t="s">
        <v>83</v>
      </c>
    </row>
  </sheetData>
  <mergeCells count="1">
    <mergeCell ref="B6:E6"/>
  </mergeCells>
  <hyperlinks>
    <hyperlink ref="B19" r:id="rId1" location="'Cover'!A1" display="Cover"/>
    <hyperlink ref="B20" r:id="rId2" location="'Guide'!A1" display="Guide"/>
    <hyperlink ref="B21" r:id="rId3" location="'Checks'!A1" display="Checks"/>
    <hyperlink ref="B22" r:id="rId4" location="'CFO_Report'!A1" display="CFO_Report"/>
    <hyperlink ref="B23" r:id="rId5" location="'KPIs'!A1" display="KPIs"/>
    <hyperlink ref="B24" r:id="rId6" location="'PL'!A1" display="PL"/>
    <hyperlink ref="B25" r:id="rId7" location="'BS'!A1" display="BS"/>
    <hyperlink ref="B26" r:id="rId8" location="'CF'!A1" display="CF"/>
    <hyperlink ref="B27" r:id="rId9" location="'BvA'!A1" display="BvA"/>
    <hyperlink ref="B28" r:id="rId10" location="'Scenarios'!A1" display="Scenarios"/>
    <hyperlink ref="B29" r:id="rId11" location="'Cash_13W'!A1" display="Cash_13W"/>
    <hyperlink ref="B30" r:id="rId12" location="'Channel_PL'!A1" display="Channel_PL"/>
    <hyperlink ref="B31" r:id="rId13" location="'Product_Contribution'!A1" display="Product_Contribution"/>
    <hyperlink ref="B32" r:id="rId14" location="'Settlements'!A1" display="Settlements"/>
    <hyperlink ref="B33" r:id="rId15" location="'Inventory'!A1" display="Inventory"/>
    <hyperlink ref="B34" r:id="rId16" location="'Purchase_Orders'!A1" display="Purchase_Orders"/>
    <hyperlink ref="B35" r:id="rId17" location="'AR_Aging'!A1" display="AR_Aging"/>
    <hyperlink ref="B36" r:id="rId18" location="'AP_Aging'!A1" display="AP_Aging"/>
    <hyperlink ref="B37" r:id="rId19" location="'AP_Schedule'!A1" display="AP_Schedule"/>
    <hyperlink ref="B38" r:id="rId20" location="'VAT'!A1" display="VAT"/>
    <hyperlink ref="B39" r:id="rId21" location="'Opex'!A1" display="Opex"/>
    <hyperlink ref="B40" r:id="rId22" location="'Fixed_Assets'!A1" display="Fixed_Assets"/>
    <hyperlink ref="B41" r:id="rId23" location="'Debt'!A1" display="Debt"/>
    <hyperlink ref="B42" r:id="rId24" location="'Volume_Price'!A1" display="Volume_Price"/>
    <hyperlink ref="B43" r:id="rId25" location="'Assumptions'!A1" display="Assumptions"/>
    <hyperlink ref="B44" r:id="rId26" location="'Inputs_Actuals'!A1" display="Inputs_Actuals"/>
    <hyperlink ref="B45" r:id="rId27" location="'Budget_FY26'!A1" display="Budget_FY26"/>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0"/>
    <col collapsed="false" customWidth="true" hidden="false" outlineLevel="0" max="2" min="2" style="1" width="30"/>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84</v>
      </c>
    </row>
    <row r="4" customFormat="false" ht="15" hidden="false" customHeight="true" outlineLevel="0" collapsed="false">
      <c r="A4" s="22" t="s">
        <v>85</v>
      </c>
      <c r="B4" s="23"/>
    </row>
    <row r="5" customFormat="false" ht="45" hidden="false" customHeight="true" outlineLevel="0" collapsed="false">
      <c r="A5" s="24" t="s">
        <v>86</v>
      </c>
      <c r="B5" s="24"/>
    </row>
    <row r="6" customFormat="false" ht="30" hidden="false" customHeight="true" outlineLevel="0" collapsed="false">
      <c r="A6" s="24" t="s">
        <v>87</v>
      </c>
      <c r="B6" s="24"/>
    </row>
    <row r="8" customFormat="false" ht="15" hidden="false" customHeight="true" outlineLevel="0" collapsed="false">
      <c r="A8" s="22" t="s">
        <v>88</v>
      </c>
      <c r="B8" s="23"/>
    </row>
    <row r="9" customFormat="false" ht="45" hidden="false" customHeight="true" outlineLevel="0" collapsed="false">
      <c r="A9" s="24" t="s">
        <v>89</v>
      </c>
      <c r="B9" s="24"/>
    </row>
    <row r="10" customFormat="false" ht="30" hidden="false" customHeight="true" outlineLevel="0" collapsed="false">
      <c r="A10" s="24" t="s">
        <v>90</v>
      </c>
      <c r="B10" s="24"/>
    </row>
    <row r="11" customFormat="false" ht="30" hidden="false" customHeight="true" outlineLevel="0" collapsed="false">
      <c r="A11" s="24" t="s">
        <v>91</v>
      </c>
      <c r="B11" s="24"/>
    </row>
    <row r="12" customFormat="false" ht="30" hidden="false" customHeight="true" outlineLevel="0" collapsed="false">
      <c r="A12" s="24" t="s">
        <v>92</v>
      </c>
      <c r="B12" s="24"/>
    </row>
    <row r="13" customFormat="false" ht="30" hidden="false" customHeight="true" outlineLevel="0" collapsed="false">
      <c r="A13" s="24" t="s">
        <v>93</v>
      </c>
      <c r="B13" s="24"/>
    </row>
    <row r="14" customFormat="false" ht="45" hidden="false" customHeight="true" outlineLevel="0" collapsed="false">
      <c r="A14" s="24" t="s">
        <v>94</v>
      </c>
      <c r="B14" s="24"/>
    </row>
    <row r="15" customFormat="false" ht="30" hidden="false" customHeight="true" outlineLevel="0" collapsed="false">
      <c r="A15" s="24" t="s">
        <v>95</v>
      </c>
      <c r="B15" s="24"/>
    </row>
    <row r="16" customFormat="false" ht="30" hidden="false" customHeight="true" outlineLevel="0" collapsed="false">
      <c r="A16" s="24" t="s">
        <v>96</v>
      </c>
      <c r="B16" s="24"/>
    </row>
    <row r="17" customFormat="false" ht="30" hidden="false" customHeight="true" outlineLevel="0" collapsed="false">
      <c r="A17" s="24" t="s">
        <v>97</v>
      </c>
      <c r="B17" s="24"/>
    </row>
    <row r="19" customFormat="false" ht="15" hidden="false" customHeight="true" outlineLevel="0" collapsed="false">
      <c r="A19" s="22" t="s">
        <v>98</v>
      </c>
      <c r="B19" s="23"/>
    </row>
    <row r="20" customFormat="false" ht="30" hidden="false" customHeight="true" outlineLevel="0" collapsed="false">
      <c r="A20" s="24" t="s">
        <v>99</v>
      </c>
      <c r="B20" s="24"/>
    </row>
    <row r="21" customFormat="false" ht="30" hidden="false" customHeight="true" outlineLevel="0" collapsed="false">
      <c r="A21" s="24" t="s">
        <v>100</v>
      </c>
      <c r="B21" s="24"/>
    </row>
    <row r="22" customFormat="false" ht="30" hidden="false" customHeight="true" outlineLevel="0" collapsed="false">
      <c r="A22" s="24" t="s">
        <v>101</v>
      </c>
      <c r="B22" s="24"/>
    </row>
    <row r="23" customFormat="false" ht="30" hidden="false" customHeight="true" outlineLevel="0" collapsed="false">
      <c r="A23" s="24" t="s">
        <v>102</v>
      </c>
      <c r="B23" s="24"/>
    </row>
    <row r="24" customFormat="false" ht="30" hidden="false" customHeight="true" outlineLevel="0" collapsed="false">
      <c r="A24" s="24" t="s">
        <v>103</v>
      </c>
      <c r="B24" s="24"/>
    </row>
    <row r="26" customFormat="false" ht="15" hidden="false" customHeight="true" outlineLevel="0" collapsed="false">
      <c r="A26" s="22" t="s">
        <v>104</v>
      </c>
      <c r="B26" s="23"/>
    </row>
    <row r="27" customFormat="false" ht="30" hidden="false" customHeight="true" outlineLevel="0" collapsed="false">
      <c r="A27" s="24" t="s">
        <v>105</v>
      </c>
      <c r="B27" s="24"/>
    </row>
    <row r="28" customFormat="false" ht="30" hidden="false" customHeight="true" outlineLevel="0" collapsed="false">
      <c r="A28" s="24" t="s">
        <v>106</v>
      </c>
      <c r="B28" s="24"/>
    </row>
    <row r="29" customFormat="false" ht="30" hidden="false" customHeight="true" outlineLevel="0" collapsed="false">
      <c r="A29" s="24" t="s">
        <v>107</v>
      </c>
      <c r="B29" s="24"/>
    </row>
    <row r="30" customFormat="false" ht="30" hidden="false" customHeight="true" outlineLevel="0" collapsed="false">
      <c r="A30" s="24" t="s">
        <v>108</v>
      </c>
      <c r="B30" s="24"/>
    </row>
    <row r="31" customFormat="false" ht="30" hidden="false" customHeight="true" outlineLevel="0" collapsed="false">
      <c r="A31" s="24" t="s">
        <v>109</v>
      </c>
      <c r="B31" s="24"/>
    </row>
    <row r="33" customFormat="false" ht="15" hidden="false" customHeight="true" outlineLevel="0" collapsed="false">
      <c r="A33" s="22" t="s">
        <v>110</v>
      </c>
      <c r="B33" s="23"/>
    </row>
    <row r="34" customFormat="false" ht="45" hidden="false" customHeight="true" outlineLevel="0" collapsed="false">
      <c r="A34" s="24" t="s">
        <v>111</v>
      </c>
      <c r="B34" s="24"/>
    </row>
    <row r="36" customFormat="false" ht="15" hidden="false" customHeight="true" outlineLevel="0" collapsed="false">
      <c r="A36" s="22" t="s">
        <v>112</v>
      </c>
      <c r="B36" s="23"/>
    </row>
    <row r="37" customFormat="false" ht="30" hidden="false" customHeight="true" outlineLevel="0" collapsed="false">
      <c r="A37" s="24" t="s">
        <v>113</v>
      </c>
      <c r="B37" s="24"/>
    </row>
    <row r="38" customFormat="false" ht="30" hidden="false" customHeight="true" outlineLevel="0" collapsed="false">
      <c r="A38" s="24" t="s">
        <v>114</v>
      </c>
      <c r="B38" s="24"/>
    </row>
    <row r="39" customFormat="false" ht="30" hidden="false" customHeight="true" outlineLevel="0" collapsed="false">
      <c r="A39" s="24" t="s">
        <v>115</v>
      </c>
      <c r="B39" s="24"/>
    </row>
    <row r="40" customFormat="false" ht="30" hidden="false" customHeight="true" outlineLevel="0" collapsed="false">
      <c r="A40" s="24" t="s">
        <v>116</v>
      </c>
      <c r="B40" s="24"/>
    </row>
    <row r="41" customFormat="false" ht="30" hidden="false" customHeight="true" outlineLevel="0" collapsed="false">
      <c r="A41" s="24" t="s">
        <v>117</v>
      </c>
      <c r="B41" s="24"/>
    </row>
    <row r="42" customFormat="false" ht="15" hidden="false" customHeight="true" outlineLevel="0" collapsed="false">
      <c r="A42" s="24" t="s">
        <v>118</v>
      </c>
      <c r="B42" s="24"/>
    </row>
    <row r="44" customFormat="false" ht="15" hidden="false" customHeight="true" outlineLevel="0" collapsed="false">
      <c r="A44" s="22" t="s">
        <v>119</v>
      </c>
      <c r="B44" s="23"/>
    </row>
    <row r="45" customFormat="false" ht="30" hidden="false" customHeight="true" outlineLevel="0" collapsed="false">
      <c r="A45" s="24" t="s">
        <v>120</v>
      </c>
      <c r="B45" s="24"/>
    </row>
    <row r="46" customFormat="false" ht="30" hidden="false" customHeight="true" outlineLevel="0" collapsed="false">
      <c r="A46" s="24" t="s">
        <v>121</v>
      </c>
      <c r="B46" s="24"/>
    </row>
    <row r="47" customFormat="false" ht="30" hidden="false" customHeight="true" outlineLevel="0" collapsed="false">
      <c r="A47" s="24" t="s">
        <v>122</v>
      </c>
      <c r="B47" s="24"/>
    </row>
    <row r="48" customFormat="false" ht="30" hidden="false" customHeight="true" outlineLevel="0" collapsed="false">
      <c r="A48" s="24" t="s">
        <v>123</v>
      </c>
      <c r="B48" s="24"/>
    </row>
    <row r="49" customFormat="false" ht="30" hidden="false" customHeight="true" outlineLevel="0" collapsed="false">
      <c r="A49" s="24" t="s">
        <v>124</v>
      </c>
      <c r="B49" s="24"/>
    </row>
    <row r="50" customFormat="false" ht="15" hidden="false" customHeight="true" outlineLevel="0" collapsed="false">
      <c r="A50" s="24" t="s">
        <v>125</v>
      </c>
      <c r="B50" s="24"/>
    </row>
  </sheetData>
  <mergeCells count="34">
    <mergeCell ref="A5:B5"/>
    <mergeCell ref="A6:B6"/>
    <mergeCell ref="A9:B9"/>
    <mergeCell ref="A10:B10"/>
    <mergeCell ref="A11:B11"/>
    <mergeCell ref="A12:B12"/>
    <mergeCell ref="A13:B13"/>
    <mergeCell ref="A14:B14"/>
    <mergeCell ref="A15:B15"/>
    <mergeCell ref="A16:B16"/>
    <mergeCell ref="A17:B17"/>
    <mergeCell ref="A20:B20"/>
    <mergeCell ref="A21:B21"/>
    <mergeCell ref="A22:B22"/>
    <mergeCell ref="A23:B23"/>
    <mergeCell ref="A24:B24"/>
    <mergeCell ref="A27:B27"/>
    <mergeCell ref="A28:B28"/>
    <mergeCell ref="A29:B29"/>
    <mergeCell ref="A30:B30"/>
    <mergeCell ref="A31:B31"/>
    <mergeCell ref="A34:B34"/>
    <mergeCell ref="A37:B37"/>
    <mergeCell ref="A38:B38"/>
    <mergeCell ref="A39:B39"/>
    <mergeCell ref="A40:B40"/>
    <mergeCell ref="A41:B41"/>
    <mergeCell ref="A42:B42"/>
    <mergeCell ref="A45:B45"/>
    <mergeCell ref="A46:B46"/>
    <mergeCell ref="A47:B47"/>
    <mergeCell ref="A48:B48"/>
    <mergeCell ref="A49:B49"/>
    <mergeCell ref="A50:B5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78"/>
    <col collapsed="false" customWidth="true" hidden="false" outlineLevel="0" max="2" min="2" style="1" width="70"/>
    <col collapsed="false" customWidth="true" hidden="false" outlineLevel="0" max="3" min="3" style="1" width="16"/>
    <col collapsed="false" customWidth="true" hidden="false" outlineLevel="0" max="5" min="4" style="1" width="10"/>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126</v>
      </c>
    </row>
    <row r="3" customFormat="false" ht="15" hidden="false" customHeight="true" outlineLevel="0" collapsed="false">
      <c r="A3" s="25" t="s">
        <v>127</v>
      </c>
    </row>
    <row r="5" customFormat="false" ht="15" hidden="false" customHeight="true" outlineLevel="0" collapsed="false">
      <c r="A5" s="26" t="s">
        <v>128</v>
      </c>
      <c r="B5" s="26" t="s">
        <v>129</v>
      </c>
      <c r="C5" s="27" t="s">
        <v>130</v>
      </c>
      <c r="D5" s="27" t="s">
        <v>131</v>
      </c>
      <c r="E5" s="27" t="s">
        <v>132</v>
      </c>
    </row>
    <row r="6" customFormat="false" ht="15" hidden="false" customHeight="true" outlineLevel="0" collapsed="false">
      <c r="A6" s="22" t="s">
        <v>133</v>
      </c>
      <c r="B6" s="23"/>
      <c r="C6" s="23"/>
      <c r="D6" s="23"/>
      <c r="E6" s="23"/>
    </row>
    <row r="7" customFormat="false" ht="15" hidden="false" customHeight="true" outlineLevel="0" collapsed="false">
      <c r="A7" s="28" t="s">
        <v>134</v>
      </c>
      <c r="B7" s="14" t="s">
        <v>135</v>
      </c>
      <c r="C7" s="29" t="n">
        <f aca="false">SUMPRODUCT(ABS(BS!$E$38:$AB$38))</f>
        <v>0</v>
      </c>
      <c r="D7" s="30" t="n">
        <v>0.5</v>
      </c>
      <c r="E7" s="31" t="str">
        <f aca="false">IF(ABS(C7)&lt;=D7,"OK","CHECK")</f>
        <v>OK</v>
      </c>
    </row>
    <row r="8" customFormat="false" ht="15" hidden="false" customHeight="true" outlineLevel="0" collapsed="false">
      <c r="A8" s="28" t="s">
        <v>136</v>
      </c>
      <c r="B8" s="14" t="s">
        <v>137</v>
      </c>
      <c r="C8" s="29" t="n">
        <f aca="false">SUMPRODUCT(ABS(CF!$E$55:$AB$55))</f>
        <v>0</v>
      </c>
      <c r="D8" s="30" t="n">
        <v>0.5</v>
      </c>
      <c r="E8" s="31" t="str">
        <f aca="false">IF(ABS(C8)&lt;=D8,"OK","CHECK")</f>
        <v>OK</v>
      </c>
    </row>
    <row r="9" customFormat="false" ht="15" hidden="false" customHeight="true" outlineLevel="0" collapsed="false">
      <c r="A9" s="28" t="s">
        <v>138</v>
      </c>
      <c r="B9" s="14" t="s">
        <v>139</v>
      </c>
      <c r="C9" s="29" t="n">
        <f aca="false">SUMPRODUCT(ABS(CF!$E$39:$AB$39-BS!$E$9:$AB$9))</f>
        <v>0</v>
      </c>
      <c r="D9" s="30" t="n">
        <v>0.5</v>
      </c>
      <c r="E9" s="31" t="str">
        <f aca="false">IF(ABS(C9)&lt;=D9,"OK","CHECK")</f>
        <v>OK</v>
      </c>
    </row>
    <row r="10" customFormat="false" ht="15" hidden="false" customHeight="true" outlineLevel="0" collapsed="false">
      <c r="A10" s="28" t="s">
        <v>140</v>
      </c>
      <c r="B10" s="14" t="s">
        <v>141</v>
      </c>
      <c r="C10" s="29" t="n">
        <f aca="false">BS!AB35-(Inputs_Actuals!$C$138+SUM(BS!$E$33:$AB$33)-SUM(BS!$E$34:$AB$34))</f>
        <v>0</v>
      </c>
      <c r="D10" s="30" t="n">
        <v>0.5</v>
      </c>
      <c r="E10" s="31" t="str">
        <f aca="false">IF(ABS(C10)&lt;=D10,"OK","CHECK")</f>
        <v>OK</v>
      </c>
    </row>
    <row r="11" customFormat="false" ht="15" hidden="false" customHeight="true" outlineLevel="0" collapsed="false">
      <c r="A11" s="28" t="s">
        <v>142</v>
      </c>
      <c r="B11" s="14" t="s">
        <v>143</v>
      </c>
      <c r="C11" s="29" t="n">
        <f aca="false">SUMPRODUCT(ABS(CF!$E$13:$AB$13-PL!$E$48:$AB$48))</f>
        <v>0</v>
      </c>
      <c r="D11" s="30" t="n">
        <v>0.5</v>
      </c>
      <c r="E11" s="31" t="str">
        <f aca="false">IF(ABS(C11)&lt;=D11,"OK","CHECK")</f>
        <v>OK</v>
      </c>
    </row>
    <row r="12" customFormat="false" ht="15" hidden="false" customHeight="true" outlineLevel="0" collapsed="false">
      <c r="A12" s="28" t="s">
        <v>144</v>
      </c>
      <c r="B12" s="14" t="s">
        <v>145</v>
      </c>
      <c r="C12" s="29" t="n">
        <f aca="false">Inputs_Actuals!$C$139</f>
        <v>0</v>
      </c>
      <c r="D12" s="30" t="n">
        <v>0.5</v>
      </c>
      <c r="E12" s="31" t="str">
        <f aca="false">IF(ABS(C12)&lt;=D12,"OK","CHECK")</f>
        <v>OK</v>
      </c>
    </row>
    <row r="13" customFormat="false" ht="15" hidden="false" customHeight="true" outlineLevel="0" collapsed="false">
      <c r="A13" s="22" t="s">
        <v>146</v>
      </c>
      <c r="B13" s="23"/>
      <c r="C13" s="23"/>
      <c r="D13" s="23"/>
      <c r="E13" s="23"/>
    </row>
    <row r="14" customFormat="false" ht="15" hidden="false" customHeight="true" outlineLevel="0" collapsed="false">
      <c r="A14" s="28" t="s">
        <v>147</v>
      </c>
      <c r="B14" s="14" t="s">
        <v>148</v>
      </c>
      <c r="C14" s="29" t="n">
        <f aca="false">SUMPRODUCT(ABS(Product_Contribution!$E$132:$AB$132))</f>
        <v>0</v>
      </c>
      <c r="D14" s="30" t="n">
        <v>0.5</v>
      </c>
      <c r="E14" s="31" t="str">
        <f aca="false">IF(ABS(C14)&lt;=D14,"OK","CHECK")</f>
        <v>OK</v>
      </c>
    </row>
    <row r="15" customFormat="false" ht="15" hidden="false" customHeight="true" outlineLevel="0" collapsed="false">
      <c r="A15" s="28" t="s">
        <v>149</v>
      </c>
      <c r="B15" s="14" t="s">
        <v>150</v>
      </c>
      <c r="C15" s="29" t="n">
        <f aca="false">SUMPRODUCT(ABS(Product_Contribution!$E$133:$AB$133))</f>
        <v>0</v>
      </c>
      <c r="D15" s="30" t="n">
        <v>0.5</v>
      </c>
      <c r="E15" s="31" t="str">
        <f aca="false">IF(ABS(C15)&lt;=D15,"OK","CHECK")</f>
        <v>OK</v>
      </c>
    </row>
    <row r="16" customFormat="false" ht="15" hidden="false" customHeight="true" outlineLevel="0" collapsed="false">
      <c r="A16" s="28" t="s">
        <v>151</v>
      </c>
      <c r="B16" s="14" t="s">
        <v>152</v>
      </c>
      <c r="C16" s="29" t="n">
        <f aca="false">SUMPRODUCT(ABS(Volume_Price!$E$30:$AB$30-Channel_PL!$E$10:$AB$10))+SUMPRODUCT(ABS(Volume_Price!$E$70:$AB$70-Channel_PL!$E$48:$AB$48))+SUMPRODUCT(ABS(Volume_Price!$E$110:$AB$110-Channel_PL!$E$82:$AB$82))</f>
        <v>0</v>
      </c>
      <c r="D16" s="30" t="n">
        <v>0.5</v>
      </c>
      <c r="E16" s="31" t="str">
        <f aca="false">IF(ABS(C16)&lt;=D16,"OK","CHECK")</f>
        <v>OK</v>
      </c>
    </row>
    <row r="17" customFormat="false" ht="15" hidden="false" customHeight="true" outlineLevel="0" collapsed="false">
      <c r="A17" s="28" t="s">
        <v>153</v>
      </c>
      <c r="B17" s="14" t="s">
        <v>154</v>
      </c>
      <c r="C17" s="29" t="n">
        <f aca="false">AR_Aging!H19</f>
        <v>-0</v>
      </c>
      <c r="D17" s="30" t="n">
        <v>0.5</v>
      </c>
      <c r="E17" s="31" t="str">
        <f aca="false">IF(ABS(C17)&lt;=D17,"OK","CHECK")</f>
        <v>OK</v>
      </c>
    </row>
    <row r="18" customFormat="false" ht="15" hidden="false" customHeight="true" outlineLevel="0" collapsed="false">
      <c r="A18" s="28" t="s">
        <v>155</v>
      </c>
      <c r="B18" s="14"/>
      <c r="C18" s="29" t="n">
        <f aca="false">AR_Aging!H20</f>
        <v>0</v>
      </c>
      <c r="D18" s="30" t="n">
        <v>0.5</v>
      </c>
      <c r="E18" s="31" t="str">
        <f aca="false">IF(ABS(C18)&lt;=D18,"OK","CHECK")</f>
        <v>OK</v>
      </c>
    </row>
    <row r="19" customFormat="false" ht="15" hidden="false" customHeight="true" outlineLevel="0" collapsed="false">
      <c r="A19" s="28" t="s">
        <v>156</v>
      </c>
      <c r="B19" s="14" t="s">
        <v>157</v>
      </c>
      <c r="C19" s="29" t="n">
        <f aca="false">AP_Aging!H24</f>
        <v>-0</v>
      </c>
      <c r="D19" s="30" t="n">
        <v>0.5</v>
      </c>
      <c r="E19" s="31" t="str">
        <f aca="false">IF(ABS(C19)&lt;=D19,"OK","CHECK")</f>
        <v>OK</v>
      </c>
    </row>
    <row r="20" customFormat="false" ht="15" hidden="false" customHeight="true" outlineLevel="0" collapsed="false">
      <c r="A20" s="28" t="s">
        <v>158</v>
      </c>
      <c r="B20" s="14"/>
      <c r="C20" s="29" t="n">
        <f aca="false">AP_Aging!H25</f>
        <v>0</v>
      </c>
      <c r="D20" s="30" t="n">
        <v>0.5</v>
      </c>
      <c r="E20" s="31" t="str">
        <f aca="false">IF(ABS(C20)&lt;=D20,"OK","CHECK")</f>
        <v>OK</v>
      </c>
    </row>
    <row r="21" customFormat="false" ht="15" hidden="false" customHeight="true" outlineLevel="0" collapsed="false">
      <c r="A21" s="28" t="s">
        <v>159</v>
      </c>
      <c r="B21" s="14"/>
      <c r="C21" s="29" t="n">
        <f aca="false">AP_Aging!H26</f>
        <v>-0</v>
      </c>
      <c r="D21" s="30" t="n">
        <v>0.5</v>
      </c>
      <c r="E21" s="31" t="str">
        <f aca="false">IF(ABS(C21)&lt;=D21,"OK","CHECK")</f>
        <v>OK</v>
      </c>
    </row>
    <row r="22" customFormat="false" ht="15" hidden="false" customHeight="true" outlineLevel="0" collapsed="false">
      <c r="A22" s="28" t="s">
        <v>160</v>
      </c>
      <c r="B22" s="14" t="s">
        <v>161</v>
      </c>
      <c r="C22" s="29" t="n">
        <f aca="false">SUMIFS(Purchase_Orders!$G$6:$G$24,Purchase_Orders!$D$6:$D$24,"&lt;="&amp;Assumptions!$C$9,Purchase_Orders!$I$6:$I$24,"&gt;"&amp;Assumptions!$C$9)-INDEX(Inventory!$E$111:$AB$111,Assumptions!$C$10)</f>
        <v>0</v>
      </c>
      <c r="D22" s="30" t="n">
        <v>0.5</v>
      </c>
      <c r="E22" s="31" t="str">
        <f aca="false">IF(ABS(C22)&lt;=D22,"OK","CHECK")</f>
        <v>OK</v>
      </c>
    </row>
    <row r="23" customFormat="false" ht="15" hidden="false" customHeight="true" outlineLevel="0" collapsed="false">
      <c r="A23" s="28" t="s">
        <v>162</v>
      </c>
      <c r="B23" s="14" t="s">
        <v>163</v>
      </c>
      <c r="C23" s="29" t="n">
        <f aca="false">SUMIFS(Purchase_Orders!$F$6:$F$24,Purchase_Orders!$I$6:$I$24,"&lt;="&amp;Assumptions!$C$9,Purchase_Orders!$L$6:$L$24,"&gt;"&amp;Assumptions!$C$9)-INDEX(Inventory!$E$103:$AB$103,Assumptions!$C$10)</f>
        <v>0</v>
      </c>
      <c r="D23" s="30" t="n">
        <v>0.5</v>
      </c>
      <c r="E23" s="31" t="str">
        <f aca="false">IF(ABS(C23)&lt;=D23,"OK","CHECK")</f>
        <v>OK</v>
      </c>
    </row>
    <row r="24" customFormat="false" ht="15" hidden="false" customHeight="true" outlineLevel="0" collapsed="false">
      <c r="A24" s="28" t="s">
        <v>164</v>
      </c>
      <c r="B24" s="14" t="s">
        <v>165</v>
      </c>
      <c r="C24" s="29" t="n">
        <f aca="false">Cash_13W!C86</f>
        <v>0</v>
      </c>
      <c r="D24" s="30" t="n">
        <v>0.5</v>
      </c>
      <c r="E24" s="31" t="str">
        <f aca="false">IF(ABS(C24)&lt;=D24,"OK","CHECK")</f>
        <v>OK</v>
      </c>
    </row>
    <row r="25" customFormat="false" ht="15" hidden="false" customHeight="true" outlineLevel="0" collapsed="false">
      <c r="A25" s="28" t="s">
        <v>166</v>
      </c>
      <c r="B25" s="14" t="s">
        <v>167</v>
      </c>
      <c r="C25" s="29" t="n">
        <f aca="false">Scenarios!G31</f>
        <v>0</v>
      </c>
      <c r="D25" s="30" t="n">
        <v>0.5</v>
      </c>
      <c r="E25" s="31" t="str">
        <f aca="false">IF(ABS(C25)&lt;=D25,"OK","CHECK")</f>
        <v>OK</v>
      </c>
    </row>
    <row r="26" customFormat="false" ht="15" hidden="false" customHeight="true" outlineLevel="0" collapsed="false">
      <c r="A26" s="28" t="s">
        <v>168</v>
      </c>
      <c r="B26" s="14" t="s">
        <v>169</v>
      </c>
      <c r="C26" s="29" t="n">
        <f aca="false">BvA!I49</f>
        <v>0</v>
      </c>
      <c r="D26" s="30" t="n">
        <v>0.5</v>
      </c>
      <c r="E26" s="31" t="str">
        <f aca="false">IF(ABS(C26)&lt;=D26,"OK","CHECK")</f>
        <v>OK</v>
      </c>
    </row>
    <row r="27" customFormat="false" ht="15" hidden="false" customHeight="true" outlineLevel="0" collapsed="false">
      <c r="A27" s="22" t="s">
        <v>170</v>
      </c>
      <c r="B27" s="23"/>
      <c r="C27" s="23"/>
      <c r="D27" s="23"/>
      <c r="E27" s="23"/>
    </row>
    <row r="28" customFormat="false" ht="15" hidden="false" customHeight="true" outlineLevel="0" collapsed="false">
      <c r="A28" s="28" t="s">
        <v>171</v>
      </c>
      <c r="B28" s="14" t="s">
        <v>172</v>
      </c>
      <c r="C28" s="29" t="n">
        <f aca="false">MIN(MIN(Inventory!$E$16:$AB$16),MIN(Inventory!$E$30:$AB$30),MIN(Inventory!$E$44:$AB$44),MIN(Inventory!$E$58:$AB$58),MIN(Inventory!$E$72:$AB$72))</f>
        <v>26146.6500419109</v>
      </c>
      <c r="D28" s="30" t="n">
        <v>0</v>
      </c>
      <c r="E28" s="31" t="str">
        <f aca="false">IF(C28&gt;=-D28,"OK","CHECK")</f>
        <v>OK</v>
      </c>
    </row>
    <row r="29" customFormat="false" ht="15" hidden="false" customHeight="true" outlineLevel="0" collapsed="false">
      <c r="A29" s="28" t="s">
        <v>173</v>
      </c>
      <c r="B29" s="14" t="s">
        <v>174</v>
      </c>
      <c r="C29" s="29" t="n">
        <f aca="false">MIN(MIN(Settlements!$E$16:$AB$16),MIN(Settlements!$E$27:$AB$27),MIN(Settlements!$E$38:$AB$38))</f>
        <v>6395.15637065637</v>
      </c>
      <c r="D29" s="30" t="n">
        <v>0</v>
      </c>
      <c r="E29" s="31" t="str">
        <f aca="false">IF(C29&gt;=-D29,"OK","CHECK")</f>
        <v>OK</v>
      </c>
    </row>
    <row r="30" customFormat="false" ht="15" hidden="false" customHeight="true" outlineLevel="0" collapsed="false">
      <c r="A30" s="28" t="s">
        <v>175</v>
      </c>
      <c r="B30" s="14"/>
      <c r="C30" s="29" t="n">
        <f aca="false">MIN(AP_Schedule!$E$35:$AB$35)</f>
        <v>62533.271</v>
      </c>
      <c r="D30" s="30" t="n">
        <v>0</v>
      </c>
      <c r="E30" s="31" t="str">
        <f aca="false">IF(C30&gt;=-D30,"OK","CHECK")</f>
        <v>OK</v>
      </c>
    </row>
    <row r="31" customFormat="false" ht="15" hidden="false" customHeight="true" outlineLevel="0" collapsed="false">
      <c r="A31" s="28" t="s">
        <v>176</v>
      </c>
      <c r="B31" s="14" t="s">
        <v>177</v>
      </c>
      <c r="C31" s="29" t="n">
        <f aca="false">MIN(Fixed_Assets!$E$29:$AB$29)</f>
        <v>41483.3333333333</v>
      </c>
      <c r="D31" s="30" t="n">
        <v>0</v>
      </c>
      <c r="E31" s="31" t="str">
        <f aca="false">IF(C31&gt;=-D31,"OK","CHECK")</f>
        <v>OK</v>
      </c>
    </row>
    <row r="32" customFormat="false" ht="15" hidden="false" customHeight="true" outlineLevel="0" collapsed="false">
      <c r="A32" s="28" t="s">
        <v>178</v>
      </c>
      <c r="B32" s="14" t="s">
        <v>179</v>
      </c>
      <c r="C32" s="29" t="n">
        <f aca="false">MIN(Debt!$E$14:$AB$14)</f>
        <v>214925.518325627</v>
      </c>
      <c r="D32" s="30" t="n">
        <v>0</v>
      </c>
      <c r="E32" s="31" t="str">
        <f aca="false">IF(C32&gt;=-D32,"OK","CHECK")</f>
        <v>OK</v>
      </c>
    </row>
    <row r="33" customFormat="false" ht="15" hidden="false" customHeight="true" outlineLevel="0" collapsed="false">
      <c r="A33" s="28" t="s">
        <v>180</v>
      </c>
      <c r="B33" s="14" t="s">
        <v>181</v>
      </c>
      <c r="C33" s="29" t="n">
        <f aca="false">COUNTIF(Assumptions!$E$63:$AB$63,"A")-Assumptions!$C$10</f>
        <v>0</v>
      </c>
      <c r="D33" s="30" t="n">
        <v>0.5</v>
      </c>
      <c r="E33" s="31" t="str">
        <f aca="false">IF(ABS(C33)&lt;=D33,"OK","CHECK")</f>
        <v>OK</v>
      </c>
    </row>
    <row r="35" customFormat="false" ht="15" hidden="false" customHeight="true" outlineLevel="0" collapsed="false">
      <c r="A35" s="32" t="s">
        <v>182</v>
      </c>
      <c r="B35" s="33"/>
      <c r="C35" s="33"/>
      <c r="D35" s="33"/>
      <c r="E35" s="34" t="str">
        <f aca="false">IF(COUNTIF(E6:E33,"CHECK")=0,"OK","CHECK")</f>
        <v>OK</v>
      </c>
    </row>
    <row r="37" customFormat="false" ht="15" hidden="false" customHeight="true" outlineLevel="0" collapsed="false">
      <c r="A37" s="22" t="s">
        <v>183</v>
      </c>
      <c r="B37" s="23"/>
      <c r="C37" s="23"/>
      <c r="D37" s="23"/>
      <c r="E37" s="23"/>
    </row>
    <row r="38" customFormat="false" ht="15" hidden="false" customHeight="true" outlineLevel="0" collapsed="false">
      <c r="A38" s="1" t="s">
        <v>184</v>
      </c>
      <c r="B38" s="14" t="s">
        <v>185</v>
      </c>
      <c r="C38" s="35" t="n">
        <f aca="false">MIN(BS!M9:AB9)</f>
        <v>1825.21673517399</v>
      </c>
    </row>
    <row r="39" customFormat="false" ht="15" hidden="false" customHeight="true" outlineLevel="0" collapsed="false">
      <c r="A39" s="1" t="s">
        <v>186</v>
      </c>
      <c r="B39" s="14"/>
      <c r="C39" s="35" t="n">
        <f aca="false">Cash_13W!C75</f>
        <v>290055.24057975</v>
      </c>
    </row>
    <row r="40" customFormat="false" ht="15" hidden="false" customHeight="true" outlineLevel="0" collapsed="false">
      <c r="A40" s="1" t="s">
        <v>187</v>
      </c>
      <c r="B40" s="14" t="s">
        <v>188</v>
      </c>
      <c r="C40" s="36" t="n">
        <f aca="false">MAX(Inventory!M90:AB90)</f>
        <v>128.170129826676</v>
      </c>
    </row>
    <row r="41" customFormat="false" ht="15" hidden="false" customHeight="true" outlineLevel="0" collapsed="false">
      <c r="A41" s="1" t="s">
        <v>189</v>
      </c>
      <c r="B41" s="14" t="s">
        <v>190</v>
      </c>
      <c r="C41" s="37" t="n">
        <f aca="false">KPIs!$C$30</f>
        <v>0.422657431927646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18"/>
    <col collapsed="false" customWidth="true" hidden="false" outlineLevel="0" max="5" min="3" style="1" width="14"/>
    <col collapsed="false" customWidth="true" hidden="false" outlineLevel="0" max="6" min="6" style="1" width="40"/>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c r="B2" s="21" t="s">
        <v>191</v>
      </c>
    </row>
    <row r="3" customFormat="false" ht="15" hidden="false" customHeight="true" outlineLevel="0" collapsed="false">
      <c r="B3" s="25" t="str">
        <f aca="false">"Reporting month: "&amp;TEXT(Assumptions!$C$9,"mmm-yy")&amp;" actuals, "&amp;Assumptions!$C$12&amp;" scenario for the outlook. Amounts in EUR. Every figure in this report is a live link to the model; the narrative recalculates with the inputs."</f>
        <v>Reporting month: Aug-26 actuals, Base scenario for the outlook. Amounts in EUR. Every figure in this report is a live link to the model; the narrative recalculates with the inputs.</v>
      </c>
    </row>
    <row r="4" customFormat="false" ht="15" hidden="false" customHeight="true" outlineLevel="0" collapsed="false">
      <c r="B4" s="38" t="s">
        <v>192</v>
      </c>
    </row>
    <row r="6" customFormat="false" ht="15" hidden="false" customHeight="true" outlineLevel="0" collapsed="false">
      <c r="B6" s="39" t="s">
        <v>193</v>
      </c>
      <c r="C6" s="40"/>
      <c r="D6" s="40"/>
      <c r="E6" s="40"/>
      <c r="F6" s="40"/>
    </row>
    <row r="7" customFormat="false" ht="48" hidden="false" customHeight="true" outlineLevel="0" collapsed="false">
      <c r="B7" s="41" t="str">
        <f aca="false">"Year to date net revenue is EUR "&amp;TEXT((BvA!B14)/1000,"#,##0")&amp;"k, "&amp;TEXT((ABS(BvA!E14)),"0.0%")&amp;" "&amp;IF(BvA!D14&lt;0,"below","above")&amp;" budget (EUR "&amp;TEXT((ABS(BvA!D14))/1000,"#,##0")&amp;"k). Gross margin held at "&amp;TEXT((BvA!B17),"0.0%")&amp;" against a budget of "&amp;TEXT((BvA!C17),"0.0%")&amp;", so the shortfall sits entirely in volume and in the cost of selling: contribution after marketing is EUR "&amp;TEXT((BvA!B21)/1000,"#,##0")&amp;"k, "&amp;TEXT((ABS(BvA!E21)),"0.0%")&amp;" "&amp;IF(BvA!D21&lt;0,"below","above")&amp;" budget, and EBITDA is EUR "&amp;TEXT((BvA!B36)/1000,"#,##0")&amp;"k against EUR "&amp;TEXT((BvA!C36)/1000,"#,##0")&amp;"k budgeted."</f>
        <v>Year to date net revenue is EUR 2,426k, 7.4% below budget (EUR 195k). Gross margin held at 63.4% against a budget of 62.5%, so the shortfall sits entirely in volume and in the cost of selling: contribution after marketing is EUR 647k, 17.1% below budget, and EBITDA is EUR 20k against EUR 173k budgeted.</v>
      </c>
    </row>
    <row r="8" customFormat="false" ht="48" hidden="false" customHeight="true" outlineLevel="0" collapsed="false">
      <c r="B8" s="41" t="str">
        <f aca="false">"Full-year outlook (actual plus "&amp;Assumptions!$C$12&amp;" forecast): net revenue EUR "&amp;TEXT((BvA!F14)/1000,"#,##0")&amp;"k ("&amp;TEXT((BvA!I14),"0.0%")&amp;" vs budget), EBITDA EUR "&amp;TEXT((BvA!F36)/1000,"#,##0")&amp;"k ("&amp;TEXT((BvA!F37),"0.0%")&amp;" of revenue) and net profit EUR "&amp;TEXT((BvA!F38)/1000,"#,##0")&amp;"k. Cash closes December at EUR "&amp;TEXT((BvA!F40)/1000,"#,##0")&amp;"k, of which EUR "&amp;TEXT((BS!C22)/1000,"#,##0")&amp;"k is the Q4 VAT that leaves in January, so the underlying year-end position is EUR "&amp;TEXT((BS!C9-BS!C22)/1000,"#,##0")&amp;"k."</f>
        <v>Full-year outlook (actual plus Base forecast): net revenue EUR 4,311k (-5.7% vs budget), EBITDA EUR 136k (3.2% of revenue) and net profit EUR 63k. Cash closes December at EUR 611k, of which EUR 242k is the Q4 VAT that leaves in January, so the underlying year-end position is EUR 369k.</v>
      </c>
    </row>
    <row r="9" customFormat="false" ht="33.75" hidden="false" customHeight="true" outlineLevel="0" collapsed="false">
      <c r="B9" s="41" t="str">
        <f aca="false">"Cash is safe through the 13-week window: the low point is EUR "&amp;TEXT((Cash_13W!C75)/1000,"#,##0")&amp;"k in the week ending "&amp;TEXT(Cash_13W!C76,"dd-mmm")&amp;", "&amp;IF(Cash_13W!C77&gt;=0,"EUR "&amp;TEXT((Cash_13W!C77)/1000,"#,##0")&amp;"k above the EUR "&amp;TEXT((Assumptions!$C$13)/1000,"#,##0")&amp;"k buffer, with the revolving facility undrawn.","EUR "&amp;TEXT((ABS(Cash_13W!C77))/1000,"#,##0")&amp;"k below the buffer: a facility draw or a purchase deferral is needed before that week.")</f>
        <v>Cash is safe through the 13-week window: the low point is EUR 290k in the week ending 06-Nov, EUR 140k above the EUR 150k buffer, with the revolving facility undrawn.</v>
      </c>
    </row>
    <row r="10" customFormat="false" ht="33.75" hidden="false" customHeight="true" outlineLevel="0" collapsed="false">
      <c r="B10" s="41" t="str">
        <f aca="false">"Looking further out, the "&amp;Assumptions!$C$12&amp;" case bottoms at EUR "&amp;TEXT((Scenarios!F22)/1000,"#,##0")&amp;"k in "&amp;TEXT(Scenarios!F23,"mmm-yy")&amp;", "&amp;IF(Scenarios!F24&lt;0,"EUR "&amp;TEXT((ABS(Scenarios!F24))/1000,"#,##0")&amp;"k short of the buffer","EUR "&amp;TEXT((Scenarios!F24)/1000,"#,##0")&amp;"k above the buffer")&amp;". That trough is the FY2027 peak-season inventory build; it is a financing question to settle by mid 2027, not a solvency question today."</f>
        <v>Looking further out, the Base case bottoms at EUR 2k in Oct-27, EUR 148k short of the buffer. That trough is the FY2027 peak-season inventory build; it is a financing question to settle by mid 2027, not a solvency question today.</v>
      </c>
    </row>
    <row r="11" customFormat="false" ht="15" hidden="false" customHeight="true" outlineLevel="0" collapsed="false">
      <c r="B11" s="39" t="s">
        <v>194</v>
      </c>
      <c r="C11" s="40"/>
      <c r="D11" s="40"/>
      <c r="E11" s="40"/>
      <c r="F11" s="40"/>
    </row>
    <row r="12" customFormat="false" ht="48" hidden="false" customHeight="true" outlineLevel="0" collapsed="false">
      <c r="B12" s="41" t="str">
        <f aca="false">"Volume, not price, explains the revenue miss. Units were "&amp;TEXT((BvA!B49),"#,##0")&amp;" against "&amp;TEXT((BvA!C49),"#,##0")&amp;" budgeted, a volume shortfall worth EUR "&amp;TEXT((ABS(BvA!F49))/1000,"#,##0")&amp;"k of revenue, "&amp;IF(BvA!G49&gt;=0,"partly offset by","made worse by")&amp;" EUR "&amp;TEXT((ABS(BvA!G49))/1000,"#,##0")&amp;"k of price and mix. Walmart is the largest gap: "&amp;TEXT((BvA!B9),"#,##0")&amp;" orders against "&amp;TEXT((BvA!C9),"#,##0")&amp;" budgeted ("&amp;TEXT((BvA!E9),"0%")&amp;"), a EUR "&amp;TEXT((ABS(BvA!D13))/1000,"#,##0")&amp;"k revenue shortfall on a channel launched with a ramp the budget assumed would be twice as fast."</f>
        <v>Volume, not price, explains the revenue miss. Units were 46,694 against 50,976 budgeted, a volume shortfall worth EUR 212k of revenue, partly offset by EUR 17k of price and mix. Walmart is the largest gap: 3,488 orders against 5,220 budgeted (-33%), a EUR 54k revenue shortfall on a channel launched with a ramp the budget assumed would be twice as fast.</v>
      </c>
    </row>
    <row r="13" customFormat="false" ht="33.75" hidden="false" customHeight="true" outlineLevel="0" collapsed="false">
      <c r="B13" s="41" t="str">
        <f aca="false">"Shopify orders are "&amp;TEXT((BvA!E7),"0.0%")&amp;" vs budget and Amazon "&amp;TEXT((BvA!E8),"0.0%")&amp;". Blended net revenue per order is EUR "&amp;TEXT((KPIs!C19),"#,##0.00")&amp;", in line with budget, and the refund rate is "&amp;TEXT((KPIs!C20),"0.0%")&amp;" of gross sales; the Textiles quality issue in Q2 is visible in the Shopify refund line and is the reason the refund driver on Assumptions carries a higher reference than the budget did."</f>
        <v>Shopify orders are -5.7% vs budget and Amazon -3.6%. Blended net revenue per order is EUR 64.22, in line with budget, and the refund rate is 7.0% of gross sales; the Textiles quality issue in Q2 is visible in the Shopify refund line and is the reason the refund driver on Assumptions carries a higher reference than the budget did.</v>
      </c>
    </row>
    <row r="14" customFormat="false" ht="61.5" hidden="false" customHeight="true" outlineLevel="0" collapsed="false">
      <c r="B14" s="41" t="str">
        <f aca="false">"Cost of selling is the second problem. Variable channel costs (payment, referral, fulfilment, storage and inbound) were EUR "&amp;TEXT((ABS(BvA!B18))/1000,"#,##0")&amp;"k, "&amp;TEXT((ABS(BvA!E18)),"0.0%")&amp;" over budget, driven by Amazon FBA fee changes and the peak storage multiplier. Paid media of EUR "&amp;TEXT((ABS(BvA!B20))/1000,"#,##0")&amp;"k is close to budget in total, but its efficiency is not: Shopify paid CAC moved from EUR "&amp;TEXT((INDEX(Channel_PL!$E$44:$AB$44,1)),"#,##0")&amp;" in January to EUR "&amp;TEXT((INDEX(Channel_PL!$E$44:$AB$44,Assumptions!$C$10)),"#,##0")&amp;" in "&amp;TEXT(Assumptions!$C$9,"mmmm")&amp;", and Shopify ROAS from "&amp;TEXT((INDEX(KPIs!$E$23:$AB$23,1)),"0.0")&amp;"x to "&amp;TEXT((INDEX(KPIs!$E$23:$AB$23,Assumptions!$C$10)),"0.0")&amp;"x. Contribution margin after marketing is "&amp;TEXT((BvA!B22),"0.0%")&amp;" against a "&amp;TEXT((BvA!C22),"0.0%")&amp;" budget: that "&amp;TEXT((ABS(BvA!D22)*100),"0.0")&amp;" point gap on the full-year revenue is EUR "&amp;TEXT((ABS(BvA!D22)*BvA!F14)/1000,"#,##0")&amp;"k of profit."</f>
        <v>Cost of selling is the second problem. Variable channel costs (payment, referral, fulfilment, storage and inbound) were EUR 550k, 5.1% over budget, driven by Amazon FBA fee changes and the peak storage multiplier. Paid media of EUR 342k is close to budget in total, but its efficiency is not: Shopify paid CAC moved from EUR 21 in January to EUR 26 in August, and Shopify ROAS from 5.9x to 5.0x. Contribution margin after marketing is 26.7% against a 29.8% budget: that 3.1 point gap on the full-year revenue is EUR 134k of profit.</v>
      </c>
    </row>
    <row r="15" customFormat="false" ht="33.75" hidden="false" customHeight="true" outlineLevel="0" collapsed="false">
      <c r="B15" s="41" t="str">
        <f aca="false">"Operating expenses are EUR "&amp;TEXT((ABS(BvA!B35))/1000,"#,##0")&amp;"k, "&amp;TEXT((ABS(BvA!E35)),"0.0%")&amp;" over budget. Salaries are on plan; the overrun is discretionary: content and creative EUR "&amp;TEXT((ABS(BvA!D30))/1000,"#,##0")&amp;"k over ("&amp;TEXT((ABS(BvA!E30)),"0%")&amp;"), recruitment EUR "&amp;TEXT((ABS(BvA!D34))/1000,"#,##0")&amp;"k over, contractors EUR "&amp;TEXT((ABS(BvA!D24))/1000,"#,##0")&amp;"k over. None of these lines has an approval owner today; the action list fixes that."</f>
        <v>Operating expenses are EUR 627k, 3.2% over budget. Salaries are on plan; the overrun is discretionary: content and creative EUR 8k over (19%), recruitment EUR 3k over, contractors EUR 4k over. None of these lines has an approval owner today; the action list fixes that.</v>
      </c>
    </row>
    <row r="16" customFormat="false" ht="15" hidden="false" customHeight="true" outlineLevel="0" collapsed="false">
      <c r="B16" s="39" t="s">
        <v>195</v>
      </c>
      <c r="C16" s="40"/>
      <c r="D16" s="40"/>
      <c r="E16" s="40"/>
      <c r="F16" s="40"/>
    </row>
    <row r="17" customFormat="false" ht="48" hidden="false" customHeight="true" outlineLevel="0" collapsed="false">
      <c r="B17" s="41" t="str">
        <f aca="false">"Cash at "&amp;TEXT(Assumptions!$C$9,"mmm-yy")&amp;" is EUR "&amp;TEXT((INDEX(BS!$E$9:$AB$9,Assumptions!$C$10))/1000,"#,##0")&amp;"k against a budgeted EUR "&amp;TEXT((BvA!C40)/1000,"#,##0")&amp;"k. Inventory on hand is EUR "&amp;TEXT((INDEX(KPIs!$E$39:$AB$39,Assumptions!$C$10))/1000,"#,##0")&amp;"k ("&amp;TEXT((INDEX(KPIs!$E$32:$AB$32,Assumptions!$C$10)),"0")&amp;" days), EUR "&amp;TEXT((ABS(BvA!D41))/1000,"#,##0")&amp;"k below budget, because the business ran stock down after a weak Q2 rather than because it bought well. The cash conversion cycle is "&amp;TEXT((INDEX(KPIs!$E$35:$AB$35,Assumptions!$C$10)),"0")&amp;" days (DIO "&amp;TEXT((INDEX(KPIs!$E$32:$AB$32,Assumptions!$C$10)),"0")&amp;", DSO "&amp;TEXT((INDEX(KPIs!$E$33:$AB$33,Assumptions!$C$10)),"0")&amp;", DPO "&amp;TEXT((INDEX(KPIs!$E$34:$AB$34,Assumptions!$C$10)),"0")&amp;")."</f>
        <v>Cash at Aug-26 is EUR 391k against a budgeted EUR 438k. Inventory on hand is EUR 383k (97 days), EUR 137k below budget, because the business ran stock down after a weak Q2 rather than because it bought well. The cash conversion cycle is 77 days (DIO 97, DSO 11, DPO 31).</v>
      </c>
    </row>
    <row r="18" customFormat="false" ht="48" hidden="false" customHeight="true" outlineLevel="0" collapsed="false">
      <c r="B18" s="41" t="str">
        <f aca="false">"The 13-week forecast starts from EUR "&amp;TEXT((Cash_13W!C68)/1000,"#,##0")&amp;"k and ends the week of 11-Dec at EUR "&amp;TEXT((Cash_13W!T69)/1000,"#,##0")&amp;"k. Receipts of EUR "&amp;TEXT((Cash_13W!U51)/1000,"#,##0")&amp;"k are set against payments of EUR "&amp;TEXT((ABS(Cash_13W!U65))/1000,"#,##0")&amp;"k, of which committed purchase orders EUR "&amp;TEXT((ABS(Cash_13W!U53))/1000,"#,##0")&amp;"k and the Q3 VAT and OSS payment EUR "&amp;TEXT((ABS(Cash_13W!U60))/1000,"#,##0")&amp;"k on 31-Oct, which is what produces the low point in the following week. The forecast reconciles to the December balance sheet to the euro (Checks)."</f>
        <v>The 13-week forecast starts from EUR 351k and ends the week of 11-Dec at EUR 539k. Receipts of EUR 1,294k are set against payments of EUR 1,105k, of which committed purchase orders EUR 213k and the Q3 VAT and OSS payment EUR 150k on 31-Oct, which is what produces the low point in the following week. The forecast reconciles to the December balance sheet to the euro (Checks).</v>
      </c>
    </row>
    <row r="19" customFormat="false" ht="61.5" hidden="false" customHeight="true" outlineLevel="0" collapsed="false">
      <c r="B19" s="41" t="str">
        <f aca="false">"Inventory is unbalanced rather than short. At the last actual month Cookware carried "&amp;TEXT((Product_Contribution!C138),"0")&amp;" days of cover and Knives "&amp;TEXT((Product_Contribution!C142),"0")&amp;", against Tableware at "&amp;TEXT((Product_Contribution!C150),"0")&amp;" days and Storage at "&amp;TEXT((Product_Contribution!C154),"0")&amp;". The register shows EUR "&amp;TEXT((Purchase_Orders!F28)/1000,"#,##0")&amp;"k FOB of open orders with EUR "&amp;TEXT((Purchase_Orders!F31)/1000,"#,##0")&amp;"k of cash still to pay; the two Cookware orders arriving in September and October cover peak, and the Tableware order placed for January should be cut or deferred while the slow-moving provision stands at EUR "&amp;TEXT((INDEX(Inventory!$E$87:$AB$87,Assumptions!$C$10))/1000,"#,##0")&amp;"k."</f>
        <v>Inventory is unbalanced rather than short. At the last actual month Cookware carried 23 days of cover and Knives 52, against Tableware at 208 days and Storage at 302. The register shows EUR 692k FOB of open orders with EUR 354k of cash still to pay; the two Cookware orders arriving in September and October cover peak, and the Tableware order placed for January should be cut or deferred while the slow-moving provision stands at EUR 7k.</v>
      </c>
    </row>
    <row r="20" customFormat="false" ht="33.75" hidden="false" customHeight="true" outlineLevel="0" collapsed="false">
      <c r="B20" s="41" t="str">
        <f aca="false">"Receivables are clean apart from two items: an Amazon FBA reimbursement claim of EUR "&amp;TEXT((AR_Aging!D13),"#,##0")&amp;" open "&amp;TEXT((AR_Aging!F13),"0")&amp;" days and a disputed forwarder invoice of EUR "&amp;TEXT((AP_Aging!D10),"#,##0")&amp;" ("&amp;TEXT((AP_Aging!F10),"0")&amp;" days past due) on the payables side. Marketplace balances of EUR "&amp;TEXT((INDEX(BS!$E$10:$AB$10,Assumptions!$C$10))/1000,"#,##0")&amp;"k are "&amp;TEXT((INDEX(Settlements!$E$48:$AB$48,Assumptions!$C$10)),"0")&amp;" days of settlements, in line with the platform cycles."</f>
        <v>Receivables are clean apart from two items: an Amazon FBA reimbursement claim of EUR 4,120 open 47 days and a disputed forwarder invoice of EUR 2,000 (47 days past due) on the payables side. Marketplace balances of EUR 105k are 11 days of settlements, in line with the platform cycles.</v>
      </c>
    </row>
    <row r="21" customFormat="false" ht="15" hidden="false" customHeight="true" outlineLevel="0" collapsed="false">
      <c r="B21" s="39" t="s">
        <v>196</v>
      </c>
      <c r="C21" s="40"/>
      <c r="D21" s="40"/>
      <c r="E21" s="40"/>
      <c r="F21" s="40"/>
    </row>
    <row r="22" customFormat="false" ht="48" hidden="false" customHeight="true" outlineLevel="0" collapsed="false">
      <c r="B22" s="41" t="str">
        <f aca="false">"Base: FY2027 net revenue EUR "&amp;TEXT((Scenarios!C10)/1000,"#,##0")&amp;"k, EBITDA EUR "&amp;TEXT((Scenarios!C18)/1000,"#,##0")&amp;"k ("&amp;TEXT((Scenarios!C30),"0.0%")&amp;"), lowest cash EUR "&amp;TEXT((Scenarios!C22)/1000,"#,##0")&amp;"k. Downside: revenue EUR "&amp;TEXT((Scenarios!D10)/1000,"#,##0")&amp;"k, EBITDA EUR "&amp;TEXT((Scenarios!D18)/1000,"#,##0")&amp;"k, lowest cash EUR "&amp;TEXT((Scenarios!D22)/1000,"#,##0")&amp;"k, a funding need of EUR "&amp;TEXT((ABS(MIN(0,Scenarios!D24)))/1000,"#,##0")&amp;"k against the buffer. Upside: revenue EUR "&amp;TEXT((Scenarios!E10)/1000,"#,##0")&amp;"k, EBITDA EUR "&amp;TEXT((Scenarios!E18)/1000,"#,##0")&amp;"k, lowest cash EUR "&amp;TEXT((Scenarios!E22)/1000,"#,##0")&amp;"k."</f>
        <v>Base: FY2027 net revenue EUR 5,611k, EBITDA EUR 239k (4.3%), lowest cash EUR 2k. Downside: revenue EUR 4,478k, EBITDA EUR -263k, lowest cash EUR -215k, a funding need of EUR 365k against the buffer. Upside: revenue EUR 6,376k, EBITDA EUR 677k, lowest cash EUR 172k.</v>
      </c>
    </row>
    <row r="23" customFormat="false" ht="33.75" hidden="false" customHeight="true" outlineLevel="0" collapsed="false">
      <c r="B23" s="41" t="str">
        <f aca="false">"The downside is the case that matters for the board: it combines slower growth, higher discounting and refunds, a heavier paid-media load and the current inventory policy, and it exhausts cash in the FY2027 peak build. The contingency plan is written now, with triggers on the monthly KPIs (CM2 % below "&amp;TEXT((BvA!C22-0.05),"0.0%")&amp;" for two months, or Shopify CAC above EUR "&amp;TEXT((INDEX(Channel_PL!$E$44:$AB$44,Assumptions!$C$10)*1.15),"#,##0")&amp;"), not when the trough arrives."</f>
        <v>The downside is the case that matters for the board: it combines slower growth, higher discounting and refunds, a heavier paid-media load and the current inventory policy, and it exhausts cash in the FY2027 peak build. The contingency plan is written now, with triggers on the monthly KPIs (CM2 % below 24.8% for two months, or Shopify CAC above EUR 30), not when the trough arrives.</v>
      </c>
    </row>
    <row r="24" customFormat="false" ht="15" hidden="false" customHeight="true" outlineLevel="0" collapsed="false">
      <c r="B24" s="39" t="s">
        <v>197</v>
      </c>
      <c r="C24" s="40"/>
      <c r="D24" s="40"/>
      <c r="E24" s="40"/>
      <c r="F24" s="40"/>
    </row>
    <row r="25" customFormat="false" ht="15" hidden="false" customHeight="true" outlineLevel="0" collapsed="false">
      <c r="B25" s="42" t="s">
        <v>198</v>
      </c>
      <c r="C25" s="43" t="s">
        <v>199</v>
      </c>
      <c r="D25" s="43" t="s">
        <v>200</v>
      </c>
      <c r="E25" s="43" t="s">
        <v>201</v>
      </c>
      <c r="F25" s="42" t="s">
        <v>202</v>
      </c>
    </row>
    <row r="26" customFormat="false" ht="43.5" hidden="false" customHeight="true" outlineLevel="0" collapsed="false">
      <c r="B26" s="41" t="s">
        <v>203</v>
      </c>
      <c r="C26" s="44" t="n">
        <v>4</v>
      </c>
      <c r="D26" s="44" t="n">
        <v>4</v>
      </c>
      <c r="E26" s="45" t="n">
        <f aca="false">C26*D26</f>
        <v>16</v>
      </c>
      <c r="F26" s="46" t="s">
        <v>204</v>
      </c>
    </row>
    <row r="27" customFormat="false" ht="43.5" hidden="false" customHeight="true" outlineLevel="0" collapsed="false">
      <c r="B27" s="41" t="str">
        <f aca="false">"Amazon dependency: Amazon is "&amp;TEXT(KPIs!C30,"0%")&amp;" of FY2026 net revenue and holds a settlement reserve; an account health event stops both revenue and cash"</f>
        <v>Amazon dependency: Amazon is 42% of FY2026 net revenue and holds a settlement reserve; an account health event stops both revenue and cash</v>
      </c>
      <c r="C27" s="44" t="n">
        <v>3</v>
      </c>
      <c r="D27" s="44" t="n">
        <v>5</v>
      </c>
      <c r="E27" s="45" t="n">
        <f aca="false">C27*D27</f>
        <v>15</v>
      </c>
      <c r="F27" s="46" t="s">
        <v>205</v>
      </c>
    </row>
    <row r="28" customFormat="false" ht="43.5" hidden="false" customHeight="true" outlineLevel="0" collapsed="false">
      <c r="B28" s="41" t="str">
        <f aca="false">"Cookware stock-out in Q4: cover fell to "&amp;TEXT(Product_Contribution!C138,"0")&amp;" days at the last actual month; peak depends on two POs arriving in Sep and Oct"</f>
        <v>Cookware stock-out in Q4: cover fell to 23 days at the last actual month; peak depends on two POs arriving in Sep and Oct</v>
      </c>
      <c r="C28" s="44" t="n">
        <v>3</v>
      </c>
      <c r="D28" s="44" t="n">
        <v>4</v>
      </c>
      <c r="E28" s="45" t="n">
        <f aca="false">C28*D28</f>
        <v>12</v>
      </c>
      <c r="F28" s="46" t="s">
        <v>206</v>
      </c>
    </row>
    <row r="29" customFormat="false" ht="43.5" hidden="false" customHeight="true" outlineLevel="0" collapsed="false">
      <c r="B29" s="41" t="s">
        <v>207</v>
      </c>
      <c r="C29" s="44" t="n">
        <v>4</v>
      </c>
      <c r="D29" s="44" t="n">
        <v>3</v>
      </c>
      <c r="E29" s="45" t="n">
        <f aca="false">C29*D29</f>
        <v>12</v>
      </c>
      <c r="F29" s="46" t="s">
        <v>208</v>
      </c>
    </row>
    <row r="30" customFormat="false" ht="43.5" hidden="false" customHeight="true" outlineLevel="0" collapsed="false">
      <c r="B30" s="41" t="str">
        <f aca="false">"Paid media efficiency: Shopify CAC up "&amp;TEXT(INDEX(Channel_PL!$E$44:$AB$44,Assumptions!$C$10)/INDEX(Channel_PL!$E$44:$AB$44,1)-1,"0%")&amp;" since January; the budget assumed flat CAC"</f>
        <v>Paid media efficiency: Shopify CAC up 25% since January; the budget assumed flat CAC</v>
      </c>
      <c r="C30" s="44" t="n">
        <v>4</v>
      </c>
      <c r="D30" s="44" t="n">
        <v>3</v>
      </c>
      <c r="E30" s="45" t="n">
        <f aca="false">C30*D30</f>
        <v>12</v>
      </c>
      <c r="F30" s="46" t="s">
        <v>209</v>
      </c>
    </row>
    <row r="31" customFormat="false" ht="43.5" hidden="false" customHeight="true" outlineLevel="0" collapsed="false">
      <c r="B31" s="41" t="s">
        <v>210</v>
      </c>
      <c r="C31" s="44" t="n">
        <v>4</v>
      </c>
      <c r="D31" s="44" t="n">
        <v>2</v>
      </c>
      <c r="E31" s="45" t="n">
        <f aca="false">C31*D31</f>
        <v>8</v>
      </c>
      <c r="F31" s="46" t="s">
        <v>211</v>
      </c>
    </row>
    <row r="32" customFormat="false" ht="43.5" hidden="false" customHeight="true" outlineLevel="0" collapsed="false">
      <c r="B32" s="41" t="str">
        <f aca="false">"USD exposure: Walmart revenue in USD with EUR costs; a 5% move is worth about EUR "&amp;TEXT(PL!D11*0.05/1000,"#,##0")&amp;"k of FY2027 revenue"</f>
        <v>USD exposure: Walmart revenue in USD with EUR costs; a 5% move is worth about EUR 46k of FY2027 revenue</v>
      </c>
      <c r="C32" s="44" t="n">
        <v>3</v>
      </c>
      <c r="D32" s="44" t="n">
        <v>2</v>
      </c>
      <c r="E32" s="45" t="n">
        <f aca="false">C32*D32</f>
        <v>6</v>
      </c>
      <c r="F32" s="46" t="s">
        <v>212</v>
      </c>
    </row>
    <row r="33" customFormat="false" ht="43.5" hidden="false" customHeight="true" outlineLevel="0" collapsed="false">
      <c r="B33" s="41" t="str">
        <f aca="false">"Supplier concentration: Foshan Crestware is "&amp;TEXT(SUMIFS(Purchase_Orders!F6:F24,Purchase_Orders!B6:B24,"Foshan*")/Purchase_Orders!F25,"0%")&amp;" of committed FOB value and the only cookware source"</f>
        <v>Supplier concentration: Foshan Crestware is 44% of committed FOB value and the only cookware source</v>
      </c>
      <c r="C33" s="44" t="n">
        <v>2</v>
      </c>
      <c r="D33" s="44" t="n">
        <v>4</v>
      </c>
      <c r="E33" s="45" t="n">
        <f aca="false">C33*D33</f>
        <v>8</v>
      </c>
      <c r="F33" s="46" t="s">
        <v>213</v>
      </c>
    </row>
    <row r="34" customFormat="false" ht="43.5" hidden="false" customHeight="true" outlineLevel="0" collapsed="false">
      <c r="B34" s="41" t="str">
        <f aca="false">"VAT and OSS compliance: quarterly payables reach EUR "&amp;TEXT(BS!C22/1000,"#,##0")&amp;"k in December; late filing penalties and interest apply"</f>
        <v>VAT and OSS compliance: quarterly payables reach EUR 242k in December; late filing penalties and interest apply</v>
      </c>
      <c r="C34" s="44" t="n">
        <v>2</v>
      </c>
      <c r="D34" s="44" t="n">
        <v>3</v>
      </c>
      <c r="E34" s="45" t="n">
        <f aca="false">C34*D34</f>
        <v>6</v>
      </c>
      <c r="F34" s="46" t="s">
        <v>214</v>
      </c>
    </row>
    <row r="35" customFormat="false" ht="43.5" hidden="false" customHeight="true" outlineLevel="0" collapsed="false">
      <c r="B35" s="41" t="s">
        <v>215</v>
      </c>
      <c r="C35" s="44" t="n">
        <v>3</v>
      </c>
      <c r="D35" s="44" t="n">
        <v>1</v>
      </c>
      <c r="E35" s="45" t="n">
        <f aca="false">C35*D35</f>
        <v>3</v>
      </c>
      <c r="F35" s="46" t="s">
        <v>216</v>
      </c>
    </row>
    <row r="37" customFormat="false" ht="15" hidden="false" customHeight="true" outlineLevel="0" collapsed="false">
      <c r="B37" s="39" t="s">
        <v>217</v>
      </c>
      <c r="C37" s="40"/>
      <c r="D37" s="40"/>
      <c r="E37" s="40"/>
      <c r="F37" s="40"/>
    </row>
    <row r="38" customFormat="false" ht="15" hidden="false" customHeight="true" outlineLevel="0" collapsed="false">
      <c r="B38" s="42" t="s">
        <v>218</v>
      </c>
      <c r="C38" s="43" t="s">
        <v>219</v>
      </c>
      <c r="D38" s="43" t="s">
        <v>220</v>
      </c>
      <c r="E38" s="43" t="s">
        <v>132</v>
      </c>
      <c r="F38" s="42" t="s">
        <v>221</v>
      </c>
    </row>
    <row r="39" customFormat="false" ht="43.5" hidden="false" customHeight="true" outlineLevel="0" collapsed="false">
      <c r="B39" s="41" t="s">
        <v>222</v>
      </c>
      <c r="C39" s="46" t="s">
        <v>223</v>
      </c>
      <c r="D39" s="47" t="n">
        <v>46477</v>
      </c>
      <c r="E39" s="44" t="s">
        <v>224</v>
      </c>
      <c r="F39" s="46" t="s">
        <v>225</v>
      </c>
    </row>
    <row r="40" customFormat="false" ht="43.5" hidden="false" customHeight="true" outlineLevel="0" collapsed="false">
      <c r="B40" s="41" t="s">
        <v>226</v>
      </c>
      <c r="C40" s="46" t="s">
        <v>227</v>
      </c>
      <c r="D40" s="47" t="n">
        <v>46310</v>
      </c>
      <c r="E40" s="44" t="s">
        <v>224</v>
      </c>
      <c r="F40" s="46" t="s">
        <v>228</v>
      </c>
    </row>
    <row r="41" customFormat="false" ht="43.5" hidden="false" customHeight="true" outlineLevel="0" collapsed="false">
      <c r="B41" s="41" t="s">
        <v>229</v>
      </c>
      <c r="C41" s="46" t="s">
        <v>230</v>
      </c>
      <c r="D41" s="47" t="n">
        <v>46295</v>
      </c>
      <c r="E41" s="44" t="s">
        <v>231</v>
      </c>
      <c r="F41" s="46" t="s">
        <v>232</v>
      </c>
    </row>
    <row r="42" customFormat="false" ht="43.5" hidden="false" customHeight="true" outlineLevel="0" collapsed="false">
      <c r="B42" s="41" t="s">
        <v>233</v>
      </c>
      <c r="C42" s="46" t="s">
        <v>234</v>
      </c>
      <c r="D42" s="47" t="n">
        <v>46296</v>
      </c>
      <c r="E42" s="44" t="s">
        <v>224</v>
      </c>
      <c r="F42" s="46" t="s">
        <v>235</v>
      </c>
    </row>
    <row r="43" customFormat="false" ht="43.5" hidden="false" customHeight="true" outlineLevel="0" collapsed="false">
      <c r="B43" s="41" t="s">
        <v>236</v>
      </c>
      <c r="C43" s="46" t="s">
        <v>237</v>
      </c>
      <c r="D43" s="47" t="n">
        <v>46341</v>
      </c>
      <c r="E43" s="44" t="s">
        <v>224</v>
      </c>
      <c r="F43" s="46" t="s">
        <v>238</v>
      </c>
    </row>
    <row r="44" customFormat="false" ht="43.5" hidden="false" customHeight="true" outlineLevel="0" collapsed="false">
      <c r="B44" s="41" t="s">
        <v>239</v>
      </c>
      <c r="C44" s="46" t="s">
        <v>223</v>
      </c>
      <c r="D44" s="47" t="n">
        <v>46295</v>
      </c>
      <c r="E44" s="44" t="s">
        <v>224</v>
      </c>
      <c r="F44" s="46" t="s">
        <v>240</v>
      </c>
    </row>
    <row r="45" customFormat="false" ht="43.5" hidden="false" customHeight="true" outlineLevel="0" collapsed="false">
      <c r="B45" s="41" t="s">
        <v>241</v>
      </c>
      <c r="C45" s="46" t="s">
        <v>242</v>
      </c>
      <c r="D45" s="47" t="n">
        <v>46326</v>
      </c>
      <c r="E45" s="44" t="s">
        <v>231</v>
      </c>
      <c r="F45" s="46" t="s">
        <v>243</v>
      </c>
    </row>
    <row r="46" customFormat="false" ht="43.5" hidden="false" customHeight="true" outlineLevel="0" collapsed="false">
      <c r="B46" s="41" t="s">
        <v>244</v>
      </c>
      <c r="C46" s="46" t="s">
        <v>245</v>
      </c>
      <c r="D46" s="47" t="n">
        <v>46310</v>
      </c>
      <c r="E46" s="44" t="s">
        <v>224</v>
      </c>
      <c r="F46" s="46" t="s">
        <v>246</v>
      </c>
    </row>
    <row r="47" customFormat="false" ht="43.5" hidden="false" customHeight="true" outlineLevel="0" collapsed="false">
      <c r="B47" s="41" t="s">
        <v>247</v>
      </c>
      <c r="C47" s="46" t="s">
        <v>230</v>
      </c>
      <c r="D47" s="47" t="n">
        <v>46446</v>
      </c>
      <c r="E47" s="44" t="s">
        <v>224</v>
      </c>
      <c r="F47" s="46" t="s">
        <v>248</v>
      </c>
    </row>
    <row r="49" customFormat="false" ht="15" hidden="false" customHeight="true" outlineLevel="0" collapsed="false">
      <c r="B49" s="39" t="s">
        <v>249</v>
      </c>
      <c r="C49" s="40"/>
      <c r="D49" s="40"/>
      <c r="E49" s="40"/>
      <c r="F49" s="40"/>
    </row>
    <row r="50" customFormat="false" ht="16.5" hidden="false" customHeight="true" outlineLevel="0" collapsed="false">
      <c r="B50" s="41" t="s">
        <v>250</v>
      </c>
    </row>
    <row r="51" customFormat="false" ht="16.5" hidden="false" customHeight="true" outlineLevel="0" collapsed="false">
      <c r="B51" s="41" t="s">
        <v>251</v>
      </c>
    </row>
    <row r="52" customFormat="false" ht="16.5" hidden="false" customHeight="true" outlineLevel="0" collapsed="false">
      <c r="B52" s="41" t="s">
        <v>252</v>
      </c>
    </row>
    <row r="53" customFormat="false" ht="16.5" hidden="false" customHeight="true" outlineLevel="0" collapsed="false">
      <c r="B53" s="41" t="s">
        <v>253</v>
      </c>
    </row>
    <row r="54" customFormat="false" ht="16.5" hidden="false" customHeight="true" outlineLevel="0" collapsed="false">
      <c r="B54" s="41" t="s">
        <v>254</v>
      </c>
    </row>
    <row r="56" customFormat="false" ht="15" hidden="false" customHeight="true" outlineLevel="0" collapsed="false">
      <c r="B56" s="48" t="str">
        <f aca="false">"Prepared by BriQs Group for the owners of "&amp;Assumptions!$C$6&amp;". Model status at the time of preparation: "&amp;Checks!E35&amp;"."</f>
        <v>Prepared by BriQs Group for the owners of Alderway Home B.V. (fictional demonstration company). Model status at the time of preparation: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4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255</v>
      </c>
    </row>
    <row r="3" customFormat="false" ht="15" hidden="false" customHeight="true" outlineLevel="0" collapsed="false">
      <c r="A3" s="25" t="s">
        <v>256</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265</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266</v>
      </c>
      <c r="B9" s="55" t="s">
        <v>29</v>
      </c>
      <c r="C9" s="56" t="n">
        <f aca="false">SUM(E9:P9)</f>
        <v>4310576.95442636</v>
      </c>
      <c r="D9" s="56" t="n">
        <f aca="false">SUM(Q9:AB9)</f>
        <v>5617560.00790804</v>
      </c>
      <c r="E9" s="57" t="n">
        <f aca="false">PL!E12</f>
        <v>267554.218648649</v>
      </c>
      <c r="F9" s="57" t="n">
        <f aca="false">PL!F12</f>
        <v>250861.990739673</v>
      </c>
      <c r="G9" s="57" t="n">
        <f aca="false">PL!G12</f>
        <v>294377.593003802</v>
      </c>
      <c r="H9" s="57" t="n">
        <f aca="false">PL!H12</f>
        <v>310998.58025974</v>
      </c>
      <c r="I9" s="57" t="n">
        <f aca="false">PL!I12</f>
        <v>348897.519634369</v>
      </c>
      <c r="J9" s="57" t="n">
        <f aca="false">PL!J12</f>
        <v>331947.176425993</v>
      </c>
      <c r="K9" s="57" t="n">
        <f aca="false">PL!K12</f>
        <v>306561.177823372</v>
      </c>
      <c r="L9" s="57" t="n">
        <f aca="false">PL!L12</f>
        <v>314532.059820789</v>
      </c>
      <c r="M9" s="57" t="n">
        <f aca="false">PL!M12</f>
        <v>353616.131334753</v>
      </c>
      <c r="N9" s="57" t="n">
        <f aca="false">PL!N12</f>
        <v>409699.57900897</v>
      </c>
      <c r="O9" s="57" t="n">
        <f aca="false">PL!O12</f>
        <v>591954.784545272</v>
      </c>
      <c r="P9" s="57" t="n">
        <f aca="false">PL!P12</f>
        <v>529576.143180981</v>
      </c>
      <c r="Q9" s="57" t="n">
        <f aca="false">PL!Q12</f>
        <v>338064.974761139</v>
      </c>
      <c r="R9" s="57" t="n">
        <f aca="false">PL!R12</f>
        <v>322165.656199566</v>
      </c>
      <c r="S9" s="57" t="n">
        <f aca="false">PL!S12</f>
        <v>371325.716853015</v>
      </c>
      <c r="T9" s="57" t="n">
        <f aca="false">PL!T12</f>
        <v>393147.105578336</v>
      </c>
      <c r="U9" s="57" t="n">
        <f aca="false">PL!U12</f>
        <v>424516.716270466</v>
      </c>
      <c r="V9" s="57" t="n">
        <f aca="false">PL!V12</f>
        <v>421722.243147866</v>
      </c>
      <c r="W9" s="57" t="n">
        <f aca="false">PL!W12</f>
        <v>409465.974581056</v>
      </c>
      <c r="X9" s="57" t="n">
        <f aca="false">PL!X12</f>
        <v>410363.99318809</v>
      </c>
      <c r="Y9" s="57" t="n">
        <f aca="false">PL!Y12</f>
        <v>473230.286432452</v>
      </c>
      <c r="Z9" s="57" t="n">
        <f aca="false">PL!Z12</f>
        <v>548840.636119645</v>
      </c>
      <c r="AA9" s="57" t="n">
        <f aca="false">PL!AA12</f>
        <v>793810.80441979</v>
      </c>
      <c r="AB9" s="57" t="n">
        <f aca="false">PL!AB12</f>
        <v>710905.900356619</v>
      </c>
    </row>
    <row r="10" customFormat="false" ht="15" hidden="false" customHeight="true" outlineLevel="0" collapsed="false">
      <c r="A10" s="28" t="s">
        <v>267</v>
      </c>
      <c r="B10" s="55"/>
      <c r="F10" s="58" t="n">
        <f aca="false">IF(E9=0,0,F9/E9-1)</f>
        <v>-0.0623882067465937</v>
      </c>
      <c r="G10" s="58" t="n">
        <f aca="false">IF(F9=0,0,G9/F9-1)</f>
        <v>0.173464310539121</v>
      </c>
      <c r="H10" s="58" t="n">
        <f aca="false">IF(G9=0,0,H9/G9-1)</f>
        <v>0.0564614551207479</v>
      </c>
      <c r="I10" s="58" t="n">
        <f aca="false">IF(H9=0,0,I9/H9-1)</f>
        <v>0.121862097707895</v>
      </c>
      <c r="J10" s="58" t="n">
        <f aca="false">IF(I9=0,0,J9/I9-1)</f>
        <v>-0.048582584439522</v>
      </c>
      <c r="K10" s="58" t="n">
        <f aca="false">IF(J9=0,0,K9/J9-1)</f>
        <v>-0.0764760190942022</v>
      </c>
      <c r="L10" s="58" t="n">
        <f aca="false">IF(K9=0,0,L9/K9-1)</f>
        <v>0.0260009504595817</v>
      </c>
      <c r="M10" s="58" t="n">
        <f aca="false">IF(L9=0,0,M9/L9-1)</f>
        <v>0.124261010264687</v>
      </c>
      <c r="N10" s="58" t="n">
        <f aca="false">IF(M9=0,0,N9/M9-1)</f>
        <v>0.158599799908804</v>
      </c>
      <c r="O10" s="58" t="n">
        <f aca="false">IF(N9=0,0,O9/N9-1)</f>
        <v>0.444850848949277</v>
      </c>
      <c r="P10" s="58" t="n">
        <f aca="false">IF(O9=0,0,P9/O9-1)</f>
        <v>-0.105377375084837</v>
      </c>
      <c r="Q10" s="58" t="n">
        <f aca="false">IF(P9=0,0,Q9/P9-1)</f>
        <v>-0.361631034339086</v>
      </c>
      <c r="R10" s="58" t="n">
        <f aca="false">IF(Q9=0,0,R9/Q9-1)</f>
        <v>-0.0470303632395127</v>
      </c>
      <c r="S10" s="58" t="n">
        <f aca="false">IF(R9=0,0,S9/R9-1)</f>
        <v>0.152592493046485</v>
      </c>
      <c r="T10" s="58" t="n">
        <f aca="false">IF(S9=0,0,T9/S9-1)</f>
        <v>0.0587661660233427</v>
      </c>
      <c r="U10" s="58" t="n">
        <f aca="false">IF(T9=0,0,U9/T9-1)</f>
        <v>0.0797910254127006</v>
      </c>
      <c r="V10" s="58" t="n">
        <f aca="false">IF(U9=0,0,V9/U9-1)</f>
        <v>-0.00658271633482677</v>
      </c>
      <c r="W10" s="58" t="n">
        <f aca="false">IF(V9=0,0,W9/V9-1)</f>
        <v>-0.0290624190825814</v>
      </c>
      <c r="X10" s="58" t="n">
        <f aca="false">IF(W9=0,0,X9/W9-1)</f>
        <v>0.00219314586017161</v>
      </c>
      <c r="Y10" s="58" t="n">
        <f aca="false">IF(X9=0,0,Y9/X9-1)</f>
        <v>0.153196416566567</v>
      </c>
      <c r="Z10" s="58" t="n">
        <f aca="false">IF(Y9=0,0,Z9/Y9-1)</f>
        <v>0.159774959158251</v>
      </c>
      <c r="AA10" s="58" t="n">
        <f aca="false">IF(Z9=0,0,AA9/Z9-1)</f>
        <v>0.446341163861531</v>
      </c>
      <c r="AB10" s="58" t="n">
        <f aca="false">IF(AA9=0,0,AB9/AA9-1)</f>
        <v>-0.104439122775317</v>
      </c>
    </row>
    <row r="11" customFormat="false" ht="15" hidden="false" customHeight="true" outlineLevel="0" collapsed="false">
      <c r="A11" s="28" t="s">
        <v>268</v>
      </c>
      <c r="B11" s="55"/>
      <c r="D11" s="59" t="n">
        <f aca="false">IF(C9=0,0,D9/C9-1)</f>
        <v>0.303203739847304</v>
      </c>
      <c r="Q11" s="58" t="n">
        <f aca="false">IF(E9=0,0,Q9/E9-1)</f>
        <v>0.263538195991164</v>
      </c>
      <c r="R11" s="58" t="n">
        <f aca="false">IF(F9=0,0,R9/F9-1)</f>
        <v>0.284234631359066</v>
      </c>
      <c r="S11" s="58" t="n">
        <f aca="false">IF(G9=0,0,S9/G9-1)</f>
        <v>0.261392598071207</v>
      </c>
      <c r="T11" s="58" t="n">
        <f aca="false">IF(H9=0,0,T9/H9-1)</f>
        <v>0.264144374067516</v>
      </c>
      <c r="U11" s="58" t="n">
        <f aca="false">IF(I9=0,0,U9/I9-1)</f>
        <v>0.21673755868297</v>
      </c>
      <c r="V11" s="58" t="n">
        <f aca="false">IF(J9=0,0,V9/J9-1)</f>
        <v>0.270449857981811</v>
      </c>
      <c r="W11" s="58" t="n">
        <f aca="false">IF(K9=0,0,W9/K9-1)</f>
        <v>0.335674587005187</v>
      </c>
      <c r="X11" s="58" t="n">
        <f aca="false">IF(L9=0,0,X9/L9-1)</f>
        <v>0.304680970906124</v>
      </c>
      <c r="Y11" s="58" t="n">
        <f aca="false">IF(M9=0,0,Y9/M9-1)</f>
        <v>0.338259893987885</v>
      </c>
      <c r="Z11" s="58" t="n">
        <f aca="false">IF(N9=0,0,Z9/N9-1)</f>
        <v>0.33961728114841</v>
      </c>
      <c r="AA11" s="58" t="n">
        <f aca="false">IF(O9=0,0,AA9/O9-1)</f>
        <v>0.34099905118527</v>
      </c>
      <c r="AB11" s="58" t="n">
        <f aca="false">IF(P9=0,0,AB9/P9-1)</f>
        <v>0.342405449170071</v>
      </c>
    </row>
    <row r="12" customFormat="false" ht="15" hidden="false" customHeight="true" outlineLevel="0" collapsed="false">
      <c r="A12" s="28" t="s">
        <v>269</v>
      </c>
      <c r="B12" s="55" t="s">
        <v>29</v>
      </c>
      <c r="C12" s="59" t="n">
        <f aca="false">PL!C20</f>
        <v>0.629115431371121</v>
      </c>
      <c r="D12" s="59" t="n">
        <f aca="false">PL!D20</f>
        <v>0.619900577956877</v>
      </c>
      <c r="E12" s="60" t="n">
        <f aca="false">PL!E20</f>
        <v>0.622034279855562</v>
      </c>
      <c r="F12" s="60" t="n">
        <f aca="false">PL!F20</f>
        <v>0.615001871239531</v>
      </c>
      <c r="G12" s="60" t="n">
        <f aca="false">PL!G20</f>
        <v>0.634679044138034</v>
      </c>
      <c r="H12" s="60" t="n">
        <f aca="false">PL!H20</f>
        <v>0.659345004544511</v>
      </c>
      <c r="I12" s="60" t="n">
        <f aca="false">PL!I20</f>
        <v>0.658260476308588</v>
      </c>
      <c r="J12" s="60" t="n">
        <f aca="false">PL!J20</f>
        <v>0.614050017813918</v>
      </c>
      <c r="K12" s="60" t="n">
        <f aca="false">PL!K20</f>
        <v>0.644208488161296</v>
      </c>
      <c r="L12" s="60" t="n">
        <f aca="false">PL!L20</f>
        <v>0.606878463320855</v>
      </c>
      <c r="M12" s="60" t="n">
        <f aca="false">PL!M20</f>
        <v>0.630863820302931</v>
      </c>
      <c r="N12" s="60" t="n">
        <f aca="false">PL!N20</f>
        <v>0.612822152027214</v>
      </c>
      <c r="O12" s="60" t="n">
        <f aca="false">PL!O20</f>
        <v>0.629593452869689</v>
      </c>
      <c r="P12" s="60" t="n">
        <f aca="false">PL!P20</f>
        <v>0.624238393252336</v>
      </c>
      <c r="Q12" s="60" t="n">
        <f aca="false">PL!Q20</f>
        <v>0.629579401522725</v>
      </c>
      <c r="R12" s="60" t="n">
        <f aca="false">PL!R20</f>
        <v>0.620831388709468</v>
      </c>
      <c r="S12" s="60" t="n">
        <f aca="false">PL!S20</f>
        <v>0.620855477002774</v>
      </c>
      <c r="T12" s="60" t="n">
        <f aca="false">PL!T20</f>
        <v>0.619927199584225</v>
      </c>
      <c r="U12" s="60" t="n">
        <f aca="false">PL!U20</f>
        <v>0.620333436485742</v>
      </c>
      <c r="V12" s="60" t="n">
        <f aca="false">PL!V20</f>
        <v>0.620323829428494</v>
      </c>
      <c r="W12" s="60" t="n">
        <f aca="false">PL!W20</f>
        <v>0.621358650720649</v>
      </c>
      <c r="X12" s="60" t="n">
        <f aca="false">PL!X20</f>
        <v>0.620188678624237</v>
      </c>
      <c r="Y12" s="60" t="n">
        <f aca="false">PL!Y20</f>
        <v>0.617625125545329</v>
      </c>
      <c r="Z12" s="60" t="n">
        <f aca="false">PL!Z20</f>
        <v>0.618191819470151</v>
      </c>
      <c r="AA12" s="60" t="n">
        <f aca="false">PL!AA20</f>
        <v>0.614601187202224</v>
      </c>
      <c r="AB12" s="60" t="n">
        <f aca="false">PL!AB20</f>
        <v>0.621404463696927</v>
      </c>
    </row>
    <row r="13" customFormat="false" ht="15" hidden="false" customHeight="true" outlineLevel="0" collapsed="false">
      <c r="A13" s="28" t="s">
        <v>270</v>
      </c>
      <c r="B13" s="55" t="s">
        <v>29</v>
      </c>
      <c r="C13" s="59" t="n">
        <f aca="false">PL!C26</f>
        <v>0.398682402137609</v>
      </c>
      <c r="D13" s="59" t="n">
        <f aca="false">PL!D26</f>
        <v>0.388706982972056</v>
      </c>
      <c r="E13" s="60" t="n">
        <f aca="false">PL!E26</f>
        <v>0.406096567093769</v>
      </c>
      <c r="F13" s="60" t="n">
        <f aca="false">PL!F26</f>
        <v>0.39390464884954</v>
      </c>
      <c r="G13" s="60" t="n">
        <f aca="false">PL!G26</f>
        <v>0.411007895696706</v>
      </c>
      <c r="H13" s="60" t="n">
        <f aca="false">PL!H26</f>
        <v>0.430092652929173</v>
      </c>
      <c r="I13" s="60" t="n">
        <f aca="false">PL!I26</f>
        <v>0.434350782555665</v>
      </c>
      <c r="J13" s="60" t="n">
        <f aca="false">PL!J26</f>
        <v>0.379923941598959</v>
      </c>
      <c r="K13" s="60" t="n">
        <f aca="false">PL!K26</f>
        <v>0.415988540587112</v>
      </c>
      <c r="L13" s="60" t="n">
        <f aca="false">PL!L26</f>
        <v>0.377982762703434</v>
      </c>
      <c r="M13" s="60" t="n">
        <f aca="false">PL!M26</f>
        <v>0.401875569812771</v>
      </c>
      <c r="N13" s="60" t="n">
        <f aca="false">PL!N26</f>
        <v>0.374796391409162</v>
      </c>
      <c r="O13" s="60" t="n">
        <f aca="false">PL!O26</f>
        <v>0.389589138127808</v>
      </c>
      <c r="P13" s="60" t="n">
        <f aca="false">PL!P26</f>
        <v>0.388658599677307</v>
      </c>
      <c r="Q13" s="60" t="n">
        <f aca="false">PL!Q26</f>
        <v>0.406200059036678</v>
      </c>
      <c r="R13" s="60" t="n">
        <f aca="false">PL!R26</f>
        <v>0.392360210318027</v>
      </c>
      <c r="S13" s="60" t="n">
        <f aca="false">PL!S26</f>
        <v>0.392580061963812</v>
      </c>
      <c r="T13" s="60" t="n">
        <f aca="false">PL!T26</f>
        <v>0.391272248723412</v>
      </c>
      <c r="U13" s="60" t="n">
        <f aca="false">PL!U26</f>
        <v>0.39209972517802</v>
      </c>
      <c r="V13" s="60" t="n">
        <f aca="false">PL!V26</f>
        <v>0.392258869038852</v>
      </c>
      <c r="W13" s="60" t="n">
        <f aca="false">PL!W26</f>
        <v>0.394087028662293</v>
      </c>
      <c r="X13" s="60" t="n">
        <f aca="false">PL!X26</f>
        <v>0.392384761677539</v>
      </c>
      <c r="Y13" s="60" t="n">
        <f aca="false">PL!Y26</f>
        <v>0.388452418111491</v>
      </c>
      <c r="Z13" s="60" t="n">
        <f aca="false">PL!Z26</f>
        <v>0.380981383094911</v>
      </c>
      <c r="AA13" s="60" t="n">
        <f aca="false">PL!AA26</f>
        <v>0.375368542378389</v>
      </c>
      <c r="AB13" s="60" t="n">
        <f aca="false">PL!AB26</f>
        <v>0.386598140669151</v>
      </c>
    </row>
    <row r="14" customFormat="false" ht="15" hidden="false" customHeight="true" outlineLevel="0" collapsed="false">
      <c r="A14" s="28" t="s">
        <v>271</v>
      </c>
      <c r="B14" s="55" t="s">
        <v>29</v>
      </c>
      <c r="C14" s="59" t="n">
        <f aca="false">PL!C33</f>
        <v>0.257547591315121</v>
      </c>
      <c r="D14" s="59" t="n">
        <f aca="false">PL!D33</f>
        <v>0.248466081645194</v>
      </c>
      <c r="E14" s="60" t="n">
        <f aca="false">PL!E33</f>
        <v>0.282044598795551</v>
      </c>
      <c r="F14" s="60" t="n">
        <f aca="false">PL!F33</f>
        <v>0.257160720185118</v>
      </c>
      <c r="G14" s="60" t="n">
        <f aca="false">PL!G33</f>
        <v>0.267436249671421</v>
      </c>
      <c r="H14" s="60" t="n">
        <f aca="false">PL!H33</f>
        <v>0.292711562433492</v>
      </c>
      <c r="I14" s="60" t="n">
        <f aca="false">PL!I33</f>
        <v>0.294160979037681</v>
      </c>
      <c r="J14" s="60" t="n">
        <f aca="false">PL!J33</f>
        <v>0.236181562957083</v>
      </c>
      <c r="K14" s="60" t="n">
        <f aca="false">PL!K33</f>
        <v>0.269804869544231</v>
      </c>
      <c r="L14" s="60" t="n">
        <f aca="false">PL!L33</f>
        <v>0.227868761387728</v>
      </c>
      <c r="M14" s="60" t="n">
        <f aca="false">PL!M33</f>
        <v>0.259836395664462</v>
      </c>
      <c r="N14" s="60" t="n">
        <f aca="false">PL!N33</f>
        <v>0.232802876587328</v>
      </c>
      <c r="O14" s="60" t="n">
        <f aca="false">PL!O33</f>
        <v>0.246507966213648</v>
      </c>
      <c r="P14" s="60" t="n">
        <f aca="false">PL!P33</f>
        <v>0.248308420238464</v>
      </c>
      <c r="Q14" s="60" t="n">
        <f aca="false">PL!Q33</f>
        <v>0.268068306702481</v>
      </c>
      <c r="R14" s="60" t="n">
        <f aca="false">PL!R33</f>
        <v>0.251196216991284</v>
      </c>
      <c r="S14" s="60" t="n">
        <f aca="false">PL!S33</f>
        <v>0.251656106039201</v>
      </c>
      <c r="T14" s="60" t="n">
        <f aca="false">PL!T33</f>
        <v>0.250236046300458</v>
      </c>
      <c r="U14" s="60" t="n">
        <f aca="false">PL!U33</f>
        <v>0.251447951078949</v>
      </c>
      <c r="V14" s="60" t="n">
        <f aca="false">PL!V33</f>
        <v>0.251838371951545</v>
      </c>
      <c r="W14" s="60" t="n">
        <f aca="false">PL!W33</f>
        <v>0.254284590940855</v>
      </c>
      <c r="X14" s="60" t="n">
        <f aca="false">PL!X33</f>
        <v>0.252387554021927</v>
      </c>
      <c r="Y14" s="60" t="n">
        <f aca="false">PL!Y33</f>
        <v>0.247750250706866</v>
      </c>
      <c r="Z14" s="60" t="n">
        <f aca="false">PL!Z33</f>
        <v>0.240728485573046</v>
      </c>
      <c r="AA14" s="60" t="n">
        <f aca="false">PL!AA33</f>
        <v>0.234040822837849</v>
      </c>
      <c r="AB14" s="60" t="n">
        <f aca="false">PL!AB33</f>
        <v>0.248006185461393</v>
      </c>
    </row>
    <row r="15" customFormat="false" ht="15" hidden="false" customHeight="true" outlineLevel="0" collapsed="false">
      <c r="A15" s="28" t="s">
        <v>272</v>
      </c>
      <c r="B15" s="55" t="s">
        <v>29</v>
      </c>
      <c r="C15" s="59" t="n">
        <f aca="false">PL!C49</f>
        <v>0.0316401969200586</v>
      </c>
      <c r="D15" s="59" t="n">
        <f aca="false">PL!D49</f>
        <v>0.0425740035427816</v>
      </c>
      <c r="E15" s="60" t="n">
        <f aca="false">PL!E49</f>
        <v>0.00543730640009652</v>
      </c>
      <c r="F15" s="60" t="n">
        <f aca="false">PL!F49</f>
        <v>-0.0395722990680011</v>
      </c>
      <c r="G15" s="60" t="n">
        <f aca="false">PL!G49</f>
        <v>0.00772465257997738</v>
      </c>
      <c r="H15" s="60" t="n">
        <f aca="false">PL!H49</f>
        <v>0.0398113232624228</v>
      </c>
      <c r="I15" s="60" t="n">
        <f aca="false">PL!I49</f>
        <v>0.0671873844499308</v>
      </c>
      <c r="J15" s="60" t="n">
        <f aca="false">PL!J49</f>
        <v>-0.0090659902914</v>
      </c>
      <c r="K15" s="60" t="n">
        <f aca="false">PL!K49</f>
        <v>0.0119223315152304</v>
      </c>
      <c r="L15" s="60" t="n">
        <f aca="false">PL!L49</f>
        <v>-0.0331298066782696</v>
      </c>
      <c r="M15" s="60" t="n">
        <f aca="false">PL!M49</f>
        <v>0.0299071432038859</v>
      </c>
      <c r="N15" s="60" t="n">
        <f aca="false">PL!N49</f>
        <v>0.0259141200444512</v>
      </c>
      <c r="O15" s="60" t="n">
        <f aca="false">PL!O49</f>
        <v>0.0910497739270382</v>
      </c>
      <c r="P15" s="60" t="n">
        <f aca="false">PL!P49</f>
        <v>0.0791518811357034</v>
      </c>
      <c r="Q15" s="60" t="n">
        <f aca="false">PL!Q49</f>
        <v>0.00629964287618527</v>
      </c>
      <c r="R15" s="60" t="n">
        <f aca="false">PL!R49</f>
        <v>-0.0438997910122834</v>
      </c>
      <c r="S15" s="60" t="n">
        <f aca="false">PL!S49</f>
        <v>-0.00585388304582974</v>
      </c>
      <c r="T15" s="60" t="n">
        <f aca="false">PL!T49</f>
        <v>0.00589117297317764</v>
      </c>
      <c r="U15" s="60" t="n">
        <f aca="false">PL!U49</f>
        <v>0.0246284699796223</v>
      </c>
      <c r="V15" s="60" t="n">
        <f aca="false">PL!V49</f>
        <v>0.0237555453222853</v>
      </c>
      <c r="W15" s="60" t="n">
        <f aca="false">PL!W49</f>
        <v>0.0205563650136344</v>
      </c>
      <c r="X15" s="60" t="n">
        <f aca="false">PL!X49</f>
        <v>0.0185898679977577</v>
      </c>
      <c r="Y15" s="60" t="n">
        <f aca="false">PL!Y49</f>
        <v>0.042118970056384</v>
      </c>
      <c r="Z15" s="60" t="n">
        <f aca="false">PL!Z49</f>
        <v>0.0620921964559354</v>
      </c>
      <c r="AA15" s="60" t="n">
        <f aca="false">PL!AA49</f>
        <v>0.105569262776364</v>
      </c>
      <c r="AB15" s="60" t="n">
        <f aca="false">PL!AB49</f>
        <v>0.108639739720609</v>
      </c>
    </row>
    <row r="16" customFormat="false" ht="15" hidden="false" customHeight="true" outlineLevel="0" collapsed="false">
      <c r="A16" s="28" t="s">
        <v>273</v>
      </c>
      <c r="B16" s="55" t="s">
        <v>29</v>
      </c>
      <c r="C16" s="56" t="n">
        <f aca="false">SUM(E16:P16)</f>
        <v>136385.730066086</v>
      </c>
      <c r="D16" s="56" t="n">
        <f aca="false">SUM(Q16:AB16)</f>
        <v>238865.65071543</v>
      </c>
      <c r="E16" s="57" t="n">
        <f aca="false">PL!E48</f>
        <v>1509.31400396829</v>
      </c>
      <c r="F16" s="57" t="n">
        <f aca="false">PL!F48</f>
        <v>-9915.97869562101</v>
      </c>
      <c r="G16" s="57" t="n">
        <f aca="false">PL!G48</f>
        <v>2270.32778930795</v>
      </c>
      <c r="H16" s="57" t="n">
        <f aca="false">PL!H48</f>
        <v>12346.6933694998</v>
      </c>
      <c r="I16" s="57" t="n">
        <f aca="false">PL!I48</f>
        <v>23379.4896753438</v>
      </c>
      <c r="J16" s="57" t="n">
        <f aca="false">PL!J48</f>
        <v>-3006.7966369261</v>
      </c>
      <c r="K16" s="57" t="n">
        <f aca="false">PL!K48</f>
        <v>3675.46125858954</v>
      </c>
      <c r="L16" s="57" t="n">
        <f aca="false">PL!L48</f>
        <v>-10363.0857711705</v>
      </c>
      <c r="M16" s="57" t="n">
        <f aca="false">PL!M48</f>
        <v>10540.4336446802</v>
      </c>
      <c r="N16" s="57" t="n">
        <f aca="false">PL!N48</f>
        <v>10574.6087933109</v>
      </c>
      <c r="O16" s="57" t="n">
        <f aca="false">PL!O48</f>
        <v>53221.0971042968</v>
      </c>
      <c r="P16" s="57" t="n">
        <f aca="false">PL!P48</f>
        <v>42154.1655308064</v>
      </c>
      <c r="Q16" s="57" t="n">
        <f aca="false">PL!Q48</f>
        <v>2173.94296728967</v>
      </c>
      <c r="R16" s="57" t="n">
        <f aca="false">PL!R48</f>
        <v>-14112.4328192428</v>
      </c>
      <c r="S16" s="57" t="n">
        <f aca="false">PL!S48</f>
        <v>-2170.46987023378</v>
      </c>
      <c r="T16" s="57" t="n">
        <f aca="false">PL!T48</f>
        <v>2308.43672214162</v>
      </c>
      <c r="U16" s="57" t="n">
        <f aca="false">PL!U48</f>
        <v>10438.251485422</v>
      </c>
      <c r="V16" s="57" t="n">
        <f aca="false">PL!V48</f>
        <v>10008.0065384421</v>
      </c>
      <c r="W16" s="57" t="n">
        <f aca="false">PL!W48</f>
        <v>8436.81678447685</v>
      </c>
      <c r="X16" s="57" t="n">
        <f aca="false">PL!X48</f>
        <v>7627.72223719912</v>
      </c>
      <c r="Y16" s="57" t="n">
        <f aca="false">PL!Y48</f>
        <v>19808.6313682681</v>
      </c>
      <c r="Z16" s="57" t="n">
        <f aca="false">PL!Z48</f>
        <v>33939.821179582</v>
      </c>
      <c r="AA16" s="57" t="n">
        <f aca="false">PL!AA48</f>
        <v>82736.1340942233</v>
      </c>
      <c r="AB16" s="57" t="n">
        <f aca="false">PL!AB48</f>
        <v>77670.7900278618</v>
      </c>
    </row>
    <row r="17" customFormat="false" ht="15" hidden="false" customHeight="true" outlineLevel="0" collapsed="false">
      <c r="A17" s="22" t="s">
        <v>274</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row>
    <row r="18" customFormat="false" ht="15" hidden="false" customHeight="true" outlineLevel="0" collapsed="false">
      <c r="A18" s="28" t="s">
        <v>275</v>
      </c>
      <c r="B18" s="55" t="s">
        <v>43</v>
      </c>
      <c r="C18" s="56" t="n">
        <f aca="false">SUM(E18:P18)</f>
        <v>67119.8211092177</v>
      </c>
      <c r="D18" s="56" t="n">
        <f aca="false">SUM(Q18:AB18)</f>
        <v>85929.9505684704</v>
      </c>
      <c r="E18" s="57" t="n">
        <f aca="false">Channel_PL!E114</f>
        <v>4190</v>
      </c>
      <c r="F18" s="57" t="n">
        <f aca="false">Channel_PL!F114</f>
        <v>3892</v>
      </c>
      <c r="G18" s="57" t="n">
        <f aca="false">Channel_PL!G114</f>
        <v>4581</v>
      </c>
      <c r="H18" s="57" t="n">
        <f aca="false">Channel_PL!H114</f>
        <v>4860</v>
      </c>
      <c r="I18" s="57" t="n">
        <f aca="false">Channel_PL!I114</f>
        <v>5350</v>
      </c>
      <c r="J18" s="57" t="n">
        <f aca="false">Channel_PL!J114</f>
        <v>5184</v>
      </c>
      <c r="K18" s="57" t="n">
        <f aca="false">Channel_PL!K114</f>
        <v>4878</v>
      </c>
      <c r="L18" s="57" t="n">
        <f aca="false">Channel_PL!L114</f>
        <v>4913</v>
      </c>
      <c r="M18" s="57" t="n">
        <f aca="false">Channel_PL!M114</f>
        <v>5507.90676848994</v>
      </c>
      <c r="N18" s="57" t="n">
        <f aca="false">Channel_PL!N114</f>
        <v>6370.31264043087</v>
      </c>
      <c r="O18" s="57" t="n">
        <f aca="false">Channel_PL!O114</f>
        <v>9188.08136505789</v>
      </c>
      <c r="P18" s="57" t="n">
        <f aca="false">Channel_PL!P114</f>
        <v>8205.52033523896</v>
      </c>
      <c r="Q18" s="57" t="n">
        <f aca="false">Channel_PL!Q114</f>
        <v>5229.01219458977</v>
      </c>
      <c r="R18" s="57" t="n">
        <f aca="false">Channel_PL!R114</f>
        <v>4974.40138469012</v>
      </c>
      <c r="S18" s="57" t="n">
        <f aca="false">Channel_PL!S114</f>
        <v>5723.46540587493</v>
      </c>
      <c r="T18" s="57" t="n">
        <f aca="false">Channel_PL!T114</f>
        <v>6049.25520828932</v>
      </c>
      <c r="U18" s="57" t="n">
        <f aca="false">Channel_PL!U114</f>
        <v>6520.55780659734</v>
      </c>
      <c r="V18" s="57" t="n">
        <f aca="false">Channel_PL!V114</f>
        <v>6466.36069785976</v>
      </c>
      <c r="W18" s="57" t="n">
        <f aca="false">Channel_PL!W114</f>
        <v>6267.51001602267</v>
      </c>
      <c r="X18" s="57" t="n">
        <f aca="false">Channel_PL!X114</f>
        <v>6270.33286679683</v>
      </c>
      <c r="Y18" s="57" t="n">
        <f aca="false">Channel_PL!Y114</f>
        <v>7218.35674852479</v>
      </c>
      <c r="Z18" s="57" t="n">
        <f aca="false">Channel_PL!Z114</f>
        <v>8357.12425150005</v>
      </c>
      <c r="AA18" s="57" t="n">
        <f aca="false">Channel_PL!AA114</f>
        <v>12066.2611665075</v>
      </c>
      <c r="AB18" s="57" t="n">
        <f aca="false">Channel_PL!AB114</f>
        <v>10787.3128212173</v>
      </c>
    </row>
    <row r="19" customFormat="false" ht="15" hidden="false" customHeight="true" outlineLevel="0" collapsed="false">
      <c r="A19" s="28" t="s">
        <v>276</v>
      </c>
      <c r="B19" s="55"/>
      <c r="C19" s="61" t="n">
        <f aca="false">IF(C18=0,0,C9/C18)</f>
        <v>64.222116257017</v>
      </c>
      <c r="D19" s="61" t="n">
        <f aca="false">IF(D18=0,0,D9/D18)</f>
        <v>65.3737139465927</v>
      </c>
      <c r="E19" s="62" t="n">
        <f aca="false">IF(E18=0,0,E9/E18)</f>
        <v>63.8554221118493</v>
      </c>
      <c r="F19" s="62" t="n">
        <f aca="false">IF(F18=0,0,F9/F18)</f>
        <v>64.4558044038215</v>
      </c>
      <c r="G19" s="62" t="n">
        <f aca="false">IF(G18=0,0,G9/G18)</f>
        <v>64.2605529368702</v>
      </c>
      <c r="H19" s="62" t="n">
        <f aca="false">IF(H18=0,0,H9/H18)</f>
        <v>63.9914774196996</v>
      </c>
      <c r="I19" s="62" t="n">
        <f aca="false">IF(I18=0,0,I9/I18)</f>
        <v>65.214489651284</v>
      </c>
      <c r="J19" s="62" t="n">
        <f aca="false">IF(J18=0,0,J9/J18)</f>
        <v>64.0330201439029</v>
      </c>
      <c r="K19" s="62" t="n">
        <f aca="false">IF(K18=0,0,K9/K18)</f>
        <v>62.8456699104904</v>
      </c>
      <c r="L19" s="62" t="n">
        <f aca="false">IF(L18=0,0,L9/L18)</f>
        <v>64.0203663384467</v>
      </c>
      <c r="M19" s="62" t="n">
        <f aca="false">IF(M18=0,0,M9/M18)</f>
        <v>64.201546285741</v>
      </c>
      <c r="N19" s="62" t="n">
        <f aca="false">IF(N18=0,0,N9/N18)</f>
        <v>64.3138888362721</v>
      </c>
      <c r="O19" s="62" t="n">
        <f aca="false">IF(O18=0,0,O9/O18)</f>
        <v>64.4263759783915</v>
      </c>
      <c r="P19" s="62" t="n">
        <f aca="false">IF(P18=0,0,P9/P18)</f>
        <v>64.5390080756602</v>
      </c>
      <c r="Q19" s="62" t="n">
        <f aca="false">IF(Q18=0,0,Q9/Q18)</f>
        <v>64.6517854961057</v>
      </c>
      <c r="R19" s="62" t="n">
        <f aca="false">IF(R18=0,0,R9/R18)</f>
        <v>64.7647086121972</v>
      </c>
      <c r="S19" s="62" t="n">
        <f aca="false">IF(S18=0,0,S9/S18)</f>
        <v>64.8777778008166</v>
      </c>
      <c r="T19" s="62" t="n">
        <f aca="false">IF(T18=0,0,T9/T18)</f>
        <v>64.9909934432266</v>
      </c>
      <c r="U19" s="62" t="n">
        <f aca="false">IF(U18=0,0,U9/U18)</f>
        <v>65.1043559250331</v>
      </c>
      <c r="V19" s="62" t="n">
        <f aca="false">IF(V18=0,0,V9/V18)</f>
        <v>65.2178656361449</v>
      </c>
      <c r="W19" s="62" t="n">
        <f aca="false">IF(W18=0,0,W9/W18)</f>
        <v>65.3315229707284</v>
      </c>
      <c r="X19" s="62" t="n">
        <f aca="false">IF(X18=0,0,X9/X18)</f>
        <v>65.4453283271582</v>
      </c>
      <c r="Y19" s="62" t="n">
        <f aca="false">IF(Y18=0,0,Y9/Y18)</f>
        <v>65.5592821079626</v>
      </c>
      <c r="Z19" s="62" t="n">
        <f aca="false">IF(Z18=0,0,Z9/Z18)</f>
        <v>65.6733847197655</v>
      </c>
      <c r="AA19" s="62" t="n">
        <f aca="false">IF(AA18=0,0,AA9/AA18)</f>
        <v>65.787636573223</v>
      </c>
      <c r="AB19" s="62" t="n">
        <f aca="false">IF(AB18=0,0,AB9/AB18)</f>
        <v>65.9020380829556</v>
      </c>
    </row>
    <row r="20" customFormat="false" ht="15" hidden="false" customHeight="true" outlineLevel="0" collapsed="false">
      <c r="A20" s="28" t="s">
        <v>277</v>
      </c>
      <c r="B20" s="55"/>
      <c r="C20" s="59" t="n">
        <f aca="false">IF(Channel_PL!C116=0,0,-Channel_PL!C118/Channel_PL!C116)</f>
        <v>0.0703710701504468</v>
      </c>
      <c r="D20" s="59" t="n">
        <f aca="false">IF(Channel_PL!D116=0,0,-Channel_PL!D118/Channel_PL!D116)</f>
        <v>0.0723838316075505</v>
      </c>
      <c r="E20" s="60" t="n">
        <f aca="false">IF(Channel_PL!E116=0,0,-Channel_PL!E118/Channel_PL!E116)</f>
        <v>0.0692319837664834</v>
      </c>
      <c r="F20" s="60" t="n">
        <f aca="false">IF(Channel_PL!F116=0,0,-Channel_PL!F118/Channel_PL!F116)</f>
        <v>0.0681651204535255</v>
      </c>
      <c r="G20" s="60" t="n">
        <f aca="false">IF(Channel_PL!G116=0,0,-Channel_PL!G118/Channel_PL!G116)</f>
        <v>0.0675895217004515</v>
      </c>
      <c r="H20" s="60" t="n">
        <f aca="false">IF(Channel_PL!H116=0,0,-Channel_PL!H118/Channel_PL!H116)</f>
        <v>0.0673661054418279</v>
      </c>
      <c r="I20" s="60" t="n">
        <f aca="false">IF(Channel_PL!I116=0,0,-Channel_PL!I118/Channel_PL!I116)</f>
        <v>0.0674491761608167</v>
      </c>
      <c r="J20" s="60" t="n">
        <f aca="false">IF(Channel_PL!J116=0,0,-Channel_PL!J118/Channel_PL!J116)</f>
        <v>0.0701219829121493</v>
      </c>
      <c r="K20" s="60" t="n">
        <f aca="false">IF(Channel_PL!K116=0,0,-Channel_PL!K118/Channel_PL!K116)</f>
        <v>0.0673511603585911</v>
      </c>
      <c r="L20" s="60" t="n">
        <f aca="false">IF(Channel_PL!L116=0,0,-Channel_PL!L118/Channel_PL!L116)</f>
        <v>0.0759280510819055</v>
      </c>
      <c r="M20" s="60" t="n">
        <f aca="false">IF(Channel_PL!M116=0,0,-Channel_PL!M118/Channel_PL!M116)</f>
        <v>0.0718020165135218</v>
      </c>
      <c r="N20" s="60" t="n">
        <f aca="false">IF(Channel_PL!N116=0,0,-Channel_PL!N118/Channel_PL!N116)</f>
        <v>0.0718537865581015</v>
      </c>
      <c r="O20" s="60" t="n">
        <f aca="false">IF(Channel_PL!O116=0,0,-Channel_PL!O118/Channel_PL!O116)</f>
        <v>0.0719063398969566</v>
      </c>
      <c r="P20" s="60" t="n">
        <f aca="false">IF(Channel_PL!P116=0,0,-Channel_PL!P118/Channel_PL!P116)</f>
        <v>0.0719596833524757</v>
      </c>
      <c r="Q20" s="60" t="n">
        <f aca="false">IF(Channel_PL!Q116=0,0,-Channel_PL!Q118/Channel_PL!Q116)</f>
        <v>0.0720138234895111</v>
      </c>
      <c r="R20" s="60" t="n">
        <f aca="false">IF(Channel_PL!R116=0,0,-Channel_PL!R118/Channel_PL!R116)</f>
        <v>0.0720687665996471</v>
      </c>
      <c r="S20" s="60" t="n">
        <f aca="false">IF(Channel_PL!S116=0,0,-Channel_PL!S118/Channel_PL!S116)</f>
        <v>0.0721245186852119</v>
      </c>
      <c r="T20" s="60" t="n">
        <f aca="false">IF(Channel_PL!T116=0,0,-Channel_PL!T118/Channel_PL!T116)</f>
        <v>0.0721810854430528</v>
      </c>
      <c r="U20" s="60" t="n">
        <f aca="false">IF(Channel_PL!U116=0,0,-Channel_PL!U118/Channel_PL!U116)</f>
        <v>0.0722384722480986</v>
      </c>
      <c r="V20" s="60" t="n">
        <f aca="false">IF(Channel_PL!V116=0,0,-Channel_PL!V118/Channel_PL!V116)</f>
        <v>0.0722966841367329</v>
      </c>
      <c r="W20" s="60" t="n">
        <f aca="false">IF(Channel_PL!W116=0,0,-Channel_PL!W118/Channel_PL!W116)</f>
        <v>0.0723557257900055</v>
      </c>
      <c r="X20" s="60" t="n">
        <f aca="false">IF(Channel_PL!X116=0,0,-Channel_PL!X118/Channel_PL!X116)</f>
        <v>0.0724156015167103</v>
      </c>
      <c r="Y20" s="60" t="n">
        <f aca="false">IF(Channel_PL!Y116=0,0,-Channel_PL!Y118/Channel_PL!Y116)</f>
        <v>0.0724763152363598</v>
      </c>
      <c r="Z20" s="60" t="n">
        <f aca="false">IF(Channel_PL!Z116=0,0,-Channel_PL!Z118/Channel_PL!Z116)</f>
        <v>0.0725378704620886</v>
      </c>
      <c r="AA20" s="60" t="n">
        <f aca="false">IF(Channel_PL!AA116=0,0,-Channel_PL!AA118/Channel_PL!AA116)</f>
        <v>0.0726002702835203</v>
      </c>
      <c r="AB20" s="60" t="n">
        <f aca="false">IF(Channel_PL!AB116=0,0,-Channel_PL!AB118/Channel_PL!AB116)</f>
        <v>0.0726635173496344</v>
      </c>
    </row>
    <row r="21" customFormat="false" ht="15" hidden="false" customHeight="true" outlineLevel="0" collapsed="false">
      <c r="A21" s="28" t="s">
        <v>278</v>
      </c>
      <c r="B21" s="55"/>
      <c r="C21" s="59" t="n">
        <f aca="false">Channel_PL!C139</f>
        <v>0.141132975476503</v>
      </c>
      <c r="D21" s="59" t="n">
        <f aca="false">Channel_PL!D139</f>
        <v>0.140067115160659</v>
      </c>
      <c r="E21" s="60" t="n">
        <f aca="false">Channel_PL!E139</f>
        <v>0.128702698020881</v>
      </c>
      <c r="F21" s="60" t="n">
        <f aca="false">Channel_PL!F139</f>
        <v>0.136589555319783</v>
      </c>
      <c r="G21" s="60" t="n">
        <f aca="false">Channel_PL!G139</f>
        <v>0.143342026061814</v>
      </c>
      <c r="H21" s="60" t="n">
        <f aca="false">Channel_PL!H139</f>
        <v>0.136997487522788</v>
      </c>
      <c r="I21" s="60" t="n">
        <f aca="false">Channel_PL!I139</f>
        <v>0.139818885998313</v>
      </c>
      <c r="J21" s="60" t="n">
        <f aca="false">Channel_PL!J139</f>
        <v>0.143616604506408</v>
      </c>
      <c r="K21" s="60" t="n">
        <f aca="false">Channel_PL!K139</f>
        <v>0.147005087048381</v>
      </c>
      <c r="L21" s="60" t="n">
        <f aca="false">Channel_PL!L139</f>
        <v>0.149288540840062</v>
      </c>
      <c r="M21" s="60" t="n">
        <f aca="false">Channel_PL!M139</f>
        <v>0.141566214245581</v>
      </c>
      <c r="N21" s="60" t="n">
        <f aca="false">Channel_PL!N139</f>
        <v>0.14142651355887</v>
      </c>
      <c r="O21" s="60" t="n">
        <f aca="false">Channel_PL!O139</f>
        <v>0.141285926711194</v>
      </c>
      <c r="P21" s="60" t="n">
        <f aca="false">Channel_PL!P139</f>
        <v>0.14114445319788</v>
      </c>
      <c r="Q21" s="60" t="n">
        <f aca="false">Channel_PL!Q139</f>
        <v>0.141002093049903</v>
      </c>
      <c r="R21" s="60" t="n">
        <f aca="false">Channel_PL!R139</f>
        <v>0.140858846853884</v>
      </c>
      <c r="S21" s="60" t="n">
        <f aca="false">Channel_PL!S139</f>
        <v>0.140714715772105</v>
      </c>
      <c r="T21" s="60" t="n">
        <f aca="false">Channel_PL!T139</f>
        <v>0.140569701562515</v>
      </c>
      <c r="U21" s="60" t="n">
        <f aca="false">Channel_PL!U139</f>
        <v>0.140423806598665</v>
      </c>
      <c r="V21" s="60" t="n">
        <f aca="false">Channel_PL!V139</f>
        <v>0.140277033889539</v>
      </c>
      <c r="W21" s="60" t="n">
        <f aca="false">Channel_PL!W139</f>
        <v>0.140129387099234</v>
      </c>
      <c r="X21" s="60" t="n">
        <f aca="false">Channel_PL!X139</f>
        <v>0.139980870566424</v>
      </c>
      <c r="Y21" s="60" t="n">
        <f aca="false">Channel_PL!Y139</f>
        <v>0.139831489323581</v>
      </c>
      <c r="Z21" s="60" t="n">
        <f aca="false">Channel_PL!Z139</f>
        <v>0.139681249115872</v>
      </c>
      <c r="AA21" s="60" t="n">
        <f aca="false">Channel_PL!AA139</f>
        <v>0.139530156419695</v>
      </c>
      <c r="AB21" s="60" t="n">
        <f aca="false">Channel_PL!AB139</f>
        <v>0.139378218460794</v>
      </c>
    </row>
    <row r="22" customFormat="false" ht="15" hidden="false" customHeight="true" outlineLevel="0" collapsed="false">
      <c r="A22" s="28" t="s">
        <v>279</v>
      </c>
      <c r="B22" s="55"/>
      <c r="C22" s="63" t="n">
        <f aca="false">Channel_PL!C140</f>
        <v>7.08551631270954</v>
      </c>
      <c r="D22" s="63" t="n">
        <f aca="false">Channel_PL!D140</f>
        <v>7.13943454074129</v>
      </c>
      <c r="E22" s="64" t="n">
        <f aca="false">Channel_PL!E140</f>
        <v>7.76984488575179</v>
      </c>
      <c r="F22" s="64" t="n">
        <f aca="false">Channel_PL!F140</f>
        <v>7.32120400903863</v>
      </c>
      <c r="G22" s="64" t="n">
        <f aca="false">Channel_PL!G140</f>
        <v>6.9763210934996</v>
      </c>
      <c r="H22" s="64" t="n">
        <f aca="false">Channel_PL!H140</f>
        <v>7.29940393858438</v>
      </c>
      <c r="I22" s="64" t="n">
        <f aca="false">Channel_PL!I140</f>
        <v>7.15210962281639</v>
      </c>
      <c r="J22" s="64" t="n">
        <f aca="false">Channel_PL!J140</f>
        <v>6.96298316922945</v>
      </c>
      <c r="K22" s="64" t="n">
        <f aca="false">Channel_PL!K140</f>
        <v>6.80248568317156</v>
      </c>
      <c r="L22" s="64" t="n">
        <f aca="false">Channel_PL!L140</f>
        <v>6.6984377660395</v>
      </c>
      <c r="M22" s="64" t="n">
        <f aca="false">Channel_PL!M140</f>
        <v>7.06383232276918</v>
      </c>
      <c r="N22" s="64" t="n">
        <f aca="false">Channel_PL!N140</f>
        <v>7.07080995519089</v>
      </c>
      <c r="O22" s="64" t="n">
        <f aca="false">Channel_PL!O140</f>
        <v>7.07784577896514</v>
      </c>
      <c r="P22" s="64" t="n">
        <f aca="false">Channel_PL!P140</f>
        <v>7.08494012583006</v>
      </c>
      <c r="Q22" s="64" t="n">
        <f aca="false">Channel_PL!Q140</f>
        <v>7.09209330421842</v>
      </c>
      <c r="R22" s="64" t="n">
        <f aca="false">Channel_PL!R140</f>
        <v>7.09930559801702</v>
      </c>
      <c r="S22" s="64" t="n">
        <f aca="false">Channel_PL!S140</f>
        <v>7.10657726530573</v>
      </c>
      <c r="T22" s="64" t="n">
        <f aca="false">Channel_PL!T140</f>
        <v>7.11390853707741</v>
      </c>
      <c r="U22" s="64" t="n">
        <f aca="false">Channel_PL!U140</f>
        <v>7.12129961594069</v>
      </c>
      <c r="V22" s="64" t="n">
        <f aca="false">Channel_PL!V140</f>
        <v>7.12875067480717</v>
      </c>
      <c r="W22" s="64" t="n">
        <f aca="false">Channel_PL!W140</f>
        <v>7.13626185556526</v>
      </c>
      <c r="X22" s="64" t="n">
        <f aca="false">Channel_PL!X140</f>
        <v>7.14383326774264</v>
      </c>
      <c r="Y22" s="64" t="n">
        <f aca="false">Channel_PL!Y140</f>
        <v>7.15146498715979</v>
      </c>
      <c r="Z22" s="64" t="n">
        <f aca="false">Channel_PL!Z140</f>
        <v>7.15915705457685</v>
      </c>
      <c r="AA22" s="64" t="n">
        <f aca="false">Channel_PL!AA140</f>
        <v>7.16690947433674</v>
      </c>
      <c r="AB22" s="64" t="n">
        <f aca="false">Channel_PL!AB140</f>
        <v>7.17472221300699</v>
      </c>
    </row>
    <row r="23" customFormat="false" ht="15" hidden="false" customHeight="true" outlineLevel="0" collapsed="false">
      <c r="A23" s="28" t="s">
        <v>280</v>
      </c>
      <c r="B23" s="55"/>
      <c r="C23" s="63" t="n">
        <f aca="false">IF(Channel_PL!C33=0,0,-Channel_PL!C18/Channel_PL!C33)</f>
        <v>5.34636630018863</v>
      </c>
      <c r="D23" s="63" t="n">
        <f aca="false">IF(Channel_PL!D33=0,0,-Channel_PL!D18/Channel_PL!D33)</f>
        <v>5.26315789473684</v>
      </c>
      <c r="E23" s="64" t="n">
        <f aca="false">IF(Channel_PL!E33=0,0,-Channel_PL!E18/Channel_PL!E33)</f>
        <v>5.93396182167816</v>
      </c>
      <c r="F23" s="64" t="n">
        <f aca="false">IF(Channel_PL!F33=0,0,-Channel_PL!F18/Channel_PL!F33)</f>
        <v>5.66479348406623</v>
      </c>
      <c r="G23" s="64" t="n">
        <f aca="false">IF(Channel_PL!G33=0,0,-Channel_PL!G18/Channel_PL!G33)</f>
        <v>5.24076517821458</v>
      </c>
      <c r="H23" s="64" t="n">
        <f aca="false">IF(Channel_PL!H33=0,0,-Channel_PL!H18/Channel_PL!H33)</f>
        <v>5.61288269909769</v>
      </c>
      <c r="I23" s="64" t="n">
        <f aca="false">IF(Channel_PL!I33=0,0,-Channel_PL!I18/Channel_PL!I33)</f>
        <v>5.56647412918498</v>
      </c>
      <c r="J23" s="64" t="n">
        <f aca="false">IF(Channel_PL!J33=0,0,-Channel_PL!J18/Channel_PL!J33)</f>
        <v>5.3616205024706</v>
      </c>
      <c r="K23" s="64" t="n">
        <f aca="false">IF(Channel_PL!K33=0,0,-Channel_PL!K18/Channel_PL!K33)</f>
        <v>5.11375062433107</v>
      </c>
      <c r="L23" s="64" t="n">
        <f aca="false">IF(Channel_PL!L33=0,0,-Channel_PL!L18/Channel_PL!L33)</f>
        <v>4.98674993165664</v>
      </c>
      <c r="M23" s="64" t="n">
        <f aca="false">IF(Channel_PL!M33=0,0,-Channel_PL!M18/Channel_PL!M33)</f>
        <v>5.26315789473684</v>
      </c>
      <c r="N23" s="64" t="n">
        <f aca="false">IF(Channel_PL!N33=0,0,-Channel_PL!N18/Channel_PL!N33)</f>
        <v>5.26315789473684</v>
      </c>
      <c r="O23" s="64" t="n">
        <f aca="false">IF(Channel_PL!O33=0,0,-Channel_PL!O18/Channel_PL!O33)</f>
        <v>5.26315789473684</v>
      </c>
      <c r="P23" s="64" t="n">
        <f aca="false">IF(Channel_PL!P33=0,0,-Channel_PL!P18/Channel_PL!P33)</f>
        <v>5.26315789473684</v>
      </c>
      <c r="Q23" s="64" t="n">
        <f aca="false">IF(Channel_PL!Q33=0,0,-Channel_PL!Q18/Channel_PL!Q33)</f>
        <v>5.26315789473684</v>
      </c>
      <c r="R23" s="64" t="n">
        <f aca="false">IF(Channel_PL!R33=0,0,-Channel_PL!R18/Channel_PL!R33)</f>
        <v>5.26315789473684</v>
      </c>
      <c r="S23" s="64" t="n">
        <f aca="false">IF(Channel_PL!S33=0,0,-Channel_PL!S18/Channel_PL!S33)</f>
        <v>5.26315789473684</v>
      </c>
      <c r="T23" s="64" t="n">
        <f aca="false">IF(Channel_PL!T33=0,0,-Channel_PL!T18/Channel_PL!T33)</f>
        <v>5.26315789473684</v>
      </c>
      <c r="U23" s="64" t="n">
        <f aca="false">IF(Channel_PL!U33=0,0,-Channel_PL!U18/Channel_PL!U33)</f>
        <v>5.26315789473684</v>
      </c>
      <c r="V23" s="64" t="n">
        <f aca="false">IF(Channel_PL!V33=0,0,-Channel_PL!V18/Channel_PL!V33)</f>
        <v>5.26315789473684</v>
      </c>
      <c r="W23" s="64" t="n">
        <f aca="false">IF(Channel_PL!W33=0,0,-Channel_PL!W18/Channel_PL!W33)</f>
        <v>5.26315789473684</v>
      </c>
      <c r="X23" s="64" t="n">
        <f aca="false">IF(Channel_PL!X33=0,0,-Channel_PL!X18/Channel_PL!X33)</f>
        <v>5.26315789473684</v>
      </c>
      <c r="Y23" s="64" t="n">
        <f aca="false">IF(Channel_PL!Y33=0,0,-Channel_PL!Y18/Channel_PL!Y33)</f>
        <v>5.26315789473684</v>
      </c>
      <c r="Z23" s="64" t="n">
        <f aca="false">IF(Channel_PL!Z33=0,0,-Channel_PL!Z18/Channel_PL!Z33)</f>
        <v>5.26315789473684</v>
      </c>
      <c r="AA23" s="64" t="n">
        <f aca="false">IF(Channel_PL!AA33=0,0,-Channel_PL!AA18/Channel_PL!AA33)</f>
        <v>5.26315789473684</v>
      </c>
      <c r="AB23" s="64" t="n">
        <f aca="false">IF(Channel_PL!AB33=0,0,-Channel_PL!AB18/Channel_PL!AB33)</f>
        <v>5.26315789473684</v>
      </c>
    </row>
    <row r="24" customFormat="false" ht="15" hidden="false" customHeight="true" outlineLevel="0" collapsed="false">
      <c r="A24" s="28" t="s">
        <v>281</v>
      </c>
      <c r="B24" s="55"/>
      <c r="C24" s="63" t="n">
        <f aca="false">IF(Channel_PL!C69=0,0,-Channel_PL!C55/Channel_PL!C69)</f>
        <v>10.5743702511717</v>
      </c>
      <c r="D24" s="63" t="n">
        <f aca="false">IF(Channel_PL!D69=0,0,-Channel_PL!D55/Channel_PL!D69)</f>
        <v>10.5263157894737</v>
      </c>
      <c r="E24" s="64" t="n">
        <f aca="false">IF(Channel_PL!E69=0,0,-Channel_PL!E55/Channel_PL!E69)</f>
        <v>11.4859428416388</v>
      </c>
      <c r="F24" s="64" t="n">
        <f aca="false">IF(Channel_PL!F69=0,0,-Channel_PL!F55/Channel_PL!F69)</f>
        <v>11.5034410201913</v>
      </c>
      <c r="G24" s="64" t="n">
        <f aca="false">IF(Channel_PL!G69=0,0,-Channel_PL!G55/Channel_PL!G69)</f>
        <v>11.1665799581006</v>
      </c>
      <c r="H24" s="64" t="n">
        <f aca="false">IF(Channel_PL!H69=0,0,-Channel_PL!H55/Channel_PL!H69)</f>
        <v>10.5647413987804</v>
      </c>
      <c r="I24" s="64" t="n">
        <f aca="false">IF(Channel_PL!I69=0,0,-Channel_PL!I55/Channel_PL!I69)</f>
        <v>10.0969677718219</v>
      </c>
      <c r="J24" s="64" t="n">
        <f aca="false">IF(Channel_PL!J69=0,0,-Channel_PL!J55/Channel_PL!J69)</f>
        <v>10.0515881929446</v>
      </c>
      <c r="K24" s="64" t="n">
        <f aca="false">IF(Channel_PL!K69=0,0,-Channel_PL!K55/Channel_PL!K69)</f>
        <v>9.96647720967103</v>
      </c>
      <c r="L24" s="64" t="n">
        <f aca="false">IF(Channel_PL!L69=0,0,-Channel_PL!L55/Channel_PL!L69)</f>
        <v>10.5931730519761</v>
      </c>
      <c r="M24" s="64" t="n">
        <f aca="false">IF(Channel_PL!M69=0,0,-Channel_PL!M55/Channel_PL!M69)</f>
        <v>10.5263157894737</v>
      </c>
      <c r="N24" s="64" t="n">
        <f aca="false">IF(Channel_PL!N69=0,0,-Channel_PL!N55/Channel_PL!N69)</f>
        <v>10.5263157894737</v>
      </c>
      <c r="O24" s="64" t="n">
        <f aca="false">IF(Channel_PL!O69=0,0,-Channel_PL!O55/Channel_PL!O69)</f>
        <v>10.5263157894737</v>
      </c>
      <c r="P24" s="64" t="n">
        <f aca="false">IF(Channel_PL!P69=0,0,-Channel_PL!P55/Channel_PL!P69)</f>
        <v>10.5263157894737</v>
      </c>
      <c r="Q24" s="64" t="n">
        <f aca="false">IF(Channel_PL!Q69=0,0,-Channel_PL!Q55/Channel_PL!Q69)</f>
        <v>10.5263157894737</v>
      </c>
      <c r="R24" s="64" t="n">
        <f aca="false">IF(Channel_PL!R69=0,0,-Channel_PL!R55/Channel_PL!R69)</f>
        <v>10.5263157894737</v>
      </c>
      <c r="S24" s="64" t="n">
        <f aca="false">IF(Channel_PL!S69=0,0,-Channel_PL!S55/Channel_PL!S69)</f>
        <v>10.5263157894737</v>
      </c>
      <c r="T24" s="64" t="n">
        <f aca="false">IF(Channel_PL!T69=0,0,-Channel_PL!T55/Channel_PL!T69)</f>
        <v>10.5263157894737</v>
      </c>
      <c r="U24" s="64" t="n">
        <f aca="false">IF(Channel_PL!U69=0,0,-Channel_PL!U55/Channel_PL!U69)</f>
        <v>10.5263157894737</v>
      </c>
      <c r="V24" s="64" t="n">
        <f aca="false">IF(Channel_PL!V69=0,0,-Channel_PL!V55/Channel_PL!V69)</f>
        <v>10.5263157894737</v>
      </c>
      <c r="W24" s="64" t="n">
        <f aca="false">IF(Channel_PL!W69=0,0,-Channel_PL!W55/Channel_PL!W69)</f>
        <v>10.5263157894737</v>
      </c>
      <c r="X24" s="64" t="n">
        <f aca="false">IF(Channel_PL!X69=0,0,-Channel_PL!X55/Channel_PL!X69)</f>
        <v>10.5263157894737</v>
      </c>
      <c r="Y24" s="64" t="n">
        <f aca="false">IF(Channel_PL!Y69=0,0,-Channel_PL!Y55/Channel_PL!Y69)</f>
        <v>10.5263157894737</v>
      </c>
      <c r="Z24" s="64" t="n">
        <f aca="false">IF(Channel_PL!Z69=0,0,-Channel_PL!Z55/Channel_PL!Z69)</f>
        <v>10.5263157894737</v>
      </c>
      <c r="AA24" s="64" t="n">
        <f aca="false">IF(Channel_PL!AA69=0,0,-Channel_PL!AA55/Channel_PL!AA69)</f>
        <v>10.5263157894737</v>
      </c>
      <c r="AB24" s="64" t="n">
        <f aca="false">IF(Channel_PL!AB69=0,0,-Channel_PL!AB55/Channel_PL!AB69)</f>
        <v>10.5263157894737</v>
      </c>
    </row>
    <row r="25" customFormat="false" ht="15" hidden="false" customHeight="true" outlineLevel="0" collapsed="false">
      <c r="A25" s="28" t="s">
        <v>282</v>
      </c>
      <c r="B25" s="55"/>
      <c r="C25" s="63" t="n">
        <f aca="false">IF(Channel_PL!C102=0,0,-Channel_PL!C89/Channel_PL!C102)</f>
        <v>7.89333399832079</v>
      </c>
      <c r="D25" s="63" t="n">
        <f aca="false">IF(Channel_PL!D102=0,0,-Channel_PL!D89/Channel_PL!D102)</f>
        <v>8.33333333333333</v>
      </c>
      <c r="E25" s="64" t="n">
        <f aca="false">IF(Channel_PL!E102=0,0,-Channel_PL!E89/Channel_PL!E102)</f>
        <v>6.8237681839512</v>
      </c>
      <c r="F25" s="64" t="n">
        <f aca="false">IF(Channel_PL!F102=0,0,-Channel_PL!F89/Channel_PL!F102)</f>
        <v>6.4253078470825</v>
      </c>
      <c r="G25" s="64" t="n">
        <f aca="false">IF(Channel_PL!G102=0,0,-Channel_PL!G89/Channel_PL!G102)</f>
        <v>6.90300738552437</v>
      </c>
      <c r="H25" s="64" t="n">
        <f aca="false">IF(Channel_PL!H102=0,0,-Channel_PL!H89/Channel_PL!H102)</f>
        <v>7.19920861568248</v>
      </c>
      <c r="I25" s="64" t="n">
        <f aca="false">IF(Channel_PL!I102=0,0,-Channel_PL!I89/Channel_PL!I102)</f>
        <v>7.73421662580789</v>
      </c>
      <c r="J25" s="64" t="n">
        <f aca="false">IF(Channel_PL!J102=0,0,-Channel_PL!J89/Channel_PL!J102)</f>
        <v>7.58125044722719</v>
      </c>
      <c r="K25" s="64" t="n">
        <f aca="false">IF(Channel_PL!K102=0,0,-Channel_PL!K89/Channel_PL!K102)</f>
        <v>8.48115617433414</v>
      </c>
      <c r="L25" s="64" t="n">
        <f aca="false">IF(Channel_PL!L102=0,0,-Channel_PL!L89/Channel_PL!L102)</f>
        <v>7.52336549707602</v>
      </c>
      <c r="M25" s="64" t="n">
        <f aca="false">IF(Channel_PL!M102=0,0,-Channel_PL!M89/Channel_PL!M102)</f>
        <v>8.33333333333333</v>
      </c>
      <c r="N25" s="64" t="n">
        <f aca="false">IF(Channel_PL!N102=0,0,-Channel_PL!N89/Channel_PL!N102)</f>
        <v>8.33333333333333</v>
      </c>
      <c r="O25" s="64" t="n">
        <f aca="false">IF(Channel_PL!O102=0,0,-Channel_PL!O89/Channel_PL!O102)</f>
        <v>8.33333333333333</v>
      </c>
      <c r="P25" s="64" t="n">
        <f aca="false">IF(Channel_PL!P102=0,0,-Channel_PL!P89/Channel_PL!P102)</f>
        <v>8.33333333333333</v>
      </c>
      <c r="Q25" s="64" t="n">
        <f aca="false">IF(Channel_PL!Q102=0,0,-Channel_PL!Q89/Channel_PL!Q102)</f>
        <v>8.33333333333333</v>
      </c>
      <c r="R25" s="64" t="n">
        <f aca="false">IF(Channel_PL!R102=0,0,-Channel_PL!R89/Channel_PL!R102)</f>
        <v>8.33333333333333</v>
      </c>
      <c r="S25" s="64" t="n">
        <f aca="false">IF(Channel_PL!S102=0,0,-Channel_PL!S89/Channel_PL!S102)</f>
        <v>8.33333333333333</v>
      </c>
      <c r="T25" s="64" t="n">
        <f aca="false">IF(Channel_PL!T102=0,0,-Channel_PL!T89/Channel_PL!T102)</f>
        <v>8.33333333333333</v>
      </c>
      <c r="U25" s="64" t="n">
        <f aca="false">IF(Channel_PL!U102=0,0,-Channel_PL!U89/Channel_PL!U102)</f>
        <v>8.33333333333333</v>
      </c>
      <c r="V25" s="64" t="n">
        <f aca="false">IF(Channel_PL!V102=0,0,-Channel_PL!V89/Channel_PL!V102)</f>
        <v>8.33333333333333</v>
      </c>
      <c r="W25" s="64" t="n">
        <f aca="false">IF(Channel_PL!W102=0,0,-Channel_PL!W89/Channel_PL!W102)</f>
        <v>8.33333333333333</v>
      </c>
      <c r="X25" s="64" t="n">
        <f aca="false">IF(Channel_PL!X102=0,0,-Channel_PL!X89/Channel_PL!X102)</f>
        <v>8.33333333333333</v>
      </c>
      <c r="Y25" s="64" t="n">
        <f aca="false">IF(Channel_PL!Y102=0,0,-Channel_PL!Y89/Channel_PL!Y102)</f>
        <v>8.33333333333333</v>
      </c>
      <c r="Z25" s="64" t="n">
        <f aca="false">IF(Channel_PL!Z102=0,0,-Channel_PL!Z89/Channel_PL!Z102)</f>
        <v>8.33333333333333</v>
      </c>
      <c r="AA25" s="64" t="n">
        <f aca="false">IF(Channel_PL!AA102=0,0,-Channel_PL!AA89/Channel_PL!AA102)</f>
        <v>8.33333333333333</v>
      </c>
      <c r="AB25" s="64" t="n">
        <f aca="false">IF(Channel_PL!AB102=0,0,-Channel_PL!AB89/Channel_PL!AB102)</f>
        <v>8.33333333333333</v>
      </c>
    </row>
    <row r="26" customFormat="false" ht="15" hidden="false" customHeight="true" outlineLevel="0" collapsed="false">
      <c r="A26" s="28" t="s">
        <v>283</v>
      </c>
      <c r="B26" s="55" t="s">
        <v>43</v>
      </c>
      <c r="C26" s="61" t="n">
        <f aca="false">Channel_PL!C44</f>
        <v>23.306349726943</v>
      </c>
      <c r="D26" s="61" t="n">
        <f aca="false">Channel_PL!D44</f>
        <v>24.1431615681048</v>
      </c>
      <c r="E26" s="65" t="n">
        <f aca="false">Channel_PL!E44</f>
        <v>20.7604673807205</v>
      </c>
      <c r="F26" s="65" t="n">
        <f aca="false">Channel_PL!F44</f>
        <v>22.2896825396825</v>
      </c>
      <c r="G26" s="65" t="n">
        <f aca="false">Channel_PL!G44</f>
        <v>23.8088235294118</v>
      </c>
      <c r="H26" s="65" t="n">
        <f aca="false">Channel_PL!H44</f>
        <v>23.1306715063521</v>
      </c>
      <c r="I26" s="65" t="n">
        <f aca="false">Channel_PL!I44</f>
        <v>22.1996996996997</v>
      </c>
      <c r="J26" s="65" t="n">
        <f aca="false">Channel_PL!J44</f>
        <v>21.6890566037736</v>
      </c>
      <c r="K26" s="65" t="n">
        <f aca="false">Channel_PL!K44</f>
        <v>24.5877192982456</v>
      </c>
      <c r="L26" s="65" t="n">
        <f aca="false">Channel_PL!L44</f>
        <v>25.9662821650399</v>
      </c>
      <c r="M26" s="65" t="n">
        <f aca="false">Channel_PL!M44</f>
        <v>23.5652580918904</v>
      </c>
      <c r="N26" s="65" t="n">
        <f aca="false">Channel_PL!N44</f>
        <v>23.6207210251441</v>
      </c>
      <c r="O26" s="65" t="n">
        <f aca="false">Channel_PL!O44</f>
        <v>23.6763207449536</v>
      </c>
      <c r="P26" s="65" t="n">
        <f aca="false">Channel_PL!P44</f>
        <v>23.7320575886714</v>
      </c>
      <c r="Q26" s="65" t="n">
        <f aca="false">Channel_PL!Q44</f>
        <v>23.7879318944821</v>
      </c>
      <c r="R26" s="65" t="n">
        <f aca="false">Channel_PL!R44</f>
        <v>23.8439440014042</v>
      </c>
      <c r="S26" s="65" t="n">
        <f aca="false">Channel_PL!S44</f>
        <v>23.9000942492925</v>
      </c>
      <c r="T26" s="65" t="n">
        <f aca="false">Channel_PL!T44</f>
        <v>23.9563829788399</v>
      </c>
      <c r="U26" s="65" t="n">
        <f aca="false">Channel_PL!U44</f>
        <v>24.0128105315795</v>
      </c>
      <c r="V26" s="65" t="n">
        <f aca="false">Channel_PL!V44</f>
        <v>24.0693772498867</v>
      </c>
      <c r="W26" s="65" t="n">
        <f aca="false">Channel_PL!W44</f>
        <v>24.1260834769814</v>
      </c>
      <c r="X26" s="65" t="n">
        <f aca="false">Channel_PL!X44</f>
        <v>24.18292955693</v>
      </c>
      <c r="Y26" s="65" t="n">
        <f aca="false">Channel_PL!Y44</f>
        <v>24.2399158346471</v>
      </c>
      <c r="Z26" s="65" t="n">
        <f aca="false">Channel_PL!Z44</f>
        <v>24.2970426558984</v>
      </c>
      <c r="AA26" s="65" t="n">
        <f aca="false">Channel_PL!AA44</f>
        <v>24.3543103673022</v>
      </c>
      <c r="AB26" s="65" t="n">
        <f aca="false">Channel_PL!AB44</f>
        <v>24.4117193163315</v>
      </c>
    </row>
    <row r="27" customFormat="false" ht="15" hidden="false" customHeight="true" outlineLevel="0" collapsed="false">
      <c r="A27" s="28" t="s">
        <v>284</v>
      </c>
      <c r="B27" s="55" t="s">
        <v>43</v>
      </c>
      <c r="C27" s="61" t="n">
        <f aca="false">Channel_PL!C42</f>
        <v>21.3407644435116</v>
      </c>
      <c r="D27" s="61" t="n">
        <f aca="false">Channel_PL!D42</f>
        <v>21.8301999963372</v>
      </c>
      <c r="E27" s="65" t="n">
        <f aca="false">Channel_PL!E42</f>
        <v>23.5120524781341</v>
      </c>
      <c r="F27" s="65" t="n">
        <f aca="false">Channel_PL!F42</f>
        <v>23.0936593989393</v>
      </c>
      <c r="G27" s="65" t="n">
        <f aca="false">Channel_PL!G42</f>
        <v>21.1120982599795</v>
      </c>
      <c r="H27" s="65" t="n">
        <f aca="false">Channel_PL!H42</f>
        <v>21.8924536082474</v>
      </c>
      <c r="I27" s="65" t="n">
        <f aca="false">Channel_PL!I42</f>
        <v>22.6389990859232</v>
      </c>
      <c r="J27" s="65" t="n">
        <f aca="false">Channel_PL!J42</f>
        <v>20.5834519906323</v>
      </c>
      <c r="K27" s="65" t="n">
        <f aca="false">Channel_PL!K42</f>
        <v>19.1707174887892</v>
      </c>
      <c r="L27" s="65" t="n">
        <f aca="false">Channel_PL!L42</f>
        <v>19.9801971688574</v>
      </c>
      <c r="M27" s="65" t="n">
        <f aca="false">Channel_PL!M42</f>
        <v>21.0897587521537</v>
      </c>
      <c r="N27" s="65" t="n">
        <f aca="false">Channel_PL!N42</f>
        <v>21.1608208671863</v>
      </c>
      <c r="O27" s="65" t="n">
        <f aca="false">Channel_PL!O42</f>
        <v>21.232058240565</v>
      </c>
      <c r="P27" s="65" t="n">
        <f aca="false">Channel_PL!P42</f>
        <v>21.3034713045245</v>
      </c>
      <c r="Q27" s="65" t="n">
        <f aca="false">Channel_PL!Q42</f>
        <v>21.3750604923649</v>
      </c>
      <c r="R27" s="65" t="n">
        <f aca="false">Channel_PL!R42</f>
        <v>21.4468262384553</v>
      </c>
      <c r="S27" s="65" t="n">
        <f aca="false">Channel_PL!S42</f>
        <v>21.5187689782359</v>
      </c>
      <c r="T27" s="65" t="n">
        <f aca="false">Channel_PL!T42</f>
        <v>21.5908891482211</v>
      </c>
      <c r="U27" s="65" t="n">
        <f aca="false">Channel_PL!U42</f>
        <v>21.6631871860014</v>
      </c>
      <c r="V27" s="65" t="n">
        <f aca="false">Channel_PL!V42</f>
        <v>21.7356635302469</v>
      </c>
      <c r="W27" s="65" t="n">
        <f aca="false">Channel_PL!W42</f>
        <v>21.8083186207094</v>
      </c>
      <c r="X27" s="65" t="n">
        <f aca="false">Channel_PL!X42</f>
        <v>21.8811528982254</v>
      </c>
      <c r="Y27" s="65" t="n">
        <f aca="false">Channel_PL!Y42</f>
        <v>21.9541668047184</v>
      </c>
      <c r="Z27" s="65" t="n">
        <f aca="false">Channel_PL!Z42</f>
        <v>22.0273607832019</v>
      </c>
      <c r="AA27" s="65" t="n">
        <f aca="false">Channel_PL!AA42</f>
        <v>22.100735277782</v>
      </c>
      <c r="AB27" s="65" t="n">
        <f aca="false">Channel_PL!AB42</f>
        <v>22.1742907336602</v>
      </c>
    </row>
    <row r="28" customFormat="false" ht="15" hidden="false" customHeight="true" outlineLevel="0" collapsed="false">
      <c r="A28" s="28" t="s">
        <v>285</v>
      </c>
      <c r="B28" s="55" t="s">
        <v>43</v>
      </c>
      <c r="C28" s="61" t="n">
        <f aca="false">Channel_PL!C78</f>
        <v>12.5216529731136</v>
      </c>
      <c r="D28" s="61" t="n">
        <f aca="false">Channel_PL!D78</f>
        <v>12.4077022498182</v>
      </c>
      <c r="E28" s="65" t="n">
        <f aca="false">Channel_PL!E78</f>
        <v>14.0723229212495</v>
      </c>
      <c r="F28" s="65" t="n">
        <f aca="false">Channel_PL!F78</f>
        <v>13.5722782874618</v>
      </c>
      <c r="G28" s="65" t="n">
        <f aca="false">Channel_PL!G78</f>
        <v>13.548136915078</v>
      </c>
      <c r="H28" s="65" t="n">
        <f aca="false">Channel_PL!H78</f>
        <v>13.1931964926265</v>
      </c>
      <c r="I28" s="65" t="n">
        <f aca="false">Channel_PL!I78</f>
        <v>13.3469888475836</v>
      </c>
      <c r="J28" s="65" t="n">
        <f aca="false">Channel_PL!J78</f>
        <v>12.1147850542386</v>
      </c>
      <c r="K28" s="65" t="n">
        <f aca="false">Channel_PL!K78</f>
        <v>12.5544818539572</v>
      </c>
      <c r="L28" s="65" t="n">
        <f aca="false">Channel_PL!L78</f>
        <v>12.5532271095153</v>
      </c>
      <c r="M28" s="65" t="n">
        <f aca="false">Channel_PL!M78</f>
        <v>12.6816508576636</v>
      </c>
      <c r="N28" s="65" t="n">
        <f aca="false">Channel_PL!N78</f>
        <v>11.4964657123932</v>
      </c>
      <c r="O28" s="65" t="n">
        <f aca="false">Channel_PL!O78</f>
        <v>11.511862268117</v>
      </c>
      <c r="P28" s="65" t="n">
        <f aca="false">Channel_PL!P78</f>
        <v>11.5272403866939</v>
      </c>
      <c r="Q28" s="65" t="n">
        <f aca="false">Channel_PL!Q78</f>
        <v>12.7431999294885</v>
      </c>
      <c r="R28" s="65" t="n">
        <f aca="false">Channel_PL!R78</f>
        <v>12.7585407573697</v>
      </c>
      <c r="S28" s="65" t="n">
        <f aca="false">Channel_PL!S78</f>
        <v>12.7738627307091</v>
      </c>
      <c r="T28" s="65" t="n">
        <f aca="false">Channel_PL!T78</f>
        <v>12.7891657093796</v>
      </c>
      <c r="U28" s="65" t="n">
        <f aca="false">Channel_PL!U78</f>
        <v>12.8044495527537</v>
      </c>
      <c r="V28" s="65" t="n">
        <f aca="false">Channel_PL!V78</f>
        <v>12.8197141197024</v>
      </c>
      <c r="W28" s="65" t="n">
        <f aca="false">Channel_PL!W78</f>
        <v>12.8349592685934</v>
      </c>
      <c r="X28" s="65" t="n">
        <f aca="false">Channel_PL!X78</f>
        <v>12.8501848572897</v>
      </c>
      <c r="Y28" s="65" t="n">
        <f aca="false">Channel_PL!Y78</f>
        <v>12.8653907431482</v>
      </c>
      <c r="Z28" s="65" t="n">
        <f aca="false">Channel_PL!Z78</f>
        <v>11.6799767830178</v>
      </c>
      <c r="AA28" s="65" t="n">
        <f aca="false">Channel_PL!AA78</f>
        <v>11.6951428332385</v>
      </c>
      <c r="AB28" s="65" t="n">
        <f aca="false">Channel_PL!AB78</f>
        <v>11.7102887496395</v>
      </c>
    </row>
    <row r="29" customFormat="false" ht="15" hidden="false" customHeight="true" outlineLevel="0" collapsed="false">
      <c r="A29" s="28" t="s">
        <v>286</v>
      </c>
      <c r="B29" s="55" t="s">
        <v>43</v>
      </c>
      <c r="C29" s="61" t="n">
        <f aca="false">Channel_PL!C111</f>
        <v>15.439333689556</v>
      </c>
      <c r="D29" s="61" t="n">
        <f aca="false">Channel_PL!D111</f>
        <v>15.4270914965854</v>
      </c>
      <c r="E29" s="65" t="n">
        <f aca="false">Channel_PL!E111</f>
        <v>17.132853320081</v>
      </c>
      <c r="F29" s="65" t="n">
        <f aca="false">Channel_PL!F111</f>
        <v>14.8678935737756</v>
      </c>
      <c r="G29" s="65" t="n">
        <f aca="false">Channel_PL!G111</f>
        <v>16.7627420527551</v>
      </c>
      <c r="H29" s="65" t="n">
        <f aca="false">Channel_PL!H111</f>
        <v>15.7863992073272</v>
      </c>
      <c r="I29" s="65" t="n">
        <f aca="false">Channel_PL!I111</f>
        <v>16.0802249171134</v>
      </c>
      <c r="J29" s="65" t="n">
        <f aca="false">Channel_PL!J111</f>
        <v>16.4012726921093</v>
      </c>
      <c r="K29" s="65" t="n">
        <f aca="false">Channel_PL!K111</f>
        <v>15.3494182970195</v>
      </c>
      <c r="L29" s="65" t="n">
        <f aca="false">Channel_PL!L111</f>
        <v>14.1532449696582</v>
      </c>
      <c r="M29" s="65" t="n">
        <f aca="false">Channel_PL!M111</f>
        <v>15.2427378546579</v>
      </c>
      <c r="N29" s="65" t="n">
        <f aca="false">Channel_PL!N111</f>
        <v>15.2602084563596</v>
      </c>
      <c r="O29" s="65" t="n">
        <f aca="false">Channel_PL!O111</f>
        <v>15.2776584737415</v>
      </c>
      <c r="P29" s="65" t="n">
        <f aca="false">Channel_PL!P111</f>
        <v>15.2950877508786</v>
      </c>
      <c r="Q29" s="65" t="n">
        <f aca="false">Channel_PL!Q111</f>
        <v>15.3124961312873</v>
      </c>
      <c r="R29" s="65" t="n">
        <f aca="false">Channel_PL!R111</f>
        <v>15.3298834579243</v>
      </c>
      <c r="S29" s="65" t="n">
        <f aca="false">Channel_PL!S111</f>
        <v>15.3472495731847</v>
      </c>
      <c r="T29" s="65" t="n">
        <f aca="false">Channel_PL!T111</f>
        <v>15.3645943189004</v>
      </c>
      <c r="U29" s="65" t="n">
        <f aca="false">Channel_PL!U111</f>
        <v>15.3819175363384</v>
      </c>
      <c r="V29" s="65" t="n">
        <f aca="false">Channel_PL!V111</f>
        <v>15.3992190661989</v>
      </c>
      <c r="W29" s="65" t="n">
        <f aca="false">Channel_PL!W111</f>
        <v>15.4164987486142</v>
      </c>
      <c r="X29" s="65" t="n">
        <f aca="false">Channel_PL!X111</f>
        <v>15.4337564231462</v>
      </c>
      <c r="Y29" s="65" t="n">
        <f aca="false">Channel_PL!Y111</f>
        <v>15.4509919287855</v>
      </c>
      <c r="Z29" s="65" t="n">
        <f aca="false">Channel_PL!Z111</f>
        <v>15.468205103949</v>
      </c>
      <c r="AA29" s="65" t="n">
        <f aca="false">Channel_PL!AA111</f>
        <v>15.4853957864788</v>
      </c>
      <c r="AB29" s="65" t="n">
        <f aca="false">Channel_PL!AB111</f>
        <v>15.5025638136401</v>
      </c>
    </row>
    <row r="30" customFormat="false" ht="15" hidden="false" customHeight="true" outlineLevel="0" collapsed="false">
      <c r="A30" s="28" t="s">
        <v>287</v>
      </c>
      <c r="B30" s="55"/>
      <c r="C30" s="59" t="n">
        <f aca="false">IF(C9=0,0,PL!C10/C9)</f>
        <v>0.422657431927646</v>
      </c>
      <c r="D30" s="59" t="n">
        <f aca="false">IF(D9=0,0,PL!D10/D9)</f>
        <v>0.405247223759788</v>
      </c>
      <c r="E30" s="60" t="n">
        <f aca="false">IF(E9=0,0,Channel_PL!E55/E9)</f>
        <v>0.474670407521311</v>
      </c>
      <c r="F30" s="60" t="n">
        <f aca="false">IF(F9=0,0,Channel_PL!F55/F9)</f>
        <v>0.431501718059518</v>
      </c>
      <c r="G30" s="60" t="n">
        <f aca="false">IF(G9=0,0,Channel_PL!G55/G9)</f>
        <v>0.434558685987855</v>
      </c>
      <c r="H30" s="60" t="n">
        <f aca="false">IF(H9=0,0,Channel_PL!H55/H9)</f>
        <v>0.451228619380827</v>
      </c>
      <c r="I30" s="60" t="n">
        <f aca="false">IF(I9=0,0,Channel_PL!I55/I9)</f>
        <v>0.437306863516522</v>
      </c>
      <c r="J30" s="60" t="n">
        <f aca="false">IF(J9=0,0,Channel_PL!J55/J9)</f>
        <v>0.420598727494003</v>
      </c>
      <c r="K30" s="60" t="n">
        <f aca="false">IF(K9=0,0,Channel_PL!K55/K9)</f>
        <v>0.410120782066015</v>
      </c>
      <c r="L30" s="60" t="n">
        <f aca="false">IF(L9=0,0,Channel_PL!L55/L9)</f>
        <v>0.389432034590657</v>
      </c>
      <c r="M30" s="60" t="n">
        <f aca="false">IF(M9=0,0,Channel_PL!M55/M9)</f>
        <v>0.41391908002381</v>
      </c>
      <c r="N30" s="60" t="n">
        <f aca="false">IF(N9=0,0,Channel_PL!N55/N9)</f>
        <v>0.413252671844775</v>
      </c>
      <c r="O30" s="60" t="n">
        <f aca="false">IF(O9=0,0,Channel_PL!O55/O9)</f>
        <v>0.412555671731588</v>
      </c>
      <c r="P30" s="60" t="n">
        <f aca="false">IF(P9=0,0,Channel_PL!P55/P9)</f>
        <v>0.411827676297359</v>
      </c>
      <c r="Q30" s="60" t="n">
        <f aca="false">IF(Q9=0,0,Channel_PL!Q55/Q9)</f>
        <v>0.411068287509462</v>
      </c>
      <c r="R30" s="60" t="n">
        <f aca="false">IF(R9=0,0,Channel_PL!R55/R9)</f>
        <v>0.410277113265296</v>
      </c>
      <c r="S30" s="60" t="n">
        <f aca="false">IF(S9=0,0,Channel_PL!S55/S9)</f>
        <v>0.409453767983807</v>
      </c>
      <c r="T30" s="60" t="n">
        <f aca="false">IF(T9=0,0,Channel_PL!T55/T9)</f>
        <v>0.408597873212334</v>
      </c>
      <c r="U30" s="60" t="n">
        <f aca="false">IF(U9=0,0,Channel_PL!U55/U9)</f>
        <v>0.407709058248235</v>
      </c>
      <c r="V30" s="60" t="n">
        <f aca="false">IF(V9=0,0,Channel_PL!V55/V9)</f>
        <v>0.406786960774715</v>
      </c>
      <c r="W30" s="60" t="n">
        <f aca="false">IF(W9=0,0,Channel_PL!W55/W9)</f>
        <v>0.405831227510169</v>
      </c>
      <c r="X30" s="60" t="n">
        <f aca="false">IF(X9=0,0,Channel_PL!X55/X9)</f>
        <v>0.404841514870309</v>
      </c>
      <c r="Y30" s="60" t="n">
        <f aca="false">IF(Y9=0,0,Channel_PL!Y55/Y9)</f>
        <v>0.403817489642246</v>
      </c>
      <c r="Z30" s="60" t="n">
        <f aca="false">IF(Z9=0,0,Channel_PL!Z55/Z9)</f>
        <v>0.402758829669625</v>
      </c>
      <c r="AA30" s="60" t="n">
        <f aca="false">IF(AA9=0,0,Channel_PL!AA55/AA9)</f>
        <v>0.401665224547833</v>
      </c>
      <c r="AB30" s="60" t="n">
        <f aca="false">IF(AB9=0,0,Channel_PL!AB55/AB9)</f>
        <v>0.400536376328216</v>
      </c>
    </row>
    <row r="31" customFormat="false" ht="15" hidden="false" customHeight="true" outlineLevel="0" collapsed="false">
      <c r="A31" s="22" t="s">
        <v>288</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row>
    <row r="32" customFormat="false" ht="15" hidden="false" customHeight="true" outlineLevel="0" collapsed="false">
      <c r="A32" s="28" t="s">
        <v>289</v>
      </c>
      <c r="B32" s="55" t="s">
        <v>50</v>
      </c>
      <c r="C32" s="66" t="n">
        <f aca="false">P32</f>
        <v>64.5293018930568</v>
      </c>
      <c r="D32" s="66" t="n">
        <f aca="false">AB32</f>
        <v>75</v>
      </c>
      <c r="E32" s="67" t="n">
        <f aca="false">Inventory!E90</f>
        <v>223.738152273727</v>
      </c>
      <c r="F32" s="67" t="n">
        <f aca="false">Inventory!F90</f>
        <v>202.07573005897</v>
      </c>
      <c r="G32" s="67" t="n">
        <f aca="false">Inventory!G90</f>
        <v>182.621026640776</v>
      </c>
      <c r="H32" s="67" t="n">
        <f aca="false">Inventory!H90</f>
        <v>138.740590855117</v>
      </c>
      <c r="I32" s="67" t="n">
        <f aca="false">Inventory!I90</f>
        <v>135.587420423174</v>
      </c>
      <c r="J32" s="67" t="n">
        <f aca="false">Inventory!J90</f>
        <v>123.021626811591</v>
      </c>
      <c r="K32" s="67" t="n">
        <f aca="false">Inventory!K90</f>
        <v>120.549091057795</v>
      </c>
      <c r="L32" s="67" t="n">
        <f aca="false">Inventory!L90</f>
        <v>97.2921119284633</v>
      </c>
      <c r="M32" s="67" t="n">
        <f aca="false">Inventory!M90</f>
        <v>111.528977091011</v>
      </c>
      <c r="N32" s="67" t="n">
        <f aca="false">Inventory!N90</f>
        <v>121.0389135051</v>
      </c>
      <c r="O32" s="67" t="n">
        <f aca="false">Inventory!O90</f>
        <v>61.4029771133391</v>
      </c>
      <c r="P32" s="67" t="n">
        <f aca="false">Inventory!P90</f>
        <v>64.5293018930568</v>
      </c>
      <c r="Q32" s="67" t="n">
        <f aca="false">Inventory!Q90</f>
        <v>128.170129826676</v>
      </c>
      <c r="R32" s="67" t="n">
        <f aca="false">Inventory!R90</f>
        <v>105.069433480887</v>
      </c>
      <c r="S32" s="67" t="n">
        <f aca="false">Inventory!S90</f>
        <v>98.8443855475283</v>
      </c>
      <c r="T32" s="67" t="n">
        <f aca="false">Inventory!T90</f>
        <v>87.3068524636622</v>
      </c>
      <c r="U32" s="67" t="n">
        <f aca="false">Inventory!U90</f>
        <v>80.8081940541723</v>
      </c>
      <c r="V32" s="67" t="n">
        <f aca="false">Inventory!V90</f>
        <v>70.5707246707499</v>
      </c>
      <c r="W32" s="67" t="n">
        <f aca="false">Inventory!W90</f>
        <v>75.215185664422</v>
      </c>
      <c r="X32" s="67" t="n">
        <f aca="false">Inventory!X90</f>
        <v>89.4333888224579</v>
      </c>
      <c r="Y32" s="67" t="n">
        <f aca="false">Inventory!Y90</f>
        <v>84.234719139729</v>
      </c>
      <c r="Z32" s="67" t="n">
        <f aca="false">Inventory!Z90</f>
        <v>112.168504030409</v>
      </c>
      <c r="AA32" s="67" t="n">
        <f aca="false">Inventory!AA90</f>
        <v>65.0453616539204</v>
      </c>
      <c r="AB32" s="67" t="n">
        <f aca="false">Inventory!AB90</f>
        <v>75</v>
      </c>
    </row>
    <row r="33" customFormat="false" ht="15" hidden="false" customHeight="true" outlineLevel="0" collapsed="false">
      <c r="A33" s="28" t="s">
        <v>290</v>
      </c>
      <c r="B33" s="55" t="s">
        <v>48</v>
      </c>
      <c r="C33" s="66" t="n">
        <f aca="false">P33</f>
        <v>11.2481702970209</v>
      </c>
      <c r="D33" s="66" t="n">
        <f aca="false">AB33</f>
        <v>11.8155099936256</v>
      </c>
      <c r="E33" s="67" t="n">
        <f aca="false">Settlements!E48</f>
        <v>10.0197530288361</v>
      </c>
      <c r="F33" s="67" t="n">
        <f aca="false">Settlements!F48</f>
        <v>10.7867416931172</v>
      </c>
      <c r="G33" s="67" t="n">
        <f aca="false">Settlements!G48</f>
        <v>11.5063043001928</v>
      </c>
      <c r="H33" s="67" t="n">
        <f aca="false">Settlements!H48</f>
        <v>11.4764482071746</v>
      </c>
      <c r="I33" s="67" t="n">
        <f aca="false">Settlements!I48</f>
        <v>11.7579409677788</v>
      </c>
      <c r="J33" s="67" t="n">
        <f aca="false">Settlements!J48</f>
        <v>12.0321548369997</v>
      </c>
      <c r="K33" s="67" t="n">
        <f aca="false">Settlements!K48</f>
        <v>10.7108900702235</v>
      </c>
      <c r="L33" s="67" t="n">
        <f aca="false">Settlements!L48</f>
        <v>10.8088177262545</v>
      </c>
      <c r="M33" s="67" t="n">
        <f aca="false">Settlements!M48</f>
        <v>11.2114781002825</v>
      </c>
      <c r="N33" s="67" t="n">
        <f aca="false">Settlements!N48</f>
        <v>11.1619275343037</v>
      </c>
      <c r="O33" s="67" t="n">
        <f aca="false">Settlements!O48</f>
        <v>11.2047682111933</v>
      </c>
      <c r="P33" s="67" t="n">
        <f aca="false">Settlements!P48</f>
        <v>11.2481702970209</v>
      </c>
      <c r="Q33" s="67" t="n">
        <f aca="false">Settlements!Q48</f>
        <v>11.3816545343306</v>
      </c>
      <c r="R33" s="67" t="n">
        <f aca="false">Settlements!R48</f>
        <v>11.4256004041441</v>
      </c>
      <c r="S33" s="67" t="n">
        <f aca="false">Settlements!S48</f>
        <v>11.4701220991843</v>
      </c>
      <c r="T33" s="67" t="n">
        <f aca="false">Settlements!T48</f>
        <v>11.5152270834271</v>
      </c>
      <c r="U33" s="67" t="n">
        <f aca="false">Settlements!U48</f>
        <v>11.560922751097</v>
      </c>
      <c r="V33" s="67" t="n">
        <f aca="false">Settlements!V48</f>
        <v>11.6072164169724</v>
      </c>
      <c r="W33" s="67" t="n">
        <f aca="false">Settlements!W48</f>
        <v>11.6541153063432</v>
      </c>
      <c r="X33" s="67" t="n">
        <f aca="false">Settlements!X48</f>
        <v>11.7016265446206</v>
      </c>
      <c r="Y33" s="67" t="n">
        <f aca="false">Settlements!Y48</f>
        <v>11.7497571466012</v>
      </c>
      <c r="Z33" s="67" t="n">
        <f aca="false">Settlements!Z48</f>
        <v>11.7147246441468</v>
      </c>
      <c r="AA33" s="67" t="n">
        <f aca="false">Settlements!AA48</f>
        <v>11.7647932238147</v>
      </c>
      <c r="AB33" s="67" t="n">
        <f aca="false">Settlements!AB48</f>
        <v>11.8155099936256</v>
      </c>
    </row>
    <row r="34" customFormat="false" ht="15" hidden="false" customHeight="true" outlineLevel="0" collapsed="false">
      <c r="A34" s="28" t="s">
        <v>291</v>
      </c>
      <c r="B34" s="55" t="s">
        <v>58</v>
      </c>
      <c r="C34" s="66" t="n">
        <f aca="false">P34</f>
        <v>30</v>
      </c>
      <c r="D34" s="66" t="n">
        <f aca="false">AB34</f>
        <v>30</v>
      </c>
      <c r="E34" s="67" t="n">
        <f aca="false">AP_Schedule!E14</f>
        <v>34.6654349004706</v>
      </c>
      <c r="F34" s="67" t="n">
        <f aca="false">AP_Schedule!F14</f>
        <v>30.5603197071366</v>
      </c>
      <c r="G34" s="67" t="n">
        <f aca="false">AP_Schedule!G14</f>
        <v>24.1657416171548</v>
      </c>
      <c r="H34" s="67" t="n">
        <f aca="false">AP_Schedule!H14</f>
        <v>26.7316447316648</v>
      </c>
      <c r="I34" s="67" t="n">
        <f aca="false">AP_Schedule!I14</f>
        <v>28.8485717256184</v>
      </c>
      <c r="J34" s="67" t="n">
        <f aca="false">AP_Schedule!J14</f>
        <v>29.1833788786148</v>
      </c>
      <c r="K34" s="67" t="n">
        <f aca="false">AP_Schedule!K14</f>
        <v>29.8987549534127</v>
      </c>
      <c r="L34" s="67" t="n">
        <f aca="false">AP_Schedule!L14</f>
        <v>30.80031752382</v>
      </c>
      <c r="M34" s="67" t="n">
        <f aca="false">AP_Schedule!M14</f>
        <v>30</v>
      </c>
      <c r="N34" s="67" t="n">
        <f aca="false">AP_Schedule!N14</f>
        <v>30</v>
      </c>
      <c r="O34" s="67" t="n">
        <f aca="false">AP_Schedule!O14</f>
        <v>30</v>
      </c>
      <c r="P34" s="67" t="n">
        <f aca="false">AP_Schedule!P14</f>
        <v>30</v>
      </c>
      <c r="Q34" s="67" t="n">
        <f aca="false">AP_Schedule!Q14</f>
        <v>30</v>
      </c>
      <c r="R34" s="67" t="n">
        <f aca="false">AP_Schedule!R14</f>
        <v>30</v>
      </c>
      <c r="S34" s="67" t="n">
        <f aca="false">AP_Schedule!S14</f>
        <v>30</v>
      </c>
      <c r="T34" s="67" t="n">
        <f aca="false">AP_Schedule!T14</f>
        <v>30</v>
      </c>
      <c r="U34" s="67" t="n">
        <f aca="false">AP_Schedule!U14</f>
        <v>30</v>
      </c>
      <c r="V34" s="67" t="n">
        <f aca="false">AP_Schedule!V14</f>
        <v>30</v>
      </c>
      <c r="W34" s="67" t="n">
        <f aca="false">AP_Schedule!W14</f>
        <v>30</v>
      </c>
      <c r="X34" s="67" t="n">
        <f aca="false">AP_Schedule!X14</f>
        <v>30</v>
      </c>
      <c r="Y34" s="67" t="n">
        <f aca="false">AP_Schedule!Y14</f>
        <v>30</v>
      </c>
      <c r="Z34" s="67" t="n">
        <f aca="false">AP_Schedule!Z14</f>
        <v>30</v>
      </c>
      <c r="AA34" s="67" t="n">
        <f aca="false">AP_Schedule!AA14</f>
        <v>30</v>
      </c>
      <c r="AB34" s="67" t="n">
        <f aca="false">AP_Schedule!AB14</f>
        <v>30</v>
      </c>
    </row>
    <row r="35" customFormat="false" ht="15" hidden="false" customHeight="true" outlineLevel="0" collapsed="false">
      <c r="A35" s="28" t="s">
        <v>292</v>
      </c>
      <c r="B35" s="55"/>
      <c r="C35" s="66" t="n">
        <f aca="false">P35</f>
        <v>45.7774721900777</v>
      </c>
      <c r="D35" s="66" t="n">
        <f aca="false">AB35</f>
        <v>56.8155099936256</v>
      </c>
      <c r="E35" s="68" t="n">
        <f aca="false">E32+E33-E34</f>
        <v>199.092470402093</v>
      </c>
      <c r="F35" s="68" t="n">
        <f aca="false">F32+F33-F34</f>
        <v>182.302152044951</v>
      </c>
      <c r="G35" s="68" t="n">
        <f aca="false">G32+G33-G34</f>
        <v>169.961589323814</v>
      </c>
      <c r="H35" s="68" t="n">
        <f aca="false">H32+H33-H34</f>
        <v>123.485394330627</v>
      </c>
      <c r="I35" s="68" t="n">
        <f aca="false">I32+I33-I34</f>
        <v>118.496789665334</v>
      </c>
      <c r="J35" s="68" t="n">
        <f aca="false">J32+J33-J34</f>
        <v>105.870402769976</v>
      </c>
      <c r="K35" s="68" t="n">
        <f aca="false">K32+K33-K34</f>
        <v>101.361226174606</v>
      </c>
      <c r="L35" s="68" t="n">
        <f aca="false">L32+L33-L34</f>
        <v>77.3006121308979</v>
      </c>
      <c r="M35" s="68" t="n">
        <f aca="false">M32+M33-M34</f>
        <v>92.7404551912937</v>
      </c>
      <c r="N35" s="68" t="n">
        <f aca="false">N32+N33-N34</f>
        <v>102.200841039404</v>
      </c>
      <c r="O35" s="68" t="n">
        <f aca="false">O32+O33-O34</f>
        <v>42.6077453245324</v>
      </c>
      <c r="P35" s="68" t="n">
        <f aca="false">P32+P33-P34</f>
        <v>45.7774721900777</v>
      </c>
      <c r="Q35" s="68" t="n">
        <f aca="false">Q32+Q33-Q34</f>
        <v>109.551784361007</v>
      </c>
      <c r="R35" s="68" t="n">
        <f aca="false">R32+R33-R34</f>
        <v>86.4950338850316</v>
      </c>
      <c r="S35" s="68" t="n">
        <f aca="false">S32+S33-S34</f>
        <v>80.3145076467125</v>
      </c>
      <c r="T35" s="68" t="n">
        <f aca="false">T32+T33-T34</f>
        <v>68.8220795470893</v>
      </c>
      <c r="U35" s="68" t="n">
        <f aca="false">U32+U33-U34</f>
        <v>62.3691168052692</v>
      </c>
      <c r="V35" s="68" t="n">
        <f aca="false">V32+V33-V34</f>
        <v>52.1779410877223</v>
      </c>
      <c r="W35" s="68" t="n">
        <f aca="false">W32+W33-W34</f>
        <v>56.8693009707652</v>
      </c>
      <c r="X35" s="68" t="n">
        <f aca="false">X32+X33-X34</f>
        <v>71.1350153670785</v>
      </c>
      <c r="Y35" s="68" t="n">
        <f aca="false">Y32+Y33-Y34</f>
        <v>65.9844762863303</v>
      </c>
      <c r="Z35" s="68" t="n">
        <f aca="false">Z32+Z33-Z34</f>
        <v>93.8832286745554</v>
      </c>
      <c r="AA35" s="68" t="n">
        <f aca="false">AA32+AA33-AA34</f>
        <v>46.8101548777351</v>
      </c>
      <c r="AB35" s="68" t="n">
        <f aca="false">AB32+AB33-AB34</f>
        <v>56.8155099936256</v>
      </c>
    </row>
    <row r="36" customFormat="false" ht="15" hidden="false" customHeight="true" outlineLevel="0" collapsed="false">
      <c r="A36" s="28" t="s">
        <v>293</v>
      </c>
      <c r="B36" s="55" t="s">
        <v>32</v>
      </c>
      <c r="C36" s="56" t="n">
        <f aca="false">P36</f>
        <v>611228.15905107</v>
      </c>
      <c r="D36" s="56" t="n">
        <f aca="false">AB36</f>
        <v>346148.301803288</v>
      </c>
      <c r="E36" s="57" t="n">
        <f aca="false">BS!E9</f>
        <v>396444.439224908</v>
      </c>
      <c r="F36" s="57" t="n">
        <f aca="false">BS!F9</f>
        <v>378620.878449815</v>
      </c>
      <c r="G36" s="57" t="n">
        <f aca="false">BS!G9</f>
        <v>473742.317674723</v>
      </c>
      <c r="H36" s="57" t="n">
        <f aca="false">BS!H9</f>
        <v>328674.27664963</v>
      </c>
      <c r="I36" s="57" t="n">
        <f aca="false">BS!I9</f>
        <v>453889.715874538</v>
      </c>
      <c r="J36" s="57" t="n">
        <f aca="false">BS!J9</f>
        <v>495519.155099445</v>
      </c>
      <c r="K36" s="57" t="n">
        <f aca="false">BS!K9</f>
        <v>332377.756974353</v>
      </c>
      <c r="L36" s="57" t="n">
        <f aca="false">BS!L9</f>
        <v>391452.19619926</v>
      </c>
      <c r="M36" s="57" t="n">
        <f aca="false">BS!M9</f>
        <v>312681.113650824</v>
      </c>
      <c r="N36" s="57" t="n">
        <f aca="false">BS!N9</f>
        <v>288663.198204064</v>
      </c>
      <c r="O36" s="57" t="n">
        <f aca="false">BS!O9</f>
        <v>399941.040920956</v>
      </c>
      <c r="P36" s="57" t="n">
        <f aca="false">BS!P9</f>
        <v>611228.15905107</v>
      </c>
      <c r="Q36" s="57" t="n">
        <f aca="false">BS!Q9</f>
        <v>487746.837917712</v>
      </c>
      <c r="R36" s="57" t="n">
        <f aca="false">BS!R9</f>
        <v>441345.671542249</v>
      </c>
      <c r="S36" s="57" t="n">
        <f aca="false">BS!S9</f>
        <v>504001.610207085</v>
      </c>
      <c r="T36" s="57" t="n">
        <f aca="false">BS!T9</f>
        <v>385995.665359386</v>
      </c>
      <c r="U36" s="57" t="n">
        <f aca="false">BS!U9</f>
        <v>458320.235359693</v>
      </c>
      <c r="V36" s="57" t="n">
        <f aca="false">BS!V9</f>
        <v>505412.125956048</v>
      </c>
      <c r="W36" s="57" t="n">
        <f aca="false">BS!W9</f>
        <v>259894.061342331</v>
      </c>
      <c r="X36" s="57" t="n">
        <f aca="false">BS!X9</f>
        <v>257728.957259515</v>
      </c>
      <c r="Y36" s="57" t="n">
        <f aca="false">BS!Y9</f>
        <v>118370.880441819</v>
      </c>
      <c r="Z36" s="57" t="n">
        <f aca="false">BS!Z9</f>
        <v>1825.21673517399</v>
      </c>
      <c r="AA36" s="57" t="n">
        <f aca="false">BS!AA9</f>
        <v>140551.651378412</v>
      </c>
      <c r="AB36" s="57" t="n">
        <f aca="false">BS!AB9</f>
        <v>346148.301803288</v>
      </c>
    </row>
    <row r="37" customFormat="false" ht="15" hidden="false" customHeight="true" outlineLevel="0" collapsed="false">
      <c r="A37" s="28" t="s">
        <v>294</v>
      </c>
      <c r="B37" s="55"/>
      <c r="C37" s="56" t="n">
        <f aca="false">P37</f>
        <v>461228.15905107</v>
      </c>
      <c r="D37" s="56" t="n">
        <f aca="false">AB37</f>
        <v>196148.301803288</v>
      </c>
      <c r="E37" s="57" t="n">
        <f aca="false">E36-Assumptions!$C$13</f>
        <v>246444.439224908</v>
      </c>
      <c r="F37" s="57" t="n">
        <f aca="false">F36-Assumptions!$C$13</f>
        <v>228620.878449815</v>
      </c>
      <c r="G37" s="57" t="n">
        <f aca="false">G36-Assumptions!$C$13</f>
        <v>323742.317674723</v>
      </c>
      <c r="H37" s="57" t="n">
        <f aca="false">H36-Assumptions!$C$13</f>
        <v>178674.27664963</v>
      </c>
      <c r="I37" s="57" t="n">
        <f aca="false">I36-Assumptions!$C$13</f>
        <v>303889.715874538</v>
      </c>
      <c r="J37" s="57" t="n">
        <f aca="false">J36-Assumptions!$C$13</f>
        <v>345519.155099445</v>
      </c>
      <c r="K37" s="57" t="n">
        <f aca="false">K36-Assumptions!$C$13</f>
        <v>182377.756974353</v>
      </c>
      <c r="L37" s="57" t="n">
        <f aca="false">L36-Assumptions!$C$13</f>
        <v>241452.19619926</v>
      </c>
      <c r="M37" s="57" t="n">
        <f aca="false">M36-Assumptions!$C$13</f>
        <v>162681.113650823</v>
      </c>
      <c r="N37" s="57" t="n">
        <f aca="false">N36-Assumptions!$C$13</f>
        <v>138663.198204064</v>
      </c>
      <c r="O37" s="57" t="n">
        <f aca="false">O36-Assumptions!$C$13</f>
        <v>249941.040920956</v>
      </c>
      <c r="P37" s="57" t="n">
        <f aca="false">P36-Assumptions!$C$13</f>
        <v>461228.15905107</v>
      </c>
      <c r="Q37" s="57" t="n">
        <f aca="false">Q36-Assumptions!$C$13</f>
        <v>337746.837917712</v>
      </c>
      <c r="R37" s="57" t="n">
        <f aca="false">R36-Assumptions!$C$13</f>
        <v>291345.671542249</v>
      </c>
      <c r="S37" s="57" t="n">
        <f aca="false">S36-Assumptions!$C$13</f>
        <v>354001.610207085</v>
      </c>
      <c r="T37" s="57" t="n">
        <f aca="false">T36-Assumptions!$C$13</f>
        <v>235995.665359386</v>
      </c>
      <c r="U37" s="57" t="n">
        <f aca="false">U36-Assumptions!$C$13</f>
        <v>308320.235359693</v>
      </c>
      <c r="V37" s="57" t="n">
        <f aca="false">V36-Assumptions!$C$13</f>
        <v>355412.125956048</v>
      </c>
      <c r="W37" s="57" t="n">
        <f aca="false">W36-Assumptions!$C$13</f>
        <v>109894.061342331</v>
      </c>
      <c r="X37" s="57" t="n">
        <f aca="false">X36-Assumptions!$C$13</f>
        <v>107728.957259515</v>
      </c>
      <c r="Y37" s="57" t="n">
        <f aca="false">Y36-Assumptions!$C$13</f>
        <v>-31629.1195581812</v>
      </c>
      <c r="Z37" s="57" t="n">
        <f aca="false">Z36-Assumptions!$C$13</f>
        <v>-148174.783264826</v>
      </c>
      <c r="AA37" s="57" t="n">
        <f aca="false">AA36-Assumptions!$C$13</f>
        <v>-9448.34862158768</v>
      </c>
      <c r="AB37" s="57" t="n">
        <f aca="false">AB36-Assumptions!$C$13</f>
        <v>196148.301803288</v>
      </c>
    </row>
    <row r="38" customFormat="false" ht="15" hidden="false" customHeight="true" outlineLevel="0" collapsed="false">
      <c r="A38" s="28" t="s">
        <v>295</v>
      </c>
      <c r="B38" s="55" t="s">
        <v>32</v>
      </c>
      <c r="C38" s="56" t="n">
        <f aca="false">P38</f>
        <v>-300307.663182973</v>
      </c>
      <c r="D38" s="56" t="n">
        <f aca="false">AB38</f>
        <v>-131222.783477661</v>
      </c>
      <c r="E38" s="57" t="n">
        <f aca="false">BS!E41</f>
        <v>-3616.00000000006</v>
      </c>
      <c r="F38" s="57" t="n">
        <f aca="false">BS!F41</f>
        <v>6991.17774515558</v>
      </c>
      <c r="G38" s="57" t="n">
        <f aca="false">BS!G41</f>
        <v>-95391.7469036258</v>
      </c>
      <c r="H38" s="57" t="n">
        <f aca="false">BS!H41</f>
        <v>42369.4244136935</v>
      </c>
      <c r="I38" s="57" t="n">
        <f aca="false">BS!I41</f>
        <v>-90198.5524546606</v>
      </c>
      <c r="J38" s="57" t="n">
        <f aca="false">BS!J41</f>
        <v>-139226.482683286</v>
      </c>
      <c r="K38" s="57" t="n">
        <f aca="false">BS!K41</f>
        <v>16470.1838693145</v>
      </c>
      <c r="L38" s="57" t="n">
        <f aca="false">BS!L41</f>
        <v>-50095.5165004126</v>
      </c>
      <c r="M38" s="57" t="n">
        <f aca="false">BS!M41</f>
        <v>21137.4845210494</v>
      </c>
      <c r="N38" s="57" t="n">
        <f aca="false">BS!N41</f>
        <v>37570.205431291</v>
      </c>
      <c r="O38" s="57" t="n">
        <f aca="false">BS!O41</f>
        <v>-81340.2392879726</v>
      </c>
      <c r="P38" s="57" t="n">
        <f aca="false">BS!P41</f>
        <v>-300307.663182973</v>
      </c>
      <c r="Q38" s="57" t="n">
        <f aca="false">BS!Q41</f>
        <v>-184554.649725532</v>
      </c>
      <c r="R38" s="57" t="n">
        <f aca="false">BS!R41</f>
        <v>-145930.09294896</v>
      </c>
      <c r="S38" s="57" t="n">
        <f aca="false">BS!S41</f>
        <v>-216411.245022681</v>
      </c>
      <c r="T38" s="57" t="n">
        <f aca="false">BS!T41</f>
        <v>-106279.421167672</v>
      </c>
      <c r="U38" s="57" t="n">
        <f aca="false">BS!U41</f>
        <v>-186527.325416873</v>
      </c>
      <c r="V38" s="57" t="n">
        <f aca="false">BS!V41</f>
        <v>-241592.071101178</v>
      </c>
      <c r="W38" s="57" t="n">
        <f aca="false">BS!W41</f>
        <v>-4096.69191971031</v>
      </c>
      <c r="X38" s="57" t="n">
        <f aca="false">BS!X41</f>
        <v>-10004.4150530958</v>
      </c>
      <c r="Y38" s="57" t="n">
        <f aca="false">BS!Y41</f>
        <v>121230.379378298</v>
      </c>
      <c r="Z38" s="57" t="n">
        <f aca="false">BS!Z41</f>
        <v>229601.990183726</v>
      </c>
      <c r="AA38" s="57" t="n">
        <f aca="false">BS!AA41</f>
        <v>82650.4148086384</v>
      </c>
      <c r="AB38" s="57" t="n">
        <f aca="false">BS!AB41</f>
        <v>-131222.783477661</v>
      </c>
    </row>
    <row r="39" customFormat="false" ht="15" hidden="false" customHeight="true" outlineLevel="0" collapsed="false">
      <c r="A39" s="28" t="s">
        <v>296</v>
      </c>
      <c r="B39" s="55" t="s">
        <v>32</v>
      </c>
      <c r="C39" s="56" t="n">
        <f aca="false">P39</f>
        <v>435689.783239396</v>
      </c>
      <c r="D39" s="56" t="n">
        <f aca="false">AB39</f>
        <v>685248.076029954</v>
      </c>
      <c r="E39" s="57" t="n">
        <f aca="false">BS!E11+BS!E12</f>
        <v>709122.433753626</v>
      </c>
      <c r="F39" s="57" t="n">
        <f aca="false">BS!F11+BS!F12</f>
        <v>663530.06968697</v>
      </c>
      <c r="G39" s="57" t="n">
        <f aca="false">BS!G11+BS!G12</f>
        <v>646099.762799668</v>
      </c>
      <c r="H39" s="57" t="n">
        <f aca="false">BS!H11+BS!H12</f>
        <v>540452.363290916</v>
      </c>
      <c r="I39" s="57" t="n">
        <f aca="false">BS!I11+BS!I12</f>
        <v>586135.758169096</v>
      </c>
      <c r="J39" s="57" t="n">
        <f aca="false">BS!J11+BS!J12</f>
        <v>522612.851574366</v>
      </c>
      <c r="K39" s="57" t="n">
        <f aca="false">BS!K11+BS!K12</f>
        <v>465368.104406615</v>
      </c>
      <c r="L39" s="57" t="n">
        <f aca="false">BS!L11+BS!L12</f>
        <v>383198.711839272</v>
      </c>
      <c r="M39" s="57" t="n">
        <f aca="false">BS!M11+BS!M12</f>
        <v>514900.849217537</v>
      </c>
      <c r="N39" s="57" t="n">
        <f aca="false">BS!N11+BS!N12</f>
        <v>624387.667557298</v>
      </c>
      <c r="O39" s="57" t="n">
        <f aca="false">BS!O11+BS!O12</f>
        <v>478554.853053368</v>
      </c>
      <c r="P39" s="57" t="n">
        <f aca="false">BS!P11+BS!P12</f>
        <v>435689.783239396</v>
      </c>
      <c r="Q39" s="57" t="n">
        <f aca="false">BS!Q11+BS!Q12</f>
        <v>552788.975271565</v>
      </c>
      <c r="R39" s="57" t="n">
        <f aca="false">BS!R11+BS!R12</f>
        <v>478424.882693761</v>
      </c>
      <c r="S39" s="57" t="n">
        <f aca="false">BS!S11+BS!S12</f>
        <v>468862.320711011</v>
      </c>
      <c r="T39" s="57" t="n">
        <f aca="false">BS!T11+BS!T12</f>
        <v>453385.625918179</v>
      </c>
      <c r="U39" s="57" t="n">
        <f aca="false">BS!U11+BS!U12</f>
        <v>438794.795232587</v>
      </c>
      <c r="V39" s="57" t="n">
        <f aca="false">BS!V11+BS!V12</f>
        <v>393633.427969154</v>
      </c>
      <c r="W39" s="57" t="n">
        <f aca="false">BS!W11+BS!W12</f>
        <v>394470.743193935</v>
      </c>
      <c r="X39" s="57" t="n">
        <f aca="false">BS!X11+BS!X12</f>
        <v>470384.738068628</v>
      </c>
      <c r="Y39" s="57" t="n">
        <f aca="false">BS!Y11+BS!Y12</f>
        <v>528303.017317679</v>
      </c>
      <c r="Z39" s="57" t="n">
        <f aca="false">BS!Z11+BS!Z12</f>
        <v>790119.455030334</v>
      </c>
      <c r="AA39" s="57" t="n">
        <f aca="false">BS!AA11+BS!AA12</f>
        <v>685248.076029954</v>
      </c>
      <c r="AB39" s="57" t="n">
        <f aca="false">BS!AB11+BS!AB12</f>
        <v>685248.076029954</v>
      </c>
    </row>
    <row r="40" customFormat="false" ht="15" hidden="false" customHeight="true" outlineLevel="0" collapsed="false">
      <c r="A40" s="28" t="s">
        <v>297</v>
      </c>
      <c r="B40" s="55" t="s">
        <v>32</v>
      </c>
      <c r="C40" s="56" t="n">
        <f aca="false">P40</f>
        <v>483698.841713906</v>
      </c>
      <c r="D40" s="56" t="n">
        <f aca="false">AB40</f>
        <v>808893.584445601</v>
      </c>
      <c r="E40" s="57" t="n">
        <f aca="false">BS!E40</f>
        <v>705893.314003968</v>
      </c>
      <c r="F40" s="57" t="n">
        <f aca="false">BS!F40</f>
        <v>704129.335308347</v>
      </c>
      <c r="G40" s="57" t="n">
        <f aca="false">BS!G40</f>
        <v>594806.663097655</v>
      </c>
      <c r="H40" s="57" t="n">
        <f aca="false">BS!H40</f>
        <v>724149.836717155</v>
      </c>
      <c r="I40" s="57" t="n">
        <f aca="false">BS!I40</f>
        <v>611442.326392499</v>
      </c>
      <c r="J40" s="57" t="n">
        <f aca="false">BS!J40</f>
        <v>557134.529755573</v>
      </c>
      <c r="K40" s="57" t="n">
        <f aca="false">BS!K40</f>
        <v>710779.828364162</v>
      </c>
      <c r="L40" s="57" t="n">
        <f aca="false">BS!L40</f>
        <v>631670.742592992</v>
      </c>
      <c r="M40" s="57" t="n">
        <f aca="false">BS!M40</f>
        <v>709810.698011016</v>
      </c>
      <c r="N40" s="57" t="n">
        <f aca="false">BS!N40</f>
        <v>733231.661475994</v>
      </c>
      <c r="O40" s="57" t="n">
        <f aca="false">BS!O40</f>
        <v>664003.355088307</v>
      </c>
      <c r="P40" s="57" t="n">
        <f aca="false">BS!P40</f>
        <v>483698.841713906</v>
      </c>
      <c r="Q40" s="57" t="n">
        <f aca="false">BS!Q40</f>
        <v>598182.545039462</v>
      </c>
      <c r="R40" s="57" t="n">
        <f aca="false">BS!R40</f>
        <v>589299.717820589</v>
      </c>
      <c r="S40" s="57" t="n">
        <f aca="false">BS!S40</f>
        <v>513301.748510427</v>
      </c>
      <c r="T40" s="57" t="n">
        <f aca="false">BS!T40</f>
        <v>607752.533374768</v>
      </c>
      <c r="U40" s="57" t="n">
        <f aca="false">BS!U40</f>
        <v>534694.654084791</v>
      </c>
      <c r="V40" s="57" t="n">
        <f aca="false">BS!V40</f>
        <v>486439.209251785</v>
      </c>
      <c r="W40" s="57" t="n">
        <f aca="false">BS!W40</f>
        <v>729222.529874887</v>
      </c>
      <c r="X40" s="57" t="n">
        <f aca="false">BS!X40</f>
        <v>727843.795419809</v>
      </c>
      <c r="Y40" s="57" t="n">
        <f aca="false">BS!Y40</f>
        <v>875838.942830681</v>
      </c>
      <c r="Z40" s="57" t="n">
        <f aca="false">BS!Z40</f>
        <v>1015152.86694182</v>
      </c>
      <c r="AA40" s="57" t="n">
        <f aca="false">BS!AA40</f>
        <v>947991.005617708</v>
      </c>
      <c r="AB40" s="57" t="n">
        <f aca="false">BS!AB40</f>
        <v>808893.584445601</v>
      </c>
    </row>
    <row r="41" customFormat="false" ht="15" hidden="false" customHeight="true" outlineLevel="0" collapsed="false">
      <c r="A41" s="28" t="s">
        <v>298</v>
      </c>
      <c r="B41" s="55" t="s">
        <v>34</v>
      </c>
      <c r="E41" s="57" t="n">
        <f aca="false">SUM(CF!E27:CF27)</f>
        <v>219122.783477661</v>
      </c>
      <c r="F41" s="57" t="n">
        <f aca="false">SUM(CF!E27:CF27)</f>
        <v>219122.783477661</v>
      </c>
      <c r="G41" s="57" t="n">
        <f aca="false">SUM(CF!E27:CF27)</f>
        <v>219122.783477661</v>
      </c>
      <c r="H41" s="57" t="n">
        <f aca="false">SUM(CF!F27:CF27)</f>
        <v>193106.78347766</v>
      </c>
      <c r="I41" s="57" t="n">
        <f aca="false">SUM(CF!G27:CF27)</f>
        <v>203713.961222816</v>
      </c>
      <c r="J41" s="57" t="n">
        <f aca="false">SUM(CF!H27:CF27)</f>
        <v>94531.0365740347</v>
      </c>
      <c r="K41" s="57" t="n">
        <f aca="false">SUM(CF!I27:CF27)</f>
        <v>232292.207891354</v>
      </c>
      <c r="L41" s="57" t="n">
        <f aca="false">SUM(CF!J27:CF27)</f>
        <v>98524.2310229999</v>
      </c>
      <c r="M41" s="57" t="n">
        <f aca="false">SUM(CF!K27:CF27)</f>
        <v>49496.3007943741</v>
      </c>
      <c r="N41" s="57" t="n">
        <f aca="false">SUM(CF!L27:CF27)</f>
        <v>201692.967346975</v>
      </c>
      <c r="O41" s="57" t="n">
        <f aca="false">SUM(CF!M27:CF27)</f>
        <v>135127.266977248</v>
      </c>
      <c r="P41" s="57" t="n">
        <f aca="false">SUM(CF!N27:CF27)</f>
        <v>204860.26799871</v>
      </c>
      <c r="Q41" s="57" t="n">
        <f aca="false">SUM(CF!O27:CF27)</f>
        <v>219792.988908952</v>
      </c>
      <c r="R41" s="57" t="n">
        <f aca="false">SUM(CF!P27:CF27)</f>
        <v>99382.544189688</v>
      </c>
      <c r="S41" s="57" t="n">
        <f aca="false">SUM(CF!Q27:CF27)</f>
        <v>-121084.879705313</v>
      </c>
      <c r="T41" s="57" t="n">
        <f aca="false">SUM(CF!R27:CF27)</f>
        <v>-6831.8662478716</v>
      </c>
      <c r="U41" s="57" t="n">
        <f aca="false">SUM(CF!S27:CF27)</f>
        <v>292.690528700274</v>
      </c>
      <c r="V41" s="57" t="n">
        <f aca="false">SUM(CF!T27:CF27)</f>
        <v>-71688.4615450203</v>
      </c>
      <c r="W41" s="57" t="n">
        <f aca="false">SUM(CF!U27:CF27)</f>
        <v>36943.3623099883</v>
      </c>
      <c r="X41" s="57" t="n">
        <f aca="false">SUM(CF!V27:CF27)</f>
        <v>-44804.5419392124</v>
      </c>
      <c r="Y41" s="57" t="n">
        <f aca="false">SUM(CF!W27:CF27)</f>
        <v>-101369.287623518</v>
      </c>
      <c r="Z41" s="57" t="n">
        <f aca="false">SUM(CF!X27:CF27)</f>
        <v>134626.09155795</v>
      </c>
      <c r="AA41" s="57" t="n">
        <f aca="false">SUM(CF!Y27:CF27)</f>
        <v>127218.368424565</v>
      </c>
      <c r="AB41" s="57" t="n">
        <f aca="false">SUM(CF!Z27:CF27)</f>
        <v>256953.162855959</v>
      </c>
    </row>
    <row r="42" customFormat="false" ht="15" hidden="false" customHeight="true" outlineLevel="0" collapsed="false">
      <c r="A42" s="28" t="s">
        <v>299</v>
      </c>
      <c r="B42" s="55"/>
      <c r="E42" s="68" t="str">
        <f aca="false">IF(E41&gt;=0,"n/a",E36/(-E41/3))</f>
        <v>n/a</v>
      </c>
      <c r="F42" s="68" t="str">
        <f aca="false">IF(F41&gt;=0,"n/a",F36/(-F41/3))</f>
        <v>n/a</v>
      </c>
      <c r="G42" s="68" t="str">
        <f aca="false">IF(G41&gt;=0,"n/a",G36/(-G41/3))</f>
        <v>n/a</v>
      </c>
      <c r="H42" s="68" t="str">
        <f aca="false">IF(H41&gt;=0,"n/a",H36/(-H41/3))</f>
        <v>n/a</v>
      </c>
      <c r="I42" s="68" t="str">
        <f aca="false">IF(I41&gt;=0,"n/a",I36/(-I41/3))</f>
        <v>n/a</v>
      </c>
      <c r="J42" s="68" t="str">
        <f aca="false">IF(J41&gt;=0,"n/a",J36/(-J41/3))</f>
        <v>n/a</v>
      </c>
      <c r="K42" s="68" t="str">
        <f aca="false">IF(K41&gt;=0,"n/a",K36/(-K41/3))</f>
        <v>n/a</v>
      </c>
      <c r="L42" s="68" t="str">
        <f aca="false">IF(L41&gt;=0,"n/a",L36/(-L41/3))</f>
        <v>n/a</v>
      </c>
      <c r="M42" s="68" t="str">
        <f aca="false">IF(M41&gt;=0,"n/a",M36/(-M41/3))</f>
        <v>n/a</v>
      </c>
      <c r="N42" s="68" t="str">
        <f aca="false">IF(N41&gt;=0,"n/a",N36/(-N41/3))</f>
        <v>n/a</v>
      </c>
      <c r="O42" s="68" t="str">
        <f aca="false">IF(O41&gt;=0,"n/a",O36/(-O41/3))</f>
        <v>n/a</v>
      </c>
      <c r="P42" s="68" t="str">
        <f aca="false">IF(P41&gt;=0,"n/a",P36/(-P41/3))</f>
        <v>n/a</v>
      </c>
      <c r="Q42" s="68" t="str">
        <f aca="false">IF(Q41&gt;=0,"n/a",Q36/(-Q41/3))</f>
        <v>n/a</v>
      </c>
      <c r="R42" s="68" t="str">
        <f aca="false">IF(R41&gt;=0,"n/a",R36/(-R41/3))</f>
        <v>n/a</v>
      </c>
      <c r="S42" s="68" t="n">
        <f aca="false">IF(S41&gt;=0,"n/a",S36/(-S41/3))</f>
        <v>12.4871481418742</v>
      </c>
      <c r="T42" s="68" t="n">
        <f aca="false">IF(T41&gt;=0,"n/a",T36/(-T41/3))</f>
        <v>169.497902046738</v>
      </c>
      <c r="U42" s="68" t="str">
        <f aca="false">IF(U41&gt;=0,"n/a",U36/(-U41/3))</f>
        <v>n/a</v>
      </c>
      <c r="V42" s="68" t="n">
        <f aca="false">IF(V41&gt;=0,"n/a",V36/(-V41/3))</f>
        <v>21.1503545367053</v>
      </c>
      <c r="W42" s="68" t="str">
        <f aca="false">IF(W41&gt;=0,"n/a",W36/(-W41/3))</f>
        <v>n/a</v>
      </c>
      <c r="X42" s="68" t="n">
        <f aca="false">IF(X41&gt;=0,"n/a",X36/(-X41/3))</f>
        <v>17.2568859832905</v>
      </c>
      <c r="Y42" s="68" t="n">
        <f aca="false">IF(Y41&gt;=0,"n/a",Y36/(-Y41/3))</f>
        <v>3.50315810291904</v>
      </c>
      <c r="Z42" s="68" t="str">
        <f aca="false">IF(Z41&gt;=0,"n/a",Z36/(-Z41/3))</f>
        <v>n/a</v>
      </c>
      <c r="AA42" s="68" t="str">
        <f aca="false">IF(AA41&gt;=0,"n/a",AA36/(-AA41/3))</f>
        <v>n/a</v>
      </c>
      <c r="AB42" s="68" t="str">
        <f aca="false">IF(AB41&gt;=0,"n/a",AB36/(-AB41/3))</f>
        <v>n/a</v>
      </c>
    </row>
    <row r="43" customFormat="false" ht="15" hidden="false" customHeight="true" outlineLevel="0" collapsed="false">
      <c r="A43" s="22" t="s">
        <v>300</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row>
    <row r="44" customFormat="false" ht="15" hidden="false" customHeight="true" outlineLevel="0" collapsed="false">
      <c r="A44" s="28" t="s">
        <v>301</v>
      </c>
      <c r="B44" s="55" t="s">
        <v>62</v>
      </c>
      <c r="C44" s="56" t="n">
        <f aca="false">P44</f>
        <v>13</v>
      </c>
      <c r="D44" s="56" t="n">
        <f aca="false">AB44</f>
        <v>14</v>
      </c>
      <c r="E44" s="57" t="n">
        <f aca="false">Opex!E24</f>
        <v>10</v>
      </c>
      <c r="F44" s="57" t="n">
        <f aca="false">Opex!F24</f>
        <v>10</v>
      </c>
      <c r="G44" s="57" t="n">
        <f aca="false">Opex!G24</f>
        <v>10</v>
      </c>
      <c r="H44" s="57" t="n">
        <f aca="false">Opex!H24</f>
        <v>11</v>
      </c>
      <c r="I44" s="57" t="n">
        <f aca="false">Opex!I24</f>
        <v>11</v>
      </c>
      <c r="J44" s="57" t="n">
        <f aca="false">Opex!J24</f>
        <v>11</v>
      </c>
      <c r="K44" s="57" t="n">
        <f aca="false">Opex!K24</f>
        <v>11</v>
      </c>
      <c r="L44" s="57" t="n">
        <f aca="false">Opex!L24</f>
        <v>11</v>
      </c>
      <c r="M44" s="57" t="n">
        <f aca="false">Opex!M24</f>
        <v>11</v>
      </c>
      <c r="N44" s="57" t="n">
        <f aca="false">Opex!N24</f>
        <v>12</v>
      </c>
      <c r="O44" s="57" t="n">
        <f aca="false">Opex!O24</f>
        <v>13</v>
      </c>
      <c r="P44" s="57" t="n">
        <f aca="false">Opex!P24</f>
        <v>13</v>
      </c>
      <c r="Q44" s="57" t="n">
        <f aca="false">Opex!Q24</f>
        <v>13</v>
      </c>
      <c r="R44" s="57" t="n">
        <f aca="false">Opex!R24</f>
        <v>14</v>
      </c>
      <c r="S44" s="57" t="n">
        <f aca="false">Opex!S24</f>
        <v>14</v>
      </c>
      <c r="T44" s="57" t="n">
        <f aca="false">Opex!T24</f>
        <v>14</v>
      </c>
      <c r="U44" s="57" t="n">
        <f aca="false">Opex!U24</f>
        <v>14</v>
      </c>
      <c r="V44" s="57" t="n">
        <f aca="false">Opex!V24</f>
        <v>14</v>
      </c>
      <c r="W44" s="57" t="n">
        <f aca="false">Opex!W24</f>
        <v>14</v>
      </c>
      <c r="X44" s="57" t="n">
        <f aca="false">Opex!X24</f>
        <v>14</v>
      </c>
      <c r="Y44" s="57" t="n">
        <f aca="false">Opex!Y24</f>
        <v>14</v>
      </c>
      <c r="Z44" s="57" t="n">
        <f aca="false">Opex!Z24</f>
        <v>14</v>
      </c>
      <c r="AA44" s="57" t="n">
        <f aca="false">Opex!AA24</f>
        <v>14</v>
      </c>
      <c r="AB44" s="57" t="n">
        <f aca="false">Opex!AB24</f>
        <v>14</v>
      </c>
    </row>
    <row r="45" customFormat="false" ht="15" hidden="false" customHeight="true" outlineLevel="0" collapsed="false">
      <c r="A45" s="28" t="s">
        <v>302</v>
      </c>
      <c r="B45" s="55"/>
      <c r="C45" s="56" t="n">
        <f aca="false">IF(C44=0,0,C9/C44)</f>
        <v>331582.842648182</v>
      </c>
      <c r="D45" s="56" t="n">
        <f aca="false">IF(D44=0,0,D9/D44)</f>
        <v>401254.286279146</v>
      </c>
      <c r="E45" s="69" t="n">
        <f aca="false">IF(E44=0,0,E9*12/E44)</f>
        <v>321065.062378378</v>
      </c>
      <c r="F45" s="69" t="n">
        <f aca="false">IF(F44=0,0,F9*12/F44)</f>
        <v>301034.388887608</v>
      </c>
      <c r="G45" s="69" t="n">
        <f aca="false">IF(G44=0,0,G9*12/G44)</f>
        <v>353253.111604563</v>
      </c>
      <c r="H45" s="69" t="n">
        <f aca="false">IF(H44=0,0,H9*12/H44)</f>
        <v>339271.178465171</v>
      </c>
      <c r="I45" s="69" t="n">
        <f aca="false">IF(I44=0,0,I9*12/I44)</f>
        <v>380615.475964767</v>
      </c>
      <c r="J45" s="69" t="n">
        <f aca="false">IF(J44=0,0,J9*12/J44)</f>
        <v>362124.192464719</v>
      </c>
      <c r="K45" s="69" t="n">
        <f aca="false">IF(K44=0,0,K9*12/K44)</f>
        <v>334430.375807315</v>
      </c>
      <c r="L45" s="69" t="n">
        <f aca="false">IF(L44=0,0,L9*12/L44)</f>
        <v>343125.88344086</v>
      </c>
      <c r="M45" s="69" t="n">
        <f aca="false">IF(M44=0,0,M9*12/M44)</f>
        <v>385763.052365185</v>
      </c>
      <c r="N45" s="69" t="n">
        <f aca="false">IF(N44=0,0,N9*12/N44)</f>
        <v>409699.57900897</v>
      </c>
      <c r="O45" s="69" t="n">
        <f aca="false">IF(O44=0,0,O9*12/O44)</f>
        <v>546419.801118712</v>
      </c>
      <c r="P45" s="69" t="n">
        <f aca="false">IF(P44=0,0,P9*12/P44)</f>
        <v>488839.516782444</v>
      </c>
      <c r="Q45" s="69" t="n">
        <f aca="false">IF(Q44=0,0,Q9*12/Q44)</f>
        <v>312059.97670259</v>
      </c>
      <c r="R45" s="69" t="n">
        <f aca="false">IF(R44=0,0,R9*12/R44)</f>
        <v>276141.991028199</v>
      </c>
      <c r="S45" s="69" t="n">
        <f aca="false">IF(S44=0,0,S9*12/S44)</f>
        <v>318279.185874012</v>
      </c>
      <c r="T45" s="69" t="n">
        <f aca="false">IF(T44=0,0,T9*12/T44)</f>
        <v>336983.233352859</v>
      </c>
      <c r="U45" s="69" t="n">
        <f aca="false">IF(U44=0,0,U9*12/U44)</f>
        <v>363871.471088971</v>
      </c>
      <c r="V45" s="69" t="n">
        <f aca="false">IF(V44=0,0,V9*12/V44)</f>
        <v>361476.208412456</v>
      </c>
      <c r="W45" s="69" t="n">
        <f aca="false">IF(W44=0,0,W9*12/W44)</f>
        <v>350970.835355191</v>
      </c>
      <c r="X45" s="69" t="n">
        <f aca="false">IF(X44=0,0,X9*12/X44)</f>
        <v>351740.565589791</v>
      </c>
      <c r="Y45" s="69" t="n">
        <f aca="false">IF(Y44=0,0,Y9*12/Y44)</f>
        <v>405625.959799245</v>
      </c>
      <c r="Z45" s="69" t="n">
        <f aca="false">IF(Z44=0,0,Z9*12/Z44)</f>
        <v>470434.830959695</v>
      </c>
      <c r="AA45" s="69" t="n">
        <f aca="false">IF(AA44=0,0,AA9*12/AA44)</f>
        <v>680409.260931249</v>
      </c>
      <c r="AB45" s="69" t="n">
        <f aca="false">IF(AB44=0,0,AB9*12/AB44)</f>
        <v>609347.914591387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6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303</v>
      </c>
    </row>
    <row r="3" customFormat="false" ht="15" hidden="false" customHeight="true" outlineLevel="0" collapsed="false">
      <c r="A3" s="25" t="s">
        <v>304</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305</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306</v>
      </c>
      <c r="B9" s="55" t="s">
        <v>43</v>
      </c>
      <c r="C9" s="56" t="n">
        <f aca="false">SUM(E9:P9)</f>
        <v>2001235.78300345</v>
      </c>
      <c r="D9" s="56" t="n">
        <f aca="false">SUM(Q9:AB9)</f>
        <v>2423439.12197606</v>
      </c>
      <c r="E9" s="57" t="n">
        <f aca="false">Channel_PL!E18</f>
        <v>126518</v>
      </c>
      <c r="F9" s="57" t="n">
        <f aca="false">Channel_PL!F18</f>
        <v>127276.58</v>
      </c>
      <c r="G9" s="57" t="n">
        <f aca="false">Channel_PL!G18</f>
        <v>144241.58</v>
      </c>
      <c r="H9" s="57" t="n">
        <f aca="false">Channel_PL!H18</f>
        <v>143072.38</v>
      </c>
      <c r="I9" s="57" t="n">
        <f aca="false">Channel_PL!I18</f>
        <v>164600.64</v>
      </c>
      <c r="J9" s="57" t="n">
        <f aca="false">Channel_PL!J18</f>
        <v>154082.25</v>
      </c>
      <c r="K9" s="57" t="n">
        <f aca="false">Channel_PL!K18</f>
        <v>143338.43</v>
      </c>
      <c r="L9" s="57" t="n">
        <f aca="false">Channel_PL!L18</f>
        <v>145932.25</v>
      </c>
      <c r="M9" s="57" t="n">
        <f aca="false">Channel_PL!M18</f>
        <v>161219.612045003</v>
      </c>
      <c r="N9" s="57" t="n">
        <f aca="false">Channel_PL!N18</f>
        <v>185873.853238251</v>
      </c>
      <c r="O9" s="57" t="n">
        <f aca="false">Channel_PL!O18</f>
        <v>267223.767921303</v>
      </c>
      <c r="P9" s="57" t="n">
        <f aca="false">Channel_PL!P18</f>
        <v>237856.43979889</v>
      </c>
      <c r="Q9" s="57" t="n">
        <f aca="false">Channel_PL!Q18</f>
        <v>151060.954469948</v>
      </c>
      <c r="R9" s="57" t="n">
        <f aca="false">Channel_PL!R18</f>
        <v>143206.199567388</v>
      </c>
      <c r="S9" s="57" t="n">
        <f aca="false">Channel_PL!S18</f>
        <v>164184.636162175</v>
      </c>
      <c r="T9" s="57" t="n">
        <f aca="false">Channel_PL!T18</f>
        <v>172898.505884076</v>
      </c>
      <c r="U9" s="57" t="n">
        <f aca="false">Channel_PL!U18</f>
        <v>185674.715371997</v>
      </c>
      <c r="V9" s="57" t="n">
        <f aca="false">Channel_PL!V18</f>
        <v>183429.342225887</v>
      </c>
      <c r="W9" s="57" t="n">
        <f aca="false">Channel_PL!W18</f>
        <v>177095.015478629</v>
      </c>
      <c r="X9" s="57" t="n">
        <f aca="false">Channel_PL!X18</f>
        <v>176467.704989638</v>
      </c>
      <c r="Y9" s="57" t="n">
        <f aca="false">Channel_PL!Y18</f>
        <v>202318.971860377</v>
      </c>
      <c r="Z9" s="57" t="n">
        <f aca="false">Channel_PL!Z18</f>
        <v>233258.994162161</v>
      </c>
      <c r="AA9" s="57" t="n">
        <f aca="false">Channel_PL!AA18</f>
        <v>335348.629330097</v>
      </c>
      <c r="AB9" s="57" t="n">
        <f aca="false">Channel_PL!AB18</f>
        <v>298495.452473682</v>
      </c>
    </row>
    <row r="10" customFormat="false" ht="15" hidden="false" customHeight="true" outlineLevel="0" collapsed="false">
      <c r="A10" s="28" t="s">
        <v>307</v>
      </c>
      <c r="B10" s="55" t="s">
        <v>43</v>
      </c>
      <c r="C10" s="56" t="n">
        <f aca="false">SUM(E10:P10)</f>
        <v>1821897.38568434</v>
      </c>
      <c r="D10" s="56" t="n">
        <f aca="false">SUM(Q10:AB10)</f>
        <v>2276500.59750874</v>
      </c>
      <c r="E10" s="57" t="n">
        <f aca="false">Channel_PL!E55</f>
        <v>127000.07</v>
      </c>
      <c r="F10" s="57" t="n">
        <f aca="false">Channel_PL!F55</f>
        <v>108247.38</v>
      </c>
      <c r="G10" s="57" t="n">
        <f aca="false">Channel_PL!G55</f>
        <v>127924.34</v>
      </c>
      <c r="H10" s="57" t="n">
        <f aca="false">Channel_PL!H55</f>
        <v>140331.46</v>
      </c>
      <c r="I10" s="57" t="n">
        <f aca="false">Channel_PL!I55</f>
        <v>152575.28</v>
      </c>
      <c r="J10" s="57" t="n">
        <f aca="false">Channel_PL!J55</f>
        <v>139616.56</v>
      </c>
      <c r="K10" s="57" t="n">
        <f aca="false">Channel_PL!K55</f>
        <v>125727.11</v>
      </c>
      <c r="L10" s="57" t="n">
        <f aca="false">Channel_PL!L55</f>
        <v>122488.86</v>
      </c>
      <c r="M10" s="57" t="n">
        <f aca="false">Channel_PL!M55</f>
        <v>146368.463763659</v>
      </c>
      <c r="N10" s="57" t="n">
        <f aca="false">Channel_PL!N55</f>
        <v>169309.445679136</v>
      </c>
      <c r="O10" s="57" t="n">
        <f aca="false">Channel_PL!O55</f>
        <v>244214.303772802</v>
      </c>
      <c r="P10" s="57" t="n">
        <f aca="false">Channel_PL!P55</f>
        <v>218094.112468741</v>
      </c>
      <c r="Q10" s="57" t="n">
        <f aca="false">Channel_PL!Q55</f>
        <v>138967.790241991</v>
      </c>
      <c r="R10" s="57" t="n">
        <f aca="false">Channel_PL!R55</f>
        <v>132177.195418778</v>
      </c>
      <c r="S10" s="57" t="n">
        <f aca="false">Channel_PL!S55</f>
        <v>152040.713914755</v>
      </c>
      <c r="T10" s="57" t="n">
        <f aca="false">Channel_PL!T55</f>
        <v>160639.071198893</v>
      </c>
      <c r="U10" s="57" t="n">
        <f aca="false">Channel_PL!U55</f>
        <v>173079.310601265</v>
      </c>
      <c r="V10" s="57" t="n">
        <f aca="false">Channel_PL!V55</f>
        <v>171551.109581215</v>
      </c>
      <c r="W10" s="57" t="n">
        <f aca="false">Channel_PL!W55</f>
        <v>166174.079087877</v>
      </c>
      <c r="X10" s="57" t="n">
        <f aca="false">Channel_PL!X55</f>
        <v>166132.380650495</v>
      </c>
      <c r="Y10" s="57" t="n">
        <f aca="false">Channel_PL!Y55</f>
        <v>191098.666289834</v>
      </c>
      <c r="Z10" s="57" t="n">
        <f aca="false">Channel_PL!Z55</f>
        <v>221050.41227868</v>
      </c>
      <c r="AA10" s="57" t="n">
        <f aca="false">Channel_PL!AA55</f>
        <v>318846.195005771</v>
      </c>
      <c r="AB10" s="57" t="n">
        <f aca="false">Channel_PL!AB55</f>
        <v>284743.673239188</v>
      </c>
    </row>
    <row r="11" customFormat="false" ht="15" hidden="false" customHeight="true" outlineLevel="0" collapsed="false">
      <c r="A11" s="28" t="s">
        <v>308</v>
      </c>
      <c r="B11" s="55" t="s">
        <v>43</v>
      </c>
      <c r="C11" s="56" t="n">
        <f aca="false">SUM(E11:P11)</f>
        <v>487443.785738576</v>
      </c>
      <c r="D11" s="56" t="n">
        <f aca="false">SUM(Q11:AB11)</f>
        <v>917620.288423239</v>
      </c>
      <c r="E11" s="57" t="n">
        <f aca="false">Channel_PL!E89</f>
        <v>14036.1486486486</v>
      </c>
      <c r="F11" s="57" t="n">
        <f aca="false">Channel_PL!F89</f>
        <v>15338.0307396734</v>
      </c>
      <c r="G11" s="57" t="n">
        <f aca="false">Channel_PL!G89</f>
        <v>22211.6730038023</v>
      </c>
      <c r="H11" s="57" t="n">
        <f aca="false">Channel_PL!H89</f>
        <v>27594.7402597403</v>
      </c>
      <c r="I11" s="57" t="n">
        <f aca="false">Channel_PL!I89</f>
        <v>31721.5996343693</v>
      </c>
      <c r="J11" s="57" t="n">
        <f aca="false">Channel_PL!J89</f>
        <v>38248.3664259928</v>
      </c>
      <c r="K11" s="57" t="n">
        <f aca="false">Channel_PL!K89</f>
        <v>37495.637823372</v>
      </c>
      <c r="L11" s="57" t="n">
        <f aca="false">Channel_PL!L89</f>
        <v>46110.9498207885</v>
      </c>
      <c r="M11" s="57" t="n">
        <f aca="false">Channel_PL!M89</f>
        <v>46028.0555260907</v>
      </c>
      <c r="N11" s="57" t="n">
        <f aca="false">Channel_PL!N89</f>
        <v>54516.2800915821</v>
      </c>
      <c r="O11" s="57" t="n">
        <f aca="false">Channel_PL!O89</f>
        <v>80516.7128511666</v>
      </c>
      <c r="P11" s="57" t="n">
        <f aca="false">Channel_PL!P89</f>
        <v>73625.5909133496</v>
      </c>
      <c r="Q11" s="57" t="n">
        <f aca="false">Channel_PL!Q89</f>
        <v>48036.2300492</v>
      </c>
      <c r="R11" s="57" t="n">
        <f aca="false">Channel_PL!R89</f>
        <v>46782.2612133998</v>
      </c>
      <c r="S11" s="57" t="n">
        <f aca="false">Channel_PL!S89</f>
        <v>55100.3667760839</v>
      </c>
      <c r="T11" s="57" t="n">
        <f aca="false">Channel_PL!T89</f>
        <v>59609.5284953672</v>
      </c>
      <c r="U11" s="57" t="n">
        <f aca="false">Channel_PL!U89</f>
        <v>65762.690297204</v>
      </c>
      <c r="V11" s="57" t="n">
        <f aca="false">Channel_PL!V89</f>
        <v>66741.7913407629</v>
      </c>
      <c r="W11" s="57" t="n">
        <f aca="false">Channel_PL!W89</f>
        <v>66196.8800145498</v>
      </c>
      <c r="X11" s="57" t="n">
        <f aca="false">Channel_PL!X89</f>
        <v>67763.907547956</v>
      </c>
      <c r="Y11" s="57" t="n">
        <f aca="false">Channel_PL!Y89</f>
        <v>79812.6482822413</v>
      </c>
      <c r="Z11" s="57" t="n">
        <f aca="false">Channel_PL!Z89</f>
        <v>94531.2296788033</v>
      </c>
      <c r="AA11" s="57" t="n">
        <f aca="false">Channel_PL!AA89</f>
        <v>139615.980083923</v>
      </c>
      <c r="AB11" s="57" t="n">
        <f aca="false">Channel_PL!AB89</f>
        <v>127666.774643748</v>
      </c>
    </row>
    <row r="12" customFormat="false" ht="15" hidden="false" customHeight="true" outlineLevel="0" collapsed="false">
      <c r="A12" s="70" t="s">
        <v>309</v>
      </c>
      <c r="B12" s="71" t="s">
        <v>310</v>
      </c>
      <c r="C12" s="72" t="n">
        <f aca="false">SUM(E12:P12)</f>
        <v>4310576.95442636</v>
      </c>
      <c r="D12" s="72" t="n">
        <f aca="false">SUM(Q12:AB12)</f>
        <v>5617560.00790804</v>
      </c>
      <c r="E12" s="72" t="n">
        <f aca="false">E9+E10+E11</f>
        <v>267554.218648649</v>
      </c>
      <c r="F12" s="72" t="n">
        <f aca="false">F9+F10+F11</f>
        <v>250861.990739673</v>
      </c>
      <c r="G12" s="72" t="n">
        <f aca="false">G9+G10+G11</f>
        <v>294377.593003802</v>
      </c>
      <c r="H12" s="72" t="n">
        <f aca="false">H9+H10+H11</f>
        <v>310998.58025974</v>
      </c>
      <c r="I12" s="72" t="n">
        <f aca="false">I9+I10+I11</f>
        <v>348897.519634369</v>
      </c>
      <c r="J12" s="72" t="n">
        <f aca="false">J9+J10+J11</f>
        <v>331947.176425993</v>
      </c>
      <c r="K12" s="72" t="n">
        <f aca="false">K9+K10+K11</f>
        <v>306561.177823372</v>
      </c>
      <c r="L12" s="72" t="n">
        <f aca="false">L9+L10+L11</f>
        <v>314532.059820789</v>
      </c>
      <c r="M12" s="72" t="n">
        <f aca="false">M9+M10+M11</f>
        <v>353616.131334753</v>
      </c>
      <c r="N12" s="72" t="n">
        <f aca="false">N9+N10+N11</f>
        <v>409699.57900897</v>
      </c>
      <c r="O12" s="72" t="n">
        <f aca="false">O9+O10+O11</f>
        <v>591954.784545272</v>
      </c>
      <c r="P12" s="72" t="n">
        <f aca="false">P9+P10+P11</f>
        <v>529576.143180981</v>
      </c>
      <c r="Q12" s="72" t="n">
        <f aca="false">Q9+Q10+Q11</f>
        <v>338064.974761139</v>
      </c>
      <c r="R12" s="72" t="n">
        <f aca="false">R9+R10+R11</f>
        <v>322165.656199566</v>
      </c>
      <c r="S12" s="72" t="n">
        <f aca="false">S9+S10+S11</f>
        <v>371325.716853015</v>
      </c>
      <c r="T12" s="72" t="n">
        <f aca="false">T9+T10+T11</f>
        <v>393147.105578336</v>
      </c>
      <c r="U12" s="72" t="n">
        <f aca="false">U9+U10+U11</f>
        <v>424516.716270466</v>
      </c>
      <c r="V12" s="72" t="n">
        <f aca="false">V9+V10+V11</f>
        <v>421722.243147866</v>
      </c>
      <c r="W12" s="72" t="n">
        <f aca="false">W9+W10+W11</f>
        <v>409465.974581056</v>
      </c>
      <c r="X12" s="72" t="n">
        <f aca="false">X9+X10+X11</f>
        <v>410363.99318809</v>
      </c>
      <c r="Y12" s="72" t="n">
        <f aca="false">Y9+Y10+Y11</f>
        <v>473230.286432452</v>
      </c>
      <c r="Z12" s="72" t="n">
        <f aca="false">Z9+Z10+Z11</f>
        <v>548840.636119645</v>
      </c>
      <c r="AA12" s="72" t="n">
        <f aca="false">AA9+AA10+AA11</f>
        <v>793810.80441979</v>
      </c>
      <c r="AB12" s="72" t="n">
        <f aca="false">AB9+AB10+AB11</f>
        <v>710905.900356619</v>
      </c>
    </row>
    <row r="13" customFormat="false" ht="15" hidden="false" customHeight="true" outlineLevel="0" collapsed="false">
      <c r="A13" s="28" t="s">
        <v>311</v>
      </c>
      <c r="B13" s="55" t="s">
        <v>48</v>
      </c>
      <c r="C13" s="56" t="n">
        <f aca="false">SUM(E13:P13)</f>
        <v>-56.0556255328411</v>
      </c>
      <c r="D13" s="56" t="n">
        <f aca="false">SUM(Q13:AB13)</f>
        <v>-6961.26599269172</v>
      </c>
      <c r="E13" s="57" t="n">
        <f aca="false">Settlements!E53</f>
        <v>10030.6538796861</v>
      </c>
      <c r="F13" s="57" t="n">
        <f aca="false">Settlements!F53</f>
        <v>-283.203831655395</v>
      </c>
      <c r="G13" s="57" t="n">
        <f aca="false">Settlements!G53</f>
        <v>-470.810038218404</v>
      </c>
      <c r="H13" s="57" t="n">
        <f aca="false">Settlements!H53</f>
        <v>-868.387195959522</v>
      </c>
      <c r="I13" s="57" t="n">
        <f aca="false">Settlements!I53</f>
        <v>-923.12136371423</v>
      </c>
      <c r="J13" s="57" t="n">
        <f aca="false">Settlements!J53</f>
        <v>-290.452749777574</v>
      </c>
      <c r="K13" s="57" t="n">
        <f aca="false">Settlements!K53</f>
        <v>1722.58814088097</v>
      </c>
      <c r="L13" s="57" t="n">
        <f aca="false">Settlements!L53</f>
        <v>-1729.57739737564</v>
      </c>
      <c r="M13" s="57" t="n">
        <f aca="false">Settlements!M53</f>
        <v>-1177.46566806146</v>
      </c>
      <c r="N13" s="57" t="n">
        <f aca="false">Settlements!N53</f>
        <v>-1635.99146781462</v>
      </c>
      <c r="O13" s="57" t="n">
        <f aca="false">Settlements!O53</f>
        <v>-7427.28042488824</v>
      </c>
      <c r="P13" s="57" t="n">
        <f aca="false">Settlements!P53</f>
        <v>2996.99249136513</v>
      </c>
      <c r="Q13" s="57" t="n">
        <f aca="false">Settlements!Q53</f>
        <v>7024.89938202709</v>
      </c>
      <c r="R13" s="57" t="n">
        <f aca="false">Settlements!R53</f>
        <v>-696.407854077765</v>
      </c>
      <c r="S13" s="57" t="n">
        <f aca="false">Settlements!S53</f>
        <v>-551.334576962132</v>
      </c>
      <c r="T13" s="57" t="n">
        <f aca="false">Settlements!T53</f>
        <v>-1300.39989648416</v>
      </c>
      <c r="U13" s="57" t="n">
        <f aca="false">Settlements!U53</f>
        <v>-688.05399227013</v>
      </c>
      <c r="V13" s="57" t="n">
        <f aca="false">Settlements!V53</f>
        <v>-430.860328989029</v>
      </c>
      <c r="W13" s="57" t="n">
        <f aca="false">Settlements!W53</f>
        <v>957.598792980743</v>
      </c>
      <c r="X13" s="57" t="n">
        <f aca="false">Settlements!X53</f>
        <v>-47.8877633949414</v>
      </c>
      <c r="Y13" s="57" t="n">
        <f aca="false">Settlements!Y53</f>
        <v>-2928.3929685184</v>
      </c>
      <c r="Z13" s="57" t="n">
        <f aca="false">Settlements!Z53</f>
        <v>-2236.98675981212</v>
      </c>
      <c r="AA13" s="57" t="n">
        <f aca="false">Settlements!AA53</f>
        <v>-10096.5686815883</v>
      </c>
      <c r="AB13" s="57" t="n">
        <f aca="false">Settlements!AB53</f>
        <v>4033.12865439741</v>
      </c>
    </row>
    <row r="14" customFormat="false" ht="15" hidden="false" customHeight="true" outlineLevel="0" collapsed="false">
      <c r="A14" s="70" t="s">
        <v>312</v>
      </c>
      <c r="B14" s="71" t="s">
        <v>313</v>
      </c>
      <c r="C14" s="72" t="n">
        <f aca="false">SUM(E14:P14)</f>
        <v>4310520.89880083</v>
      </c>
      <c r="D14" s="72" t="n">
        <f aca="false">SUM(Q14:AB14)</f>
        <v>5610598.74191535</v>
      </c>
      <c r="E14" s="72" t="n">
        <f aca="false">E12+E13</f>
        <v>277584.872528335</v>
      </c>
      <c r="F14" s="72" t="n">
        <f aca="false">F12+F13</f>
        <v>250578.786908018</v>
      </c>
      <c r="G14" s="72" t="n">
        <f aca="false">G12+G13</f>
        <v>293906.782965584</v>
      </c>
      <c r="H14" s="72" t="n">
        <f aca="false">H12+H13</f>
        <v>310130.193063781</v>
      </c>
      <c r="I14" s="72" t="n">
        <f aca="false">I12+I13</f>
        <v>347974.398270655</v>
      </c>
      <c r="J14" s="72" t="n">
        <f aca="false">J12+J13</f>
        <v>331656.723676215</v>
      </c>
      <c r="K14" s="72" t="n">
        <f aca="false">K12+K13</f>
        <v>308283.765964253</v>
      </c>
      <c r="L14" s="72" t="n">
        <f aca="false">L12+L13</f>
        <v>312802.482423413</v>
      </c>
      <c r="M14" s="72" t="n">
        <f aca="false">M12+M13</f>
        <v>352438.665666691</v>
      </c>
      <c r="N14" s="72" t="n">
        <f aca="false">N12+N13</f>
        <v>408063.587541155</v>
      </c>
      <c r="O14" s="72" t="n">
        <f aca="false">O12+O13</f>
        <v>584527.504120383</v>
      </c>
      <c r="P14" s="72" t="n">
        <f aca="false">P12+P13</f>
        <v>532573.135672346</v>
      </c>
      <c r="Q14" s="72" t="n">
        <f aca="false">Q12+Q13</f>
        <v>345089.874143166</v>
      </c>
      <c r="R14" s="72" t="n">
        <f aca="false">R12+R13</f>
        <v>321469.248345488</v>
      </c>
      <c r="S14" s="72" t="n">
        <f aca="false">S12+S13</f>
        <v>370774.382276052</v>
      </c>
      <c r="T14" s="72" t="n">
        <f aca="false">T12+T13</f>
        <v>391846.705681851</v>
      </c>
      <c r="U14" s="72" t="n">
        <f aca="false">U12+U13</f>
        <v>423828.662278196</v>
      </c>
      <c r="V14" s="72" t="n">
        <f aca="false">V12+V13</f>
        <v>421291.382818877</v>
      </c>
      <c r="W14" s="72" t="n">
        <f aca="false">W12+W13</f>
        <v>410423.573374037</v>
      </c>
      <c r="X14" s="72" t="n">
        <f aca="false">X12+X13</f>
        <v>410316.105424695</v>
      </c>
      <c r="Y14" s="72" t="n">
        <f aca="false">Y12+Y13</f>
        <v>470301.893463934</v>
      </c>
      <c r="Z14" s="72" t="n">
        <f aca="false">Z12+Z13</f>
        <v>546603.649359833</v>
      </c>
      <c r="AA14" s="72" t="n">
        <f aca="false">AA12+AA13</f>
        <v>783714.235738202</v>
      </c>
      <c r="AB14" s="72" t="n">
        <f aca="false">AB12+AB13</f>
        <v>714939.029011016</v>
      </c>
    </row>
    <row r="15" customFormat="false" ht="15" hidden="false" customHeight="true" outlineLevel="0" collapsed="false">
      <c r="A15" s="28" t="s">
        <v>314</v>
      </c>
      <c r="B15" s="55" t="s">
        <v>315</v>
      </c>
      <c r="F15" s="58" t="n">
        <f aca="false">IF(E14=0,0,F14/E14-1)</f>
        <v>-0.097289471772494</v>
      </c>
      <c r="G15" s="58" t="n">
        <f aca="false">IF(F14=0,0,G14/F14-1)</f>
        <v>0.172911668191093</v>
      </c>
      <c r="H15" s="58" t="n">
        <f aca="false">IF(G14=0,0,H14/G14-1)</f>
        <v>0.0551991687109057</v>
      </c>
      <c r="I15" s="58" t="n">
        <f aca="false">IF(H14=0,0,I14/H14-1)</f>
        <v>0.122026832773072</v>
      </c>
      <c r="J15" s="58" t="n">
        <f aca="false">IF(I14=0,0,J14/I14-1)</f>
        <v>-0.0468933193807781</v>
      </c>
      <c r="K15" s="58" t="n">
        <f aca="false">IF(J14=0,0,K14/J14-1)</f>
        <v>-0.0704733419931518</v>
      </c>
      <c r="L15" s="58" t="n">
        <f aca="false">IF(K14=0,0,L14/K14-1)</f>
        <v>0.0146576529744475</v>
      </c>
      <c r="M15" s="58" t="n">
        <f aca="false">IF(L14=0,0,M14/L14-1)</f>
        <v>0.126713135190617</v>
      </c>
      <c r="N15" s="58" t="n">
        <f aca="false">IF(M14=0,0,N14/M14-1)</f>
        <v>0.157828658695098</v>
      </c>
      <c r="O15" s="58" t="n">
        <f aca="false">IF(N14=0,0,O14/N14-1)</f>
        <v>0.432442202556068</v>
      </c>
      <c r="P15" s="58" t="n">
        <f aca="false">IF(O14=0,0,P14/O14-1)</f>
        <v>-0.088882675463185</v>
      </c>
      <c r="Q15" s="58" t="n">
        <f aca="false">IF(P14=0,0,Q14/P14-1)</f>
        <v>-0.352032892707763</v>
      </c>
      <c r="R15" s="58" t="n">
        <f aca="false">IF(Q14=0,0,R14/Q14-1)</f>
        <v>-0.0684477510571014</v>
      </c>
      <c r="S15" s="58" t="n">
        <f aca="false">IF(R14=0,0,S14/R14-1)</f>
        <v>0.153374340420815</v>
      </c>
      <c r="T15" s="58" t="n">
        <f aca="false">IF(S14=0,0,T14/S14-1)</f>
        <v>0.056833277629494</v>
      </c>
      <c r="U15" s="58" t="n">
        <f aca="false">IF(T14=0,0,U14/T14-1)</f>
        <v>0.0816185414668549</v>
      </c>
      <c r="V15" s="58" t="n">
        <f aca="false">IF(U14=0,0,V14/U14-1)</f>
        <v>-0.0059865688310955</v>
      </c>
      <c r="W15" s="58" t="n">
        <f aca="false">IF(V14=0,0,W14/V14-1)</f>
        <v>-0.0257964199792621</v>
      </c>
      <c r="X15" s="58" t="n">
        <f aca="false">IF(W14=0,0,X14/W14-1)</f>
        <v>-0.000261846434547075</v>
      </c>
      <c r="Y15" s="58" t="n">
        <f aca="false">IF(X14=0,0,Y14/X14-1)</f>
        <v>0.146194086086753</v>
      </c>
      <c r="Z15" s="58" t="n">
        <f aca="false">IF(Y14=0,0,Z14/Y14-1)</f>
        <v>0.162239950458014</v>
      </c>
      <c r="AA15" s="58" t="n">
        <f aca="false">IF(Z14=0,0,AA14/Z14-1)</f>
        <v>0.433788882778347</v>
      </c>
      <c r="AB15" s="58" t="n">
        <f aca="false">IF(AA14=0,0,AB14/AA14-1)</f>
        <v>-0.0877554644167011</v>
      </c>
    </row>
    <row r="16" customFormat="false" ht="15" hidden="false" customHeight="true" outlineLevel="0" collapsed="false">
      <c r="A16" s="22" t="s">
        <v>316</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row>
    <row r="17" customFormat="false" ht="15" hidden="false" customHeight="true" outlineLevel="0" collapsed="false">
      <c r="A17" s="28" t="s">
        <v>317</v>
      </c>
      <c r="B17" s="55" t="s">
        <v>43</v>
      </c>
      <c r="C17" s="56" t="n">
        <f aca="false">SUM(E17:P17)</f>
        <v>-1608572.69371351</v>
      </c>
      <c r="D17" s="56" t="n">
        <f aca="false">SUM(Q17:AB17)</f>
        <v>-2125891.93768336</v>
      </c>
      <c r="E17" s="57" t="n">
        <f aca="false">Channel_PL!E124</f>
        <v>-97407.83</v>
      </c>
      <c r="F17" s="57" t="n">
        <f aca="false">Channel_PL!F124</f>
        <v>-91911.62</v>
      </c>
      <c r="G17" s="57" t="n">
        <f aca="false">Channel_PL!G124</f>
        <v>-108572.99</v>
      </c>
      <c r="H17" s="57" t="n">
        <f aca="false">Channel_PL!H124</f>
        <v>-115233.18</v>
      </c>
      <c r="I17" s="57" t="n">
        <f aca="false">Channel_PL!I124</f>
        <v>-129172.82</v>
      </c>
      <c r="J17" s="57" t="n">
        <f aca="false">Channel_PL!J124</f>
        <v>-123340.48</v>
      </c>
      <c r="K17" s="57" t="n">
        <f aca="false">Channel_PL!K124</f>
        <v>-114986.83</v>
      </c>
      <c r="L17" s="57" t="n">
        <f aca="false">Channel_PL!L124</f>
        <v>-118481.12</v>
      </c>
      <c r="M17" s="57" t="n">
        <f aca="false">Channel_PL!M124</f>
        <v>-132968.140779815</v>
      </c>
      <c r="N17" s="57" t="n">
        <f aca="false">Channel_PL!N124</f>
        <v>-154148.951780835</v>
      </c>
      <c r="O17" s="57" t="n">
        <f aca="false">Channel_PL!O124</f>
        <v>-222856.112596505</v>
      </c>
      <c r="P17" s="57" t="n">
        <f aca="false">Channel_PL!P124</f>
        <v>-199492.618556352</v>
      </c>
      <c r="Q17" s="57" t="n">
        <f aca="false">Channel_PL!Q124</f>
        <v>-127427.295089955</v>
      </c>
      <c r="R17" s="57" t="n">
        <f aca="false">Channel_PL!R124</f>
        <v>-121508.561489256</v>
      </c>
      <c r="S17" s="57" t="n">
        <f aca="false">Channel_PL!S124</f>
        <v>-140135.936473707</v>
      </c>
      <c r="T17" s="57" t="n">
        <f aca="false">Channel_PL!T124</f>
        <v>-148462.903585924</v>
      </c>
      <c r="U17" s="57" t="n">
        <f aca="false">Channel_PL!U124</f>
        <v>-160408.574473758</v>
      </c>
      <c r="V17" s="57" t="n">
        <f aca="false">Channel_PL!V124</f>
        <v>-159452.291771294</v>
      </c>
      <c r="W17" s="57" t="n">
        <f aca="false">Channel_PL!W124</f>
        <v>-154915.591284627</v>
      </c>
      <c r="X17" s="57" t="n">
        <f aca="false">Channel_PL!X124</f>
        <v>-155353.55846155</v>
      </c>
      <c r="Y17" s="57" t="n">
        <f aca="false">Channel_PL!Y124</f>
        <v>-179267.165783383</v>
      </c>
      <c r="Z17" s="57" t="n">
        <f aca="false">Channel_PL!Z124</f>
        <v>-208042.649091579</v>
      </c>
      <c r="AA17" s="57" t="n">
        <f aca="false">Channel_PL!AA124</f>
        <v>-301094.392680183</v>
      </c>
      <c r="AB17" s="57" t="n">
        <f aca="false">Channel_PL!AB124</f>
        <v>-269823.017498147</v>
      </c>
    </row>
    <row r="18" customFormat="false" ht="15" hidden="false" customHeight="true" outlineLevel="0" collapsed="false">
      <c r="A18" s="28" t="s">
        <v>318</v>
      </c>
      <c r="B18" s="55" t="s">
        <v>50</v>
      </c>
      <c r="C18" s="56" t="n">
        <f aca="false">SUM(E18:P18)</f>
        <v>9867.00959599339</v>
      </c>
      <c r="D18" s="56" t="n">
        <f aca="false">SUM(Q18:AB18)</f>
        <v>-6693.40143453083</v>
      </c>
      <c r="E18" s="57" t="n">
        <f aca="false">-Inventory!E85+Inventory!E89</f>
        <v>-7509.73624637424</v>
      </c>
      <c r="F18" s="57" t="n">
        <f aca="false">-Inventory!F85+Inventory!F89</f>
        <v>-4560.74406665535</v>
      </c>
      <c r="G18" s="57" t="n">
        <f aca="false">-Inventory!G85+Inventory!G89</f>
        <v>1202.68311269741</v>
      </c>
      <c r="H18" s="57" t="n">
        <f aca="false">-Inventory!H85+Inventory!H89</f>
        <v>9585.78049124776</v>
      </c>
      <c r="I18" s="57" t="n">
        <f aca="false">-Inventory!I85+Inventory!I89</f>
        <v>10256.2148781805</v>
      </c>
      <c r="J18" s="57" t="n">
        <f aca="false">-Inventory!J85+Inventory!J89</f>
        <v>-4662.42659472974</v>
      </c>
      <c r="K18" s="57" t="n">
        <f aca="false">-Inventory!K85+Inventory!K89</f>
        <v>5302.08283224914</v>
      </c>
      <c r="L18" s="57" t="n">
        <f aca="false">-Inventory!L85+Inventory!L89</f>
        <v>-4488.27256734321</v>
      </c>
      <c r="M18" s="57" t="n">
        <f aca="false">-Inventory!M85+Inventory!M89</f>
        <v>2870.2781580798</v>
      </c>
      <c r="N18" s="57" t="n">
        <f aca="false">-Inventory!N85+Inventory!N89</f>
        <v>-3844.229879404</v>
      </c>
      <c r="O18" s="57" t="n">
        <f aca="false">-Inventory!O85+Inventory!O89</f>
        <v>6343.29809257508</v>
      </c>
      <c r="P18" s="57" t="n">
        <f aca="false">-Inventory!P85+Inventory!P89</f>
        <v>-627.918614529806</v>
      </c>
      <c r="Q18" s="57" t="n">
        <f aca="false">-Inventory!Q85+Inventory!Q89</f>
        <v>-401.102618603696</v>
      </c>
      <c r="R18" s="57" t="n">
        <f aca="false">-Inventory!R85+Inventory!R89</f>
        <v>-382.486978513939</v>
      </c>
      <c r="S18" s="57" t="n">
        <f aca="false">-Inventory!S85+Inventory!S89</f>
        <v>-441.139833937836</v>
      </c>
      <c r="T18" s="57" t="n">
        <f aca="false">-Inventory!T85+Inventory!T89</f>
        <v>-467.371176273011</v>
      </c>
      <c r="U18" s="57" t="n">
        <f aca="false">-Inventory!U85+Inventory!U89</f>
        <v>-504.997252249862</v>
      </c>
      <c r="V18" s="57" t="n">
        <f aca="false">-Inventory!V85+Inventory!V89</f>
        <v>-502.007152151402</v>
      </c>
      <c r="W18" s="57" t="n">
        <f aca="false">-Inventory!W85+Inventory!W89</f>
        <v>-487.744313770788</v>
      </c>
      <c r="X18" s="57" t="n">
        <f aca="false">-Inventory!X85+Inventory!X89</f>
        <v>-489.143721560479</v>
      </c>
      <c r="Y18" s="57" t="n">
        <f aca="false">-Inventory!Y85+Inventory!Y89</f>
        <v>-564.461685682354</v>
      </c>
      <c r="Z18" s="57" t="n">
        <f aca="false">-Inventory!Z85+Inventory!Z89</f>
        <v>-655.095741473921</v>
      </c>
      <c r="AA18" s="57" t="n">
        <f aca="false">-Inventory!AA85+Inventory!AA89</f>
        <v>-948.143346036401</v>
      </c>
      <c r="AB18" s="57" t="n">
        <f aca="false">-Inventory!AB85+Inventory!AB89</f>
        <v>-849.707614277143</v>
      </c>
    </row>
    <row r="19" customFormat="false" ht="15" hidden="false" customHeight="true" outlineLevel="0" collapsed="false">
      <c r="A19" s="70" t="s">
        <v>319</v>
      </c>
      <c r="B19" s="71"/>
      <c r="C19" s="72" t="n">
        <f aca="false">SUM(E19:P19)</f>
        <v>2711815.21468332</v>
      </c>
      <c r="D19" s="72" t="n">
        <f aca="false">SUM(Q19:AB19)</f>
        <v>3478013.40279745</v>
      </c>
      <c r="E19" s="72" t="n">
        <f aca="false">E14+E17+E18</f>
        <v>172667.306281961</v>
      </c>
      <c r="F19" s="72" t="n">
        <f aca="false">F14+F17+F18</f>
        <v>154106.422841363</v>
      </c>
      <c r="G19" s="72" t="n">
        <f aca="false">G14+G17+G18</f>
        <v>186536.476078281</v>
      </c>
      <c r="H19" s="72" t="n">
        <f aca="false">H14+H17+H18</f>
        <v>204482.793555029</v>
      </c>
      <c r="I19" s="72" t="n">
        <f aca="false">I14+I17+I18</f>
        <v>229057.793148836</v>
      </c>
      <c r="J19" s="72" t="n">
        <f aca="false">J14+J17+J18</f>
        <v>203653.817081485</v>
      </c>
      <c r="K19" s="72" t="n">
        <f aca="false">K14+K17+K18</f>
        <v>198599.018796502</v>
      </c>
      <c r="L19" s="72" t="n">
        <f aca="false">L14+L17+L18</f>
        <v>189833.08985607</v>
      </c>
      <c r="M19" s="72" t="n">
        <f aca="false">M14+M17+M18</f>
        <v>222340.803044956</v>
      </c>
      <c r="N19" s="72" t="n">
        <f aca="false">N14+N17+N18</f>
        <v>250070.405880916</v>
      </c>
      <c r="O19" s="72" t="n">
        <f aca="false">O14+O17+O18</f>
        <v>368014.689616454</v>
      </c>
      <c r="P19" s="72" t="n">
        <f aca="false">P14+P17+P18</f>
        <v>332452.598501464</v>
      </c>
      <c r="Q19" s="72" t="n">
        <f aca="false">Q14+Q17+Q18</f>
        <v>217261.476434607</v>
      </c>
      <c r="R19" s="72" t="n">
        <f aca="false">R14+R17+R18</f>
        <v>199578.199877718</v>
      </c>
      <c r="S19" s="72" t="n">
        <f aca="false">S14+S17+S18</f>
        <v>230197.305968407</v>
      </c>
      <c r="T19" s="72" t="n">
        <f aca="false">T14+T17+T18</f>
        <v>242916.430919654</v>
      </c>
      <c r="U19" s="72" t="n">
        <f aca="false">U14+U17+U18</f>
        <v>262915.090552188</v>
      </c>
      <c r="V19" s="72" t="n">
        <f aca="false">V14+V17+V18</f>
        <v>261337.083895431</v>
      </c>
      <c r="W19" s="72" t="n">
        <f aca="false">W14+W17+W18</f>
        <v>255020.237775639</v>
      </c>
      <c r="X19" s="72" t="n">
        <f aca="false">X14+X17+X18</f>
        <v>254473.403241585</v>
      </c>
      <c r="Y19" s="72" t="n">
        <f aca="false">Y14+Y17+Y18</f>
        <v>290470.265994868</v>
      </c>
      <c r="Z19" s="72" t="n">
        <f aca="false">Z14+Z17+Z18</f>
        <v>337905.90452678</v>
      </c>
      <c r="AA19" s="72" t="n">
        <f aca="false">AA14+AA17+AA18</f>
        <v>481671.699711982</v>
      </c>
      <c r="AB19" s="72" t="n">
        <f aca="false">AB14+AB17+AB18</f>
        <v>444266.303898592</v>
      </c>
    </row>
    <row r="20" customFormat="false" ht="15" hidden="false" customHeight="true" outlineLevel="0" collapsed="false">
      <c r="A20" s="28" t="s">
        <v>269</v>
      </c>
      <c r="B20" s="55"/>
      <c r="C20" s="59" t="n">
        <f aca="false">IF(C14=0,0,C19/C14)</f>
        <v>0.629115431371121</v>
      </c>
      <c r="D20" s="59" t="n">
        <f aca="false">IF(D14=0,0,D19/D14)</f>
        <v>0.619900577956877</v>
      </c>
      <c r="E20" s="58" t="n">
        <f aca="false">IF(E14=0,0,E19/E14)</f>
        <v>0.622034279855562</v>
      </c>
      <c r="F20" s="58" t="n">
        <f aca="false">IF(F14=0,0,F19/F14)</f>
        <v>0.615001871239531</v>
      </c>
      <c r="G20" s="58" t="n">
        <f aca="false">IF(G14=0,0,G19/G14)</f>
        <v>0.634679044138034</v>
      </c>
      <c r="H20" s="58" t="n">
        <f aca="false">IF(H14=0,0,H19/H14)</f>
        <v>0.659345004544511</v>
      </c>
      <c r="I20" s="58" t="n">
        <f aca="false">IF(I14=0,0,I19/I14)</f>
        <v>0.658260476308588</v>
      </c>
      <c r="J20" s="58" t="n">
        <f aca="false">IF(J14=0,0,J19/J14)</f>
        <v>0.614050017813918</v>
      </c>
      <c r="K20" s="58" t="n">
        <f aca="false">IF(K14=0,0,K19/K14)</f>
        <v>0.644208488161296</v>
      </c>
      <c r="L20" s="58" t="n">
        <f aca="false">IF(L14=0,0,L19/L14)</f>
        <v>0.606878463320855</v>
      </c>
      <c r="M20" s="58" t="n">
        <f aca="false">IF(M14=0,0,M19/M14)</f>
        <v>0.630863820302931</v>
      </c>
      <c r="N20" s="58" t="n">
        <f aca="false">IF(N14=0,0,N19/N14)</f>
        <v>0.612822152027214</v>
      </c>
      <c r="O20" s="58" t="n">
        <f aca="false">IF(O14=0,0,O19/O14)</f>
        <v>0.629593452869689</v>
      </c>
      <c r="P20" s="58" t="n">
        <f aca="false">IF(P14=0,0,P19/P14)</f>
        <v>0.624238393252336</v>
      </c>
      <c r="Q20" s="58" t="n">
        <f aca="false">IF(Q14=0,0,Q19/Q14)</f>
        <v>0.629579401522725</v>
      </c>
      <c r="R20" s="58" t="n">
        <f aca="false">IF(R14=0,0,R19/R14)</f>
        <v>0.620831388709468</v>
      </c>
      <c r="S20" s="58" t="n">
        <f aca="false">IF(S14=0,0,S19/S14)</f>
        <v>0.620855477002774</v>
      </c>
      <c r="T20" s="58" t="n">
        <f aca="false">IF(T14=0,0,T19/T14)</f>
        <v>0.619927199584225</v>
      </c>
      <c r="U20" s="58" t="n">
        <f aca="false">IF(U14=0,0,U19/U14)</f>
        <v>0.620333436485742</v>
      </c>
      <c r="V20" s="58" t="n">
        <f aca="false">IF(V14=0,0,V19/V14)</f>
        <v>0.620323829428494</v>
      </c>
      <c r="W20" s="58" t="n">
        <f aca="false">IF(W14=0,0,W19/W14)</f>
        <v>0.621358650720649</v>
      </c>
      <c r="X20" s="58" t="n">
        <f aca="false">IF(X14=0,0,X19/X14)</f>
        <v>0.620188678624237</v>
      </c>
      <c r="Y20" s="58" t="n">
        <f aca="false">IF(Y14=0,0,Y19/Y14)</f>
        <v>0.617625125545329</v>
      </c>
      <c r="Z20" s="58" t="n">
        <f aca="false">IF(Z14=0,0,Z19/Z14)</f>
        <v>0.618191819470151</v>
      </c>
      <c r="AA20" s="58" t="n">
        <f aca="false">IF(AA14=0,0,AA19/AA14)</f>
        <v>0.614601187202224</v>
      </c>
      <c r="AB20" s="58" t="n">
        <f aca="false">IF(AB14=0,0,AB19/AB14)</f>
        <v>0.621404463696927</v>
      </c>
    </row>
    <row r="21" customFormat="false" ht="15" hidden="false" customHeight="true" outlineLevel="0" collapsed="false">
      <c r="A21" s="22" t="s">
        <v>320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row>
    <row r="22" customFormat="false" ht="15" hidden="false" customHeight="true" outlineLevel="0" collapsed="false">
      <c r="A22" s="28" t="s">
        <v>321</v>
      </c>
      <c r="B22" s="55" t="s">
        <v>43</v>
      </c>
      <c r="C22" s="56" t="n">
        <f aca="false">SUM(E22:P22)</f>
        <v>-409440.286261552</v>
      </c>
      <c r="D22" s="56" t="n">
        <f aca="false">SUM(Q22:AB22)</f>
        <v>-555659.546266776</v>
      </c>
      <c r="E22" s="57" t="n">
        <f aca="false">Channel_PL!E126</f>
        <v>-25180.2123552124</v>
      </c>
      <c r="F22" s="57" t="n">
        <f aca="false">Channel_PL!F126</f>
        <v>-22538.6724303554</v>
      </c>
      <c r="G22" s="57" t="n">
        <f aca="false">Channel_PL!G126</f>
        <v>-27025.7490494297</v>
      </c>
      <c r="H22" s="57" t="n">
        <f aca="false">Channel_PL!H126</f>
        <v>-29644.146567718</v>
      </c>
      <c r="I22" s="57" t="n">
        <f aca="false">Channel_PL!I126</f>
        <v>-32834.6837294333</v>
      </c>
      <c r="J22" s="57" t="n">
        <f aca="false">Channel_PL!J126</f>
        <v>-31540.3646209386</v>
      </c>
      <c r="K22" s="57" t="n">
        <f aca="false">Channel_PL!K126</f>
        <v>-28941.4424620874</v>
      </c>
      <c r="L22" s="57" t="n">
        <f aca="false">Channel_PL!L126</f>
        <v>-29921.6666666667</v>
      </c>
      <c r="M22" s="57" t="n">
        <f aca="false">Channel_PL!M126</f>
        <v>-33950.9071697886</v>
      </c>
      <c r="N22" s="57" t="n">
        <f aca="false">Channel_PL!N126</f>
        <v>-39443.9015540606</v>
      </c>
      <c r="O22" s="57" t="n">
        <f aca="false">Channel_PL!O126</f>
        <v>-57148.8222908542</v>
      </c>
      <c r="P22" s="57" t="n">
        <f aca="false">Channel_PL!P126</f>
        <v>-51269.7173650076</v>
      </c>
      <c r="Q22" s="57" t="n">
        <f aca="false">Channel_PL!Q126</f>
        <v>-32821.3013012342</v>
      </c>
      <c r="R22" s="57" t="n">
        <f aca="false">Channel_PL!R126</f>
        <v>-31366.5889429856</v>
      </c>
      <c r="S22" s="57" t="n">
        <f aca="false">Channel_PL!S126</f>
        <v>-36256.4110421164</v>
      </c>
      <c r="T22" s="57" t="n">
        <f aca="false">Channel_PL!T126</f>
        <v>-38497.7958812793</v>
      </c>
      <c r="U22" s="57" t="n">
        <f aca="false">Channel_PL!U126</f>
        <v>-41690.375318745</v>
      </c>
      <c r="V22" s="57" t="n">
        <f aca="false">Channel_PL!V126</f>
        <v>-41537.1717539577</v>
      </c>
      <c r="W22" s="57" t="n">
        <f aca="false">Channel_PL!W126</f>
        <v>-40448.9046244447</v>
      </c>
      <c r="X22" s="57" t="n">
        <f aca="false">Channel_PL!X126</f>
        <v>-40657.979266619</v>
      </c>
      <c r="Y22" s="57" t="n">
        <f aca="false">Channel_PL!Y126</f>
        <v>-47026.8259405955</v>
      </c>
      <c r="Z22" s="57" t="n">
        <f aca="false">Channel_PL!Z126</f>
        <v>-54704.7336471508</v>
      </c>
      <c r="AA22" s="57" t="n">
        <f aca="false">Channel_PL!AA126</f>
        <v>-79361.524863512</v>
      </c>
      <c r="AB22" s="57" t="n">
        <f aca="false">Channel_PL!AB126</f>
        <v>-71289.9336841359</v>
      </c>
    </row>
    <row r="23" customFormat="false" ht="15" hidden="false" customHeight="true" outlineLevel="0" collapsed="false">
      <c r="A23" s="28" t="s">
        <v>322</v>
      </c>
      <c r="B23" s="55" t="s">
        <v>43</v>
      </c>
      <c r="C23" s="56" t="n">
        <f aca="false">SUM(E23:P23)</f>
        <v>-583846.102023483</v>
      </c>
      <c r="D23" s="56" t="n">
        <f aca="false">SUM(Q23:AB23)</f>
        <v>-741474.946893946</v>
      </c>
      <c r="E23" s="57" t="n">
        <f aca="false">Channel_PL!E127</f>
        <v>-34760.8301158301</v>
      </c>
      <c r="F23" s="57" t="n">
        <f aca="false">Channel_PL!F127</f>
        <v>-32863.6013448607</v>
      </c>
      <c r="G23" s="57" t="n">
        <f aca="false">Channel_PL!G127</f>
        <v>-38712.7186311787</v>
      </c>
      <c r="H23" s="57" t="n">
        <f aca="false">Channel_PL!H127</f>
        <v>-41453.9294990724</v>
      </c>
      <c r="I23" s="57" t="n">
        <f aca="false">Channel_PL!I127</f>
        <v>-45080.1572212066</v>
      </c>
      <c r="J23" s="57" t="n">
        <f aca="false">Channel_PL!J127</f>
        <v>-46109.1227436823</v>
      </c>
      <c r="K23" s="57" t="n">
        <f aca="false">Channel_PL!K127</f>
        <v>-41415.0624442462</v>
      </c>
      <c r="L23" s="57" t="n">
        <f aca="false">Channel_PL!L127</f>
        <v>-41677.476702509</v>
      </c>
      <c r="M23" s="57" t="n">
        <f aca="false">Channel_PL!M127</f>
        <v>-46753.4062863135</v>
      </c>
      <c r="N23" s="57" t="n">
        <f aca="false">Channel_PL!N127</f>
        <v>-57685.7442509539</v>
      </c>
      <c r="O23" s="57" t="n">
        <f aca="false">Channel_PL!O127</f>
        <v>-83140.3007833406</v>
      </c>
      <c r="P23" s="57" t="n">
        <f aca="false">Channel_PL!P127</f>
        <v>-74193.7520002895</v>
      </c>
      <c r="Q23" s="57" t="n">
        <f aca="false">Channel_PL!Q127</f>
        <v>-44264.647883459</v>
      </c>
      <c r="R23" s="57" t="n">
        <f aca="false">Channel_PL!R127</f>
        <v>-42079.8690431187</v>
      </c>
      <c r="S23" s="57" t="n">
        <f aca="false">Channel_PL!S127</f>
        <v>-48382.2649577644</v>
      </c>
      <c r="T23" s="57" t="n">
        <f aca="false">Channel_PL!T127</f>
        <v>-51099.8933513758</v>
      </c>
      <c r="U23" s="57" t="n">
        <f aca="false">Channel_PL!U127</f>
        <v>-55041.6132315946</v>
      </c>
      <c r="V23" s="57" t="n">
        <f aca="false">Channel_PL!V127</f>
        <v>-54544.6307811272</v>
      </c>
      <c r="W23" s="57" t="n">
        <f aca="false">Channel_PL!W127</f>
        <v>-52828.7266272594</v>
      </c>
      <c r="X23" s="57" t="n">
        <f aca="false">Channel_PL!X127</f>
        <v>-52813.6367354407</v>
      </c>
      <c r="Y23" s="57" t="n">
        <f aca="false">Channel_PL!Y127</f>
        <v>-60753.5322957943</v>
      </c>
      <c r="Z23" s="57" t="n">
        <f aca="false">Channel_PL!Z127</f>
        <v>-74955.3565417942</v>
      </c>
      <c r="AA23" s="57" t="n">
        <f aca="false">Channel_PL!AA127</f>
        <v>-108128.504538228</v>
      </c>
      <c r="AB23" s="57" t="n">
        <f aca="false">Channel_PL!AB127</f>
        <v>-96582.2709069894</v>
      </c>
    </row>
    <row r="24" customFormat="false" ht="15" hidden="false" customHeight="true" outlineLevel="0" collapsed="false">
      <c r="A24" s="28" t="s">
        <v>323</v>
      </c>
      <c r="B24" s="55"/>
      <c r="C24" s="56" t="n">
        <f aca="false">SUM(E24:P24)</f>
        <v>-993286.388285036</v>
      </c>
      <c r="D24" s="56" t="n">
        <f aca="false">SUM(Q24:AB24)</f>
        <v>-1297134.49316072</v>
      </c>
      <c r="E24" s="69" t="n">
        <f aca="false">E22+E23</f>
        <v>-59941.0424710425</v>
      </c>
      <c r="F24" s="69" t="n">
        <f aca="false">F22+F23</f>
        <v>-55402.2737752161</v>
      </c>
      <c r="G24" s="69" t="n">
        <f aca="false">G22+G23</f>
        <v>-65738.4676806084</v>
      </c>
      <c r="H24" s="69" t="n">
        <f aca="false">H22+H23</f>
        <v>-71098.0760667904</v>
      </c>
      <c r="I24" s="69" t="n">
        <f aca="false">I22+I23</f>
        <v>-77914.8409506399</v>
      </c>
      <c r="J24" s="69" t="n">
        <f aca="false">J22+J23</f>
        <v>-77649.4873646209</v>
      </c>
      <c r="K24" s="69" t="n">
        <f aca="false">K22+K23</f>
        <v>-70356.5049063336</v>
      </c>
      <c r="L24" s="69" t="n">
        <f aca="false">L22+L23</f>
        <v>-71599.1433691756</v>
      </c>
      <c r="M24" s="69" t="n">
        <f aca="false">M22+M23</f>
        <v>-80704.313456102</v>
      </c>
      <c r="N24" s="69" t="n">
        <f aca="false">N22+N23</f>
        <v>-97129.6458050145</v>
      </c>
      <c r="O24" s="69" t="n">
        <f aca="false">O22+O23</f>
        <v>-140289.123074195</v>
      </c>
      <c r="P24" s="69" t="n">
        <f aca="false">P22+P23</f>
        <v>-125463.469365297</v>
      </c>
      <c r="Q24" s="69" t="n">
        <f aca="false">Q22+Q23</f>
        <v>-77085.9491846932</v>
      </c>
      <c r="R24" s="69" t="n">
        <f aca="false">R22+R23</f>
        <v>-73446.4579861044</v>
      </c>
      <c r="S24" s="69" t="n">
        <f aca="false">S22+S23</f>
        <v>-84638.6759998807</v>
      </c>
      <c r="T24" s="69" t="n">
        <f aca="false">T22+T23</f>
        <v>-89597.6892326551</v>
      </c>
      <c r="U24" s="69" t="n">
        <f aca="false">U22+U23</f>
        <v>-96731.9885503396</v>
      </c>
      <c r="V24" s="69" t="n">
        <f aca="false">V22+V23</f>
        <v>-96081.802535085</v>
      </c>
      <c r="W24" s="69" t="n">
        <f aca="false">W22+W23</f>
        <v>-93277.6312517041</v>
      </c>
      <c r="X24" s="69" t="n">
        <f aca="false">X22+X23</f>
        <v>-93471.6160020597</v>
      </c>
      <c r="Y24" s="69" t="n">
        <f aca="false">Y22+Y23</f>
        <v>-107780.35823639</v>
      </c>
      <c r="Z24" s="69" t="n">
        <f aca="false">Z22+Z23</f>
        <v>-129660.090188945</v>
      </c>
      <c r="AA24" s="69" t="n">
        <f aca="false">AA22+AA23</f>
        <v>-187490.02940174</v>
      </c>
      <c r="AB24" s="69" t="n">
        <f aca="false">AB22+AB23</f>
        <v>-167872.204591125</v>
      </c>
    </row>
    <row r="25" customFormat="false" ht="15" hidden="false" customHeight="true" outlineLevel="0" collapsed="false">
      <c r="A25" s="70" t="s">
        <v>324</v>
      </c>
      <c r="B25" s="71"/>
      <c r="C25" s="72" t="n">
        <f aca="false">SUM(E25:P25)</f>
        <v>1718528.82639828</v>
      </c>
      <c r="D25" s="72" t="n">
        <f aca="false">SUM(Q25:AB25)</f>
        <v>2180878.90963673</v>
      </c>
      <c r="E25" s="72" t="n">
        <f aca="false">E19+E24</f>
        <v>112726.263810918</v>
      </c>
      <c r="F25" s="72" t="n">
        <f aca="false">F19+F24</f>
        <v>98704.1490661465</v>
      </c>
      <c r="G25" s="72" t="n">
        <f aca="false">G19+G24</f>
        <v>120798.008397673</v>
      </c>
      <c r="H25" s="72" t="n">
        <f aca="false">H19+H24</f>
        <v>133384.717488238</v>
      </c>
      <c r="I25" s="72" t="n">
        <f aca="false">I19+I24</f>
        <v>151142.952198196</v>
      </c>
      <c r="J25" s="72" t="n">
        <f aca="false">J19+J24</f>
        <v>126004.329716865</v>
      </c>
      <c r="K25" s="72" t="n">
        <f aca="false">K19+K24</f>
        <v>128242.513890168</v>
      </c>
      <c r="L25" s="72" t="n">
        <f aca="false">L19+L24</f>
        <v>118233.946486894</v>
      </c>
      <c r="M25" s="72" t="n">
        <f aca="false">M19+M24</f>
        <v>141636.489588854</v>
      </c>
      <c r="N25" s="72" t="n">
        <f aca="false">N19+N24</f>
        <v>152940.760075902</v>
      </c>
      <c r="O25" s="72" t="n">
        <f aca="false">O19+O24</f>
        <v>227725.566542259</v>
      </c>
      <c r="P25" s="72" t="n">
        <f aca="false">P19+P24</f>
        <v>206989.129136167</v>
      </c>
      <c r="Q25" s="72" t="n">
        <f aca="false">Q19+Q24</f>
        <v>140175.527249914</v>
      </c>
      <c r="R25" s="72" t="n">
        <f aca="false">R19+R24</f>
        <v>126131.741891614</v>
      </c>
      <c r="S25" s="72" t="n">
        <f aca="false">S19+S24</f>
        <v>145558.629968527</v>
      </c>
      <c r="T25" s="72" t="n">
        <f aca="false">T19+T24</f>
        <v>153318.741686999</v>
      </c>
      <c r="U25" s="72" t="n">
        <f aca="false">U19+U24</f>
        <v>166183.102001849</v>
      </c>
      <c r="V25" s="72" t="n">
        <f aca="false">V19+V24</f>
        <v>165255.281360346</v>
      </c>
      <c r="W25" s="72" t="n">
        <f aca="false">W19+W24</f>
        <v>161742.606523935</v>
      </c>
      <c r="X25" s="72" t="n">
        <f aca="false">X19+X24</f>
        <v>161001.787239525</v>
      </c>
      <c r="Y25" s="72" t="n">
        <f aca="false">Y19+Y24</f>
        <v>182689.907758478</v>
      </c>
      <c r="Z25" s="72" t="n">
        <f aca="false">Z19+Z24</f>
        <v>208245.814337835</v>
      </c>
      <c r="AA25" s="72" t="n">
        <f aca="false">AA19+AA24</f>
        <v>294181.670310242</v>
      </c>
      <c r="AB25" s="72" t="n">
        <f aca="false">AB19+AB24</f>
        <v>276394.099307467</v>
      </c>
    </row>
    <row r="26" customFormat="false" ht="15" hidden="false" customHeight="true" outlineLevel="0" collapsed="false">
      <c r="A26" s="28" t="s">
        <v>270</v>
      </c>
      <c r="B26" s="55"/>
      <c r="C26" s="59" t="n">
        <f aca="false">IF(C14=0,0,C25/C14)</f>
        <v>0.398682402137609</v>
      </c>
      <c r="D26" s="59" t="n">
        <f aca="false">IF(D14=0,0,D25/D14)</f>
        <v>0.388706982972056</v>
      </c>
      <c r="E26" s="58" t="n">
        <f aca="false">IF(E14=0,0,E25/E14)</f>
        <v>0.406096567093769</v>
      </c>
      <c r="F26" s="58" t="n">
        <f aca="false">IF(F14=0,0,F25/F14)</f>
        <v>0.39390464884954</v>
      </c>
      <c r="G26" s="58" t="n">
        <f aca="false">IF(G14=0,0,G25/G14)</f>
        <v>0.411007895696706</v>
      </c>
      <c r="H26" s="58" t="n">
        <f aca="false">IF(H14=0,0,H25/H14)</f>
        <v>0.430092652929173</v>
      </c>
      <c r="I26" s="58" t="n">
        <f aca="false">IF(I14=0,0,I25/I14)</f>
        <v>0.434350782555665</v>
      </c>
      <c r="J26" s="58" t="n">
        <f aca="false">IF(J14=0,0,J25/J14)</f>
        <v>0.379923941598959</v>
      </c>
      <c r="K26" s="58" t="n">
        <f aca="false">IF(K14=0,0,K25/K14)</f>
        <v>0.415988540587112</v>
      </c>
      <c r="L26" s="58" t="n">
        <f aca="false">IF(L14=0,0,L25/L14)</f>
        <v>0.377982762703434</v>
      </c>
      <c r="M26" s="58" t="n">
        <f aca="false">IF(M14=0,0,M25/M14)</f>
        <v>0.401875569812771</v>
      </c>
      <c r="N26" s="58" t="n">
        <f aca="false">IF(N14=0,0,N25/N14)</f>
        <v>0.374796391409162</v>
      </c>
      <c r="O26" s="58" t="n">
        <f aca="false">IF(O14=0,0,O25/O14)</f>
        <v>0.389589138127808</v>
      </c>
      <c r="P26" s="58" t="n">
        <f aca="false">IF(P14=0,0,P25/P14)</f>
        <v>0.388658599677307</v>
      </c>
      <c r="Q26" s="58" t="n">
        <f aca="false">IF(Q14=0,0,Q25/Q14)</f>
        <v>0.406200059036678</v>
      </c>
      <c r="R26" s="58" t="n">
        <f aca="false">IF(R14=0,0,R25/R14)</f>
        <v>0.392360210318027</v>
      </c>
      <c r="S26" s="58" t="n">
        <f aca="false">IF(S14=0,0,S25/S14)</f>
        <v>0.392580061963812</v>
      </c>
      <c r="T26" s="58" t="n">
        <f aca="false">IF(T14=0,0,T25/T14)</f>
        <v>0.391272248723412</v>
      </c>
      <c r="U26" s="58" t="n">
        <f aca="false">IF(U14=0,0,U25/U14)</f>
        <v>0.39209972517802</v>
      </c>
      <c r="V26" s="58" t="n">
        <f aca="false">IF(V14=0,0,V25/V14)</f>
        <v>0.392258869038852</v>
      </c>
      <c r="W26" s="58" t="n">
        <f aca="false">IF(W14=0,0,W25/W14)</f>
        <v>0.394087028662293</v>
      </c>
      <c r="X26" s="58" t="n">
        <f aca="false">IF(X14=0,0,X25/X14)</f>
        <v>0.392384761677539</v>
      </c>
      <c r="Y26" s="58" t="n">
        <f aca="false">IF(Y14=0,0,Y25/Y14)</f>
        <v>0.388452418111491</v>
      </c>
      <c r="Z26" s="58" t="n">
        <f aca="false">IF(Z14=0,0,Z25/Z14)</f>
        <v>0.380981383094911</v>
      </c>
      <c r="AA26" s="58" t="n">
        <f aca="false">IF(AA14=0,0,AA25/AA14)</f>
        <v>0.375368542378389</v>
      </c>
      <c r="AB26" s="58" t="n">
        <f aca="false">IF(AB14=0,0,AB25/AB14)</f>
        <v>0.386598140669151</v>
      </c>
    </row>
    <row r="27" customFormat="false" ht="15" hidden="false" customHeight="true" outlineLevel="0" collapsed="false">
      <c r="A27" s="22" t="s">
        <v>325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row>
    <row r="28" customFormat="false" ht="15" hidden="false" customHeight="true" outlineLevel="0" collapsed="false">
      <c r="A28" s="28" t="s">
        <v>326</v>
      </c>
      <c r="B28" s="55" t="s">
        <v>43</v>
      </c>
      <c r="C28" s="56" t="n">
        <f aca="false">SUM(E28:P28)</f>
        <v>-374316.997870655</v>
      </c>
      <c r="D28" s="56" t="n">
        <f aca="false">SUM(Q28:AB28)</f>
        <v>-460453.433175451</v>
      </c>
      <c r="E28" s="57" t="n">
        <f aca="false">Channel_PL!E33</f>
        <v>-21321</v>
      </c>
      <c r="F28" s="57" t="n">
        <f aca="false">Channel_PL!F33</f>
        <v>-22468</v>
      </c>
      <c r="G28" s="57" t="n">
        <f aca="false">Channel_PL!G33</f>
        <v>-27523</v>
      </c>
      <c r="H28" s="57" t="n">
        <f aca="false">Channel_PL!H33</f>
        <v>-25490</v>
      </c>
      <c r="I28" s="57" t="n">
        <f aca="false">Channel_PL!I33</f>
        <v>-29570</v>
      </c>
      <c r="J28" s="57" t="n">
        <f aca="false">Channel_PL!J33</f>
        <v>-28738</v>
      </c>
      <c r="K28" s="57" t="n">
        <f aca="false">Channel_PL!K33</f>
        <v>-28030</v>
      </c>
      <c r="L28" s="57" t="n">
        <f aca="false">Channel_PL!L33</f>
        <v>-29264</v>
      </c>
      <c r="M28" s="57" t="n">
        <f aca="false">Channel_PL!M33</f>
        <v>-30631.7262885505</v>
      </c>
      <c r="N28" s="57" t="n">
        <f aca="false">Channel_PL!N33</f>
        <v>-35316.0321152678</v>
      </c>
      <c r="O28" s="57" t="n">
        <f aca="false">Channel_PL!O33</f>
        <v>-50772.5159050475</v>
      </c>
      <c r="P28" s="57" t="n">
        <f aca="false">Channel_PL!P33</f>
        <v>-45192.7235617892</v>
      </c>
      <c r="Q28" s="57" t="n">
        <f aca="false">Channel_PL!Q33</f>
        <v>-28701.5813492901</v>
      </c>
      <c r="R28" s="57" t="n">
        <f aca="false">Channel_PL!R33</f>
        <v>-27209.1779178038</v>
      </c>
      <c r="S28" s="57" t="n">
        <f aca="false">Channel_PL!S33</f>
        <v>-31195.0808708133</v>
      </c>
      <c r="T28" s="57" t="n">
        <f aca="false">Channel_PL!T33</f>
        <v>-32850.7161179744</v>
      </c>
      <c r="U28" s="57" t="n">
        <f aca="false">Channel_PL!U33</f>
        <v>-35278.1959206795</v>
      </c>
      <c r="V28" s="57" t="n">
        <f aca="false">Channel_PL!V33</f>
        <v>-34851.5750229186</v>
      </c>
      <c r="W28" s="57" t="n">
        <f aca="false">Channel_PL!W33</f>
        <v>-33648.0529409395</v>
      </c>
      <c r="X28" s="57" t="n">
        <f aca="false">Channel_PL!X33</f>
        <v>-33528.8639480313</v>
      </c>
      <c r="Y28" s="57" t="n">
        <f aca="false">Channel_PL!Y33</f>
        <v>-38440.6046534716</v>
      </c>
      <c r="Z28" s="57" t="n">
        <f aca="false">Channel_PL!Z33</f>
        <v>-44319.2088908106</v>
      </c>
      <c r="AA28" s="57" t="n">
        <f aca="false">Channel_PL!AA33</f>
        <v>-63716.2395727184</v>
      </c>
      <c r="AB28" s="57" t="n">
        <f aca="false">Channel_PL!AB33</f>
        <v>-56714.1359699996</v>
      </c>
    </row>
    <row r="29" customFormat="false" ht="15" hidden="false" customHeight="true" outlineLevel="0" collapsed="false">
      <c r="A29" s="28" t="s">
        <v>327</v>
      </c>
      <c r="B29" s="55"/>
      <c r="C29" s="56" t="n">
        <f aca="false">SUM(E29:P29)</f>
        <v>-172293.700940012</v>
      </c>
      <c r="D29" s="56" t="n">
        <f aca="false">SUM(Q29:AB29)</f>
        <v>-216267.556763331</v>
      </c>
      <c r="E29" s="57" t="n">
        <f aca="false">Channel_PL!E69</f>
        <v>-11057</v>
      </c>
      <c r="F29" s="57" t="n">
        <f aca="false">Channel_PL!F69</f>
        <v>-9410</v>
      </c>
      <c r="G29" s="57" t="n">
        <f aca="false">Channel_PL!G69</f>
        <v>-11456</v>
      </c>
      <c r="H29" s="57" t="n">
        <f aca="false">Channel_PL!H69</f>
        <v>-13283</v>
      </c>
      <c r="I29" s="57" t="n">
        <f aca="false">Channel_PL!I69</f>
        <v>-15111</v>
      </c>
      <c r="J29" s="57" t="n">
        <f aca="false">Channel_PL!J69</f>
        <v>-13890</v>
      </c>
      <c r="K29" s="57" t="n">
        <f aca="false">Channel_PL!K69</f>
        <v>-12615</v>
      </c>
      <c r="L29" s="57" t="n">
        <f aca="false">Channel_PL!L69</f>
        <v>-11563</v>
      </c>
      <c r="M29" s="57" t="n">
        <f aca="false">Channel_PL!M69</f>
        <v>-13905.0040575476</v>
      </c>
      <c r="N29" s="57" t="n">
        <f aca="false">Channel_PL!N69</f>
        <v>-16084.397339518</v>
      </c>
      <c r="O29" s="57" t="n">
        <f aca="false">Channel_PL!O69</f>
        <v>-23200.3588584162</v>
      </c>
      <c r="P29" s="57" t="n">
        <f aca="false">Channel_PL!P69</f>
        <v>-20718.9406845304</v>
      </c>
      <c r="Q29" s="57" t="n">
        <f aca="false">Channel_PL!Q69</f>
        <v>-13201.9400729891</v>
      </c>
      <c r="R29" s="57" t="n">
        <f aca="false">Channel_PL!R69</f>
        <v>-12556.8335647839</v>
      </c>
      <c r="S29" s="57" t="n">
        <f aca="false">Channel_PL!S69</f>
        <v>-14443.8678219017</v>
      </c>
      <c r="T29" s="57" t="n">
        <f aca="false">Channel_PL!T69</f>
        <v>-15260.7117638948</v>
      </c>
      <c r="U29" s="57" t="n">
        <f aca="false">Channel_PL!U69</f>
        <v>-16442.5345071202</v>
      </c>
      <c r="V29" s="57" t="n">
        <f aca="false">Channel_PL!V69</f>
        <v>-16297.3554102155</v>
      </c>
      <c r="W29" s="57" t="n">
        <f aca="false">Channel_PL!W69</f>
        <v>-15786.5375133484</v>
      </c>
      <c r="X29" s="57" t="n">
        <f aca="false">Channel_PL!X69</f>
        <v>-15782.576161797</v>
      </c>
      <c r="Y29" s="57" t="n">
        <f aca="false">Channel_PL!Y69</f>
        <v>-18154.3732975342</v>
      </c>
      <c r="Z29" s="57" t="n">
        <f aca="false">Channel_PL!Z69</f>
        <v>-20999.7891664746</v>
      </c>
      <c r="AA29" s="57" t="n">
        <f aca="false">Channel_PL!AA69</f>
        <v>-30290.3885255482</v>
      </c>
      <c r="AB29" s="57" t="n">
        <f aca="false">Channel_PL!AB69</f>
        <v>-27050.6489577229</v>
      </c>
    </row>
    <row r="30" customFormat="false" ht="15" hidden="false" customHeight="true" outlineLevel="0" collapsed="false">
      <c r="A30" s="28" t="s">
        <v>328</v>
      </c>
      <c r="B30" s="55"/>
      <c r="C30" s="56" t="n">
        <f aca="false">SUM(E30:P30)</f>
        <v>-61753.8527879694</v>
      </c>
      <c r="D30" s="56" t="n">
        <f aca="false">SUM(Q30:AB30)</f>
        <v>-110114.434610789</v>
      </c>
      <c r="E30" s="57" t="n">
        <f aca="false">Channel_PL!E102</f>
        <v>-2056.94980694981</v>
      </c>
      <c r="F30" s="57" t="n">
        <f aca="false">Channel_PL!F102</f>
        <v>-2387.12776176753</v>
      </c>
      <c r="G30" s="57" t="n">
        <f aca="false">Channel_PL!G102</f>
        <v>-3217.68060836502</v>
      </c>
      <c r="H30" s="57" t="n">
        <f aca="false">Channel_PL!H102</f>
        <v>-3833.0241187384</v>
      </c>
      <c r="I30" s="57" t="n">
        <f aca="false">Channel_PL!I102</f>
        <v>-4101.46252285192</v>
      </c>
      <c r="J30" s="57" t="n">
        <f aca="false">Channel_PL!J102</f>
        <v>-5045.12635379061</v>
      </c>
      <c r="K30" s="57" t="n">
        <f aca="false">Channel_PL!K102</f>
        <v>-4421.05263157895</v>
      </c>
      <c r="L30" s="57" t="n">
        <f aca="false">Channel_PL!L102</f>
        <v>-6129.03225806452</v>
      </c>
      <c r="M30" s="57" t="n">
        <f aca="false">Channel_PL!M102</f>
        <v>-5523.36666313089</v>
      </c>
      <c r="N30" s="57" t="n">
        <f aca="false">Channel_PL!N102</f>
        <v>-6541.95361098985</v>
      </c>
      <c r="O30" s="57" t="n">
        <f aca="false">Channel_PL!O102</f>
        <v>-9662.00554213999</v>
      </c>
      <c r="P30" s="57" t="n">
        <f aca="false">Channel_PL!P102</f>
        <v>-8835.07090960195</v>
      </c>
      <c r="Q30" s="57" t="n">
        <f aca="false">Channel_PL!Q102</f>
        <v>-5764.347605904</v>
      </c>
      <c r="R30" s="57" t="n">
        <f aca="false">Channel_PL!R102</f>
        <v>-5613.87134560798</v>
      </c>
      <c r="S30" s="57" t="n">
        <f aca="false">Channel_PL!S102</f>
        <v>-6612.04401313007</v>
      </c>
      <c r="T30" s="57" t="n">
        <f aca="false">Channel_PL!T102</f>
        <v>-7153.14341944406</v>
      </c>
      <c r="U30" s="57" t="n">
        <f aca="false">Channel_PL!U102</f>
        <v>-7891.52283566448</v>
      </c>
      <c r="V30" s="57" t="n">
        <f aca="false">Channel_PL!V102</f>
        <v>-8009.01496089155</v>
      </c>
      <c r="W30" s="57" t="n">
        <f aca="false">Channel_PL!W102</f>
        <v>-7943.62560174598</v>
      </c>
      <c r="X30" s="57" t="n">
        <f aca="false">Channel_PL!X102</f>
        <v>-8131.66890575473</v>
      </c>
      <c r="Y30" s="57" t="n">
        <f aca="false">Channel_PL!Y102</f>
        <v>-9577.51779386896</v>
      </c>
      <c r="Z30" s="57" t="n">
        <f aca="false">Channel_PL!Z102</f>
        <v>-11343.7475614564</v>
      </c>
      <c r="AA30" s="57" t="n">
        <f aca="false">Channel_PL!AA102</f>
        <v>-16753.9176100707</v>
      </c>
      <c r="AB30" s="57" t="n">
        <f aca="false">Channel_PL!AB102</f>
        <v>-15320.0129572498</v>
      </c>
    </row>
    <row r="31" customFormat="false" ht="15" hidden="false" customHeight="true" outlineLevel="0" collapsed="false">
      <c r="A31" s="28" t="s">
        <v>329</v>
      </c>
      <c r="B31" s="55"/>
      <c r="C31" s="56" t="n">
        <f aca="false">SUM(E31:P31)</f>
        <v>-608364.551598637</v>
      </c>
      <c r="D31" s="56" t="n">
        <f aca="false">SUM(Q31:AB31)</f>
        <v>-786835.42454957</v>
      </c>
      <c r="E31" s="69" t="n">
        <f aca="false">E28+E29+E30</f>
        <v>-34434.9498069498</v>
      </c>
      <c r="F31" s="69" t="n">
        <f aca="false">F28+F29+F30</f>
        <v>-34265.1277617675</v>
      </c>
      <c r="G31" s="69" t="n">
        <f aca="false">G28+G29+G30</f>
        <v>-42196.680608365</v>
      </c>
      <c r="H31" s="69" t="n">
        <f aca="false">H28+H29+H30</f>
        <v>-42606.0241187384</v>
      </c>
      <c r="I31" s="69" t="n">
        <f aca="false">I28+I29+I30</f>
        <v>-48782.4625228519</v>
      </c>
      <c r="J31" s="69" t="n">
        <f aca="false">J28+J29+J30</f>
        <v>-47673.1263537906</v>
      </c>
      <c r="K31" s="69" t="n">
        <f aca="false">K28+K29+K30</f>
        <v>-45066.052631579</v>
      </c>
      <c r="L31" s="69" t="n">
        <f aca="false">L28+L29+L30</f>
        <v>-46956.0322580645</v>
      </c>
      <c r="M31" s="69" t="n">
        <f aca="false">M28+M29+M30</f>
        <v>-50060.097009229</v>
      </c>
      <c r="N31" s="69" t="n">
        <f aca="false">N28+N29+N30</f>
        <v>-57942.3830657756</v>
      </c>
      <c r="O31" s="69" t="n">
        <f aca="false">O28+O29+O30</f>
        <v>-83634.8803056037</v>
      </c>
      <c r="P31" s="69" t="n">
        <f aca="false">P28+P29+P30</f>
        <v>-74746.7351559215</v>
      </c>
      <c r="Q31" s="69" t="n">
        <f aca="false">Q28+Q29+Q30</f>
        <v>-47667.8690281832</v>
      </c>
      <c r="R31" s="69" t="n">
        <f aca="false">R28+R29+R30</f>
        <v>-45379.8828281956</v>
      </c>
      <c r="S31" s="69" t="n">
        <f aca="false">S28+S29+S30</f>
        <v>-52250.9927058451</v>
      </c>
      <c r="T31" s="69" t="n">
        <f aca="false">T28+T29+T30</f>
        <v>-55264.5713013132</v>
      </c>
      <c r="U31" s="69" t="n">
        <f aca="false">U28+U29+U30</f>
        <v>-59612.2532634641</v>
      </c>
      <c r="V31" s="69" t="n">
        <f aca="false">V28+V29+V30</f>
        <v>-59157.9453940256</v>
      </c>
      <c r="W31" s="69" t="n">
        <f aca="false">W28+W29+W30</f>
        <v>-57378.2160560338</v>
      </c>
      <c r="X31" s="69" t="n">
        <f aca="false">X28+X29+X30</f>
        <v>-57443.109015583</v>
      </c>
      <c r="Y31" s="69" t="n">
        <f aca="false">Y28+Y29+Y30</f>
        <v>-66172.4957448748</v>
      </c>
      <c r="Z31" s="69" t="n">
        <f aca="false">Z28+Z29+Z30</f>
        <v>-76662.7456187416</v>
      </c>
      <c r="AA31" s="69" t="n">
        <f aca="false">AA28+AA29+AA30</f>
        <v>-110760.545708337</v>
      </c>
      <c r="AB31" s="69" t="n">
        <f aca="false">AB28+AB29+AB30</f>
        <v>-99084.7978849723</v>
      </c>
    </row>
    <row r="32" customFormat="false" ht="15" hidden="false" customHeight="true" outlineLevel="0" collapsed="false">
      <c r="A32" s="70" t="s">
        <v>330</v>
      </c>
      <c r="B32" s="71"/>
      <c r="C32" s="72" t="n">
        <f aca="false">SUM(E32:P32)</f>
        <v>1110164.27479964</v>
      </c>
      <c r="D32" s="72" t="n">
        <f aca="false">SUM(Q32:AB32)</f>
        <v>1394043.48508716</v>
      </c>
      <c r="E32" s="72" t="n">
        <f aca="false">E25+E31</f>
        <v>78291.3140039683</v>
      </c>
      <c r="F32" s="72" t="n">
        <f aca="false">F25+F31</f>
        <v>64439.021304379</v>
      </c>
      <c r="G32" s="72" t="n">
        <f aca="false">G25+G31</f>
        <v>78601.327789308</v>
      </c>
      <c r="H32" s="72" t="n">
        <f aca="false">H25+H31</f>
        <v>90778.6933694998</v>
      </c>
      <c r="I32" s="72" t="n">
        <f aca="false">I25+I31</f>
        <v>102360.489675344</v>
      </c>
      <c r="J32" s="72" t="n">
        <f aca="false">J25+J31</f>
        <v>78331.2033630739</v>
      </c>
      <c r="K32" s="72" t="n">
        <f aca="false">K25+K31</f>
        <v>83176.4612585895</v>
      </c>
      <c r="L32" s="72" t="n">
        <f aca="false">L25+L31</f>
        <v>71277.9142288295</v>
      </c>
      <c r="M32" s="72" t="n">
        <f aca="false">M25+M31</f>
        <v>91576.3925796253</v>
      </c>
      <c r="N32" s="72" t="n">
        <f aca="false">N25+N31</f>
        <v>94998.377010126</v>
      </c>
      <c r="O32" s="72" t="n">
        <f aca="false">O25+O31</f>
        <v>144090.686236655</v>
      </c>
      <c r="P32" s="72" t="n">
        <f aca="false">P25+P31</f>
        <v>132242.393980245</v>
      </c>
      <c r="Q32" s="72" t="n">
        <f aca="false">Q25+Q31</f>
        <v>92507.6582217306</v>
      </c>
      <c r="R32" s="72" t="n">
        <f aca="false">R25+R31</f>
        <v>80751.8590634182</v>
      </c>
      <c r="S32" s="72" t="n">
        <f aca="false">S25+S31</f>
        <v>93307.6372626816</v>
      </c>
      <c r="T32" s="72" t="n">
        <f aca="false">T25+T31</f>
        <v>98054.1703856857</v>
      </c>
      <c r="U32" s="72" t="n">
        <f aca="false">U25+U31</f>
        <v>106570.848738384</v>
      </c>
      <c r="V32" s="72" t="n">
        <f aca="false">V25+V31</f>
        <v>106097.335966321</v>
      </c>
      <c r="W32" s="72" t="n">
        <f aca="false">W25+W31</f>
        <v>104364.390467901</v>
      </c>
      <c r="X32" s="72" t="n">
        <f aca="false">X25+X31</f>
        <v>103558.678223942</v>
      </c>
      <c r="Y32" s="72" t="n">
        <f aca="false">Y25+Y31</f>
        <v>116517.412013603</v>
      </c>
      <c r="Z32" s="72" t="n">
        <f aca="false">Z25+Z31</f>
        <v>131583.068719093</v>
      </c>
      <c r="AA32" s="72" t="n">
        <f aca="false">AA25+AA31</f>
        <v>183421.124601905</v>
      </c>
      <c r="AB32" s="72" t="n">
        <f aca="false">AB25+AB31</f>
        <v>177309.301422494</v>
      </c>
    </row>
    <row r="33" customFormat="false" ht="15" hidden="false" customHeight="true" outlineLevel="0" collapsed="false">
      <c r="A33" s="28" t="s">
        <v>271</v>
      </c>
      <c r="B33" s="55"/>
      <c r="C33" s="59" t="n">
        <f aca="false">IF(C14=0,0,C32/C14)</f>
        <v>0.257547591315121</v>
      </c>
      <c r="D33" s="59" t="n">
        <f aca="false">IF(D14=0,0,D32/D14)</f>
        <v>0.248466081645194</v>
      </c>
      <c r="E33" s="58" t="n">
        <f aca="false">IF(E14=0,0,E32/E14)</f>
        <v>0.282044598795551</v>
      </c>
      <c r="F33" s="58" t="n">
        <f aca="false">IF(F14=0,0,F32/F14)</f>
        <v>0.257160720185118</v>
      </c>
      <c r="G33" s="58" t="n">
        <f aca="false">IF(G14=0,0,G32/G14)</f>
        <v>0.267436249671421</v>
      </c>
      <c r="H33" s="58" t="n">
        <f aca="false">IF(H14=0,0,H32/H14)</f>
        <v>0.292711562433492</v>
      </c>
      <c r="I33" s="58" t="n">
        <f aca="false">IF(I14=0,0,I32/I14)</f>
        <v>0.294160979037681</v>
      </c>
      <c r="J33" s="58" t="n">
        <f aca="false">IF(J14=0,0,J32/J14)</f>
        <v>0.236181562957083</v>
      </c>
      <c r="K33" s="58" t="n">
        <f aca="false">IF(K14=0,0,K32/K14)</f>
        <v>0.269804869544231</v>
      </c>
      <c r="L33" s="58" t="n">
        <f aca="false">IF(L14=0,0,L32/L14)</f>
        <v>0.227868761387728</v>
      </c>
      <c r="M33" s="58" t="n">
        <f aca="false">IF(M14=0,0,M32/M14)</f>
        <v>0.259836395664462</v>
      </c>
      <c r="N33" s="58" t="n">
        <f aca="false">IF(N14=0,0,N32/N14)</f>
        <v>0.232802876587328</v>
      </c>
      <c r="O33" s="58" t="n">
        <f aca="false">IF(O14=0,0,O32/O14)</f>
        <v>0.246507966213648</v>
      </c>
      <c r="P33" s="58" t="n">
        <f aca="false">IF(P14=0,0,P32/P14)</f>
        <v>0.248308420238464</v>
      </c>
      <c r="Q33" s="58" t="n">
        <f aca="false">IF(Q14=0,0,Q32/Q14)</f>
        <v>0.268068306702481</v>
      </c>
      <c r="R33" s="58" t="n">
        <f aca="false">IF(R14=0,0,R32/R14)</f>
        <v>0.251196216991284</v>
      </c>
      <c r="S33" s="58" t="n">
        <f aca="false">IF(S14=0,0,S32/S14)</f>
        <v>0.251656106039201</v>
      </c>
      <c r="T33" s="58" t="n">
        <f aca="false">IF(T14=0,0,T32/T14)</f>
        <v>0.250236046300458</v>
      </c>
      <c r="U33" s="58" t="n">
        <f aca="false">IF(U14=0,0,U32/U14)</f>
        <v>0.251447951078949</v>
      </c>
      <c r="V33" s="58" t="n">
        <f aca="false">IF(V14=0,0,V32/V14)</f>
        <v>0.251838371951545</v>
      </c>
      <c r="W33" s="58" t="n">
        <f aca="false">IF(W14=0,0,W32/W14)</f>
        <v>0.254284590940855</v>
      </c>
      <c r="X33" s="58" t="n">
        <f aca="false">IF(X14=0,0,X32/X14)</f>
        <v>0.252387554021927</v>
      </c>
      <c r="Y33" s="58" t="n">
        <f aca="false">IF(Y14=0,0,Y32/Y14)</f>
        <v>0.247750250706866</v>
      </c>
      <c r="Z33" s="58" t="n">
        <f aca="false">IF(Z14=0,0,Z32/Z14)</f>
        <v>0.240728485573046</v>
      </c>
      <c r="AA33" s="58" t="n">
        <f aca="false">IF(AA14=0,0,AA32/AA14)</f>
        <v>0.234040822837849</v>
      </c>
      <c r="AB33" s="58" t="n">
        <f aca="false">IF(AB14=0,0,AB32/AB14)</f>
        <v>0.248006185461393</v>
      </c>
    </row>
    <row r="34" customFormat="false" ht="15" hidden="false" customHeight="true" outlineLevel="0" collapsed="false">
      <c r="A34" s="22" t="s">
        <v>331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row>
    <row r="35" customFormat="false" ht="15" hidden="false" customHeight="true" outlineLevel="0" collapsed="false">
      <c r="A35" s="28" t="s">
        <v>332</v>
      </c>
      <c r="B35" s="55" t="s">
        <v>62</v>
      </c>
      <c r="C35" s="56" t="n">
        <f aca="false">SUM(E35:P35)</f>
        <v>-581000</v>
      </c>
      <c r="D35" s="56" t="n">
        <f aca="false">SUM(Q35:AB35)</f>
        <v>-740570</v>
      </c>
      <c r="E35" s="57" t="n">
        <f aca="false">-Opex!E38</f>
        <v>-43800</v>
      </c>
      <c r="F35" s="57" t="n">
        <f aca="false">-Opex!F38</f>
        <v>-43900</v>
      </c>
      <c r="G35" s="57" t="n">
        <f aca="false">-Opex!G38</f>
        <v>-44100</v>
      </c>
      <c r="H35" s="57" t="n">
        <f aca="false">-Opex!H38</f>
        <v>-47200</v>
      </c>
      <c r="I35" s="57" t="n">
        <f aca="false">-Opex!I38</f>
        <v>-47300</v>
      </c>
      <c r="J35" s="57" t="n">
        <f aca="false">-Opex!J38</f>
        <v>-47600</v>
      </c>
      <c r="K35" s="57" t="n">
        <f aca="false">-Opex!K38</f>
        <v>-47500</v>
      </c>
      <c r="L35" s="57" t="n">
        <f aca="false">-Opex!L38</f>
        <v>-47900</v>
      </c>
      <c r="M35" s="57" t="n">
        <f aca="false">-Opex!M38</f>
        <v>-48800</v>
      </c>
      <c r="N35" s="57" t="n">
        <f aca="false">-Opex!N38</f>
        <v>-51500</v>
      </c>
      <c r="O35" s="57" t="n">
        <f aca="false">-Opex!O38</f>
        <v>-55700</v>
      </c>
      <c r="P35" s="57" t="n">
        <f aca="false">-Opex!P38</f>
        <v>-55700</v>
      </c>
      <c r="Q35" s="57" t="n">
        <f aca="false">-Opex!Q38</f>
        <v>-57371</v>
      </c>
      <c r="R35" s="57" t="n">
        <f aca="false">-Opex!R38</f>
        <v>-62109</v>
      </c>
      <c r="S35" s="57" t="n">
        <f aca="false">-Opex!S38</f>
        <v>-62109</v>
      </c>
      <c r="T35" s="57" t="n">
        <f aca="false">-Opex!T38</f>
        <v>-62109</v>
      </c>
      <c r="U35" s="57" t="n">
        <f aca="false">-Opex!U38</f>
        <v>-62109</v>
      </c>
      <c r="V35" s="57" t="n">
        <f aca="false">-Opex!V38</f>
        <v>-62109</v>
      </c>
      <c r="W35" s="57" t="n">
        <f aca="false">-Opex!W38</f>
        <v>-62109</v>
      </c>
      <c r="X35" s="57" t="n">
        <f aca="false">-Opex!X38</f>
        <v>-62109</v>
      </c>
      <c r="Y35" s="57" t="n">
        <f aca="false">-Opex!Y38</f>
        <v>-62109</v>
      </c>
      <c r="Z35" s="57" t="n">
        <f aca="false">-Opex!Z38</f>
        <v>-62109</v>
      </c>
      <c r="AA35" s="57" t="n">
        <f aca="false">-Opex!AA38</f>
        <v>-62109</v>
      </c>
      <c r="AB35" s="57" t="n">
        <f aca="false">-Opex!AB38</f>
        <v>-62109</v>
      </c>
    </row>
    <row r="36" customFormat="false" ht="15" hidden="false" customHeight="true" outlineLevel="0" collapsed="false">
      <c r="A36" s="28" t="s">
        <v>333</v>
      </c>
      <c r="B36" s="55" t="s">
        <v>62</v>
      </c>
      <c r="C36" s="56" t="n">
        <f aca="false">SUM(E36:P36)</f>
        <v>-58779</v>
      </c>
      <c r="D36" s="56" t="n">
        <f aca="false">SUM(Q36:AB36)</f>
        <v>-59328</v>
      </c>
      <c r="E36" s="57" t="n">
        <f aca="false">-Opex!E39</f>
        <v>-5056</v>
      </c>
      <c r="F36" s="57" t="n">
        <f aca="false">-Opex!F39</f>
        <v>-4877</v>
      </c>
      <c r="G36" s="57" t="n">
        <f aca="false">-Opex!G39</f>
        <v>-4502</v>
      </c>
      <c r="H36" s="57" t="n">
        <f aca="false">-Opex!H39</f>
        <v>-4495</v>
      </c>
      <c r="I36" s="57" t="n">
        <f aca="false">-Opex!I39</f>
        <v>-4172</v>
      </c>
      <c r="J36" s="57" t="n">
        <f aca="false">-Opex!J39</f>
        <v>-6301</v>
      </c>
      <c r="K36" s="57" t="n">
        <f aca="false">-Opex!K39</f>
        <v>-5372</v>
      </c>
      <c r="L36" s="57" t="n">
        <f aca="false">-Opex!L39</f>
        <v>-4804</v>
      </c>
      <c r="M36" s="57" t="n">
        <f aca="false">-Opex!M39</f>
        <v>-4800</v>
      </c>
      <c r="N36" s="57" t="n">
        <f aca="false">-Opex!N39</f>
        <v>-4800</v>
      </c>
      <c r="O36" s="57" t="n">
        <f aca="false">-Opex!O39</f>
        <v>-4800</v>
      </c>
      <c r="P36" s="57" t="n">
        <f aca="false">-Opex!P39</f>
        <v>-4800</v>
      </c>
      <c r="Q36" s="57" t="n">
        <f aca="false">-Opex!Q39</f>
        <v>-4944</v>
      </c>
      <c r="R36" s="57" t="n">
        <f aca="false">-Opex!R39</f>
        <v>-4944</v>
      </c>
      <c r="S36" s="57" t="n">
        <f aca="false">-Opex!S39</f>
        <v>-4944</v>
      </c>
      <c r="T36" s="57" t="n">
        <f aca="false">-Opex!T39</f>
        <v>-4944</v>
      </c>
      <c r="U36" s="57" t="n">
        <f aca="false">-Opex!U39</f>
        <v>-4944</v>
      </c>
      <c r="V36" s="57" t="n">
        <f aca="false">-Opex!V39</f>
        <v>-4944</v>
      </c>
      <c r="W36" s="57" t="n">
        <f aca="false">-Opex!W39</f>
        <v>-4944</v>
      </c>
      <c r="X36" s="57" t="n">
        <f aca="false">-Opex!X39</f>
        <v>-4944</v>
      </c>
      <c r="Y36" s="57" t="n">
        <f aca="false">-Opex!Y39</f>
        <v>-4944</v>
      </c>
      <c r="Z36" s="57" t="n">
        <f aca="false">-Opex!Z39</f>
        <v>-4944</v>
      </c>
      <c r="AA36" s="57" t="n">
        <f aca="false">-Opex!AA39</f>
        <v>-4944</v>
      </c>
      <c r="AB36" s="57" t="n">
        <f aca="false">-Opex!AB39</f>
        <v>-4944</v>
      </c>
    </row>
    <row r="37" customFormat="false" ht="15" hidden="false" customHeight="true" outlineLevel="0" collapsed="false">
      <c r="A37" s="28" t="s">
        <v>334</v>
      </c>
      <c r="B37" s="55" t="s">
        <v>62</v>
      </c>
      <c r="C37" s="56" t="n">
        <f aca="false">SUM(E37:P37)</f>
        <v>-57600</v>
      </c>
      <c r="D37" s="56" t="n">
        <f aca="false">SUM(Q37:AB37)</f>
        <v>-59328</v>
      </c>
      <c r="E37" s="57" t="n">
        <f aca="false">-Opex!E40</f>
        <v>-4800</v>
      </c>
      <c r="F37" s="57" t="n">
        <f aca="false">-Opex!F40</f>
        <v>-4800</v>
      </c>
      <c r="G37" s="57" t="n">
        <f aca="false">-Opex!G40</f>
        <v>-4800</v>
      </c>
      <c r="H37" s="57" t="n">
        <f aca="false">-Opex!H40</f>
        <v>-4800</v>
      </c>
      <c r="I37" s="57" t="n">
        <f aca="false">-Opex!I40</f>
        <v>-4800</v>
      </c>
      <c r="J37" s="57" t="n">
        <f aca="false">-Opex!J40</f>
        <v>-4800</v>
      </c>
      <c r="K37" s="57" t="n">
        <f aca="false">-Opex!K40</f>
        <v>-4800</v>
      </c>
      <c r="L37" s="57" t="n">
        <f aca="false">-Opex!L40</f>
        <v>-4800</v>
      </c>
      <c r="M37" s="57" t="n">
        <f aca="false">-Opex!M40</f>
        <v>-4800</v>
      </c>
      <c r="N37" s="57" t="n">
        <f aca="false">-Opex!N40</f>
        <v>-4800</v>
      </c>
      <c r="O37" s="57" t="n">
        <f aca="false">-Opex!O40</f>
        <v>-4800</v>
      </c>
      <c r="P37" s="57" t="n">
        <f aca="false">-Opex!P40</f>
        <v>-4800</v>
      </c>
      <c r="Q37" s="57" t="n">
        <f aca="false">-Opex!Q40</f>
        <v>-4944</v>
      </c>
      <c r="R37" s="57" t="n">
        <f aca="false">-Opex!R40</f>
        <v>-4944</v>
      </c>
      <c r="S37" s="57" t="n">
        <f aca="false">-Opex!S40</f>
        <v>-4944</v>
      </c>
      <c r="T37" s="57" t="n">
        <f aca="false">-Opex!T40</f>
        <v>-4944</v>
      </c>
      <c r="U37" s="57" t="n">
        <f aca="false">-Opex!U40</f>
        <v>-4944</v>
      </c>
      <c r="V37" s="57" t="n">
        <f aca="false">-Opex!V40</f>
        <v>-4944</v>
      </c>
      <c r="W37" s="57" t="n">
        <f aca="false">-Opex!W40</f>
        <v>-4944</v>
      </c>
      <c r="X37" s="57" t="n">
        <f aca="false">-Opex!X40</f>
        <v>-4944</v>
      </c>
      <c r="Y37" s="57" t="n">
        <f aca="false">-Opex!Y40</f>
        <v>-4944</v>
      </c>
      <c r="Z37" s="57" t="n">
        <f aca="false">-Opex!Z40</f>
        <v>-4944</v>
      </c>
      <c r="AA37" s="57" t="n">
        <f aca="false">-Opex!AA40</f>
        <v>-4944</v>
      </c>
      <c r="AB37" s="57" t="n">
        <f aca="false">-Opex!AB40</f>
        <v>-4944</v>
      </c>
    </row>
    <row r="38" customFormat="false" ht="15" hidden="false" customHeight="true" outlineLevel="0" collapsed="false">
      <c r="A38" s="28" t="s">
        <v>335</v>
      </c>
      <c r="B38" s="55" t="s">
        <v>62</v>
      </c>
      <c r="C38" s="56" t="n">
        <f aca="false">SUM(E38:P38)</f>
        <v>-51204</v>
      </c>
      <c r="D38" s="56" t="n">
        <f aca="false">SUM(Q38:AB38)</f>
        <v>-53148</v>
      </c>
      <c r="E38" s="57" t="n">
        <f aca="false">-Opex!E41</f>
        <v>-4056</v>
      </c>
      <c r="F38" s="57" t="n">
        <f aca="false">-Opex!F41</f>
        <v>-4090</v>
      </c>
      <c r="G38" s="57" t="n">
        <f aca="false">-Opex!G41</f>
        <v>-4102</v>
      </c>
      <c r="H38" s="57" t="n">
        <f aca="false">-Opex!H41</f>
        <v>-4171</v>
      </c>
      <c r="I38" s="57" t="n">
        <f aca="false">-Opex!I41</f>
        <v>-4253</v>
      </c>
      <c r="J38" s="57" t="n">
        <f aca="false">-Opex!J41</f>
        <v>-4383</v>
      </c>
      <c r="K38" s="57" t="n">
        <f aca="false">-Opex!K41</f>
        <v>-4437</v>
      </c>
      <c r="L38" s="57" t="n">
        <f aca="false">-Opex!L41</f>
        <v>-4512</v>
      </c>
      <c r="M38" s="57" t="n">
        <f aca="false">-Opex!M41</f>
        <v>-4300</v>
      </c>
      <c r="N38" s="57" t="n">
        <f aca="false">-Opex!N41</f>
        <v>-4300</v>
      </c>
      <c r="O38" s="57" t="n">
        <f aca="false">-Opex!O41</f>
        <v>-4300</v>
      </c>
      <c r="P38" s="57" t="n">
        <f aca="false">-Opex!P41</f>
        <v>-4300</v>
      </c>
      <c r="Q38" s="57" t="n">
        <f aca="false">-Opex!Q41</f>
        <v>-4429</v>
      </c>
      <c r="R38" s="57" t="n">
        <f aca="false">-Opex!R41</f>
        <v>-4429</v>
      </c>
      <c r="S38" s="57" t="n">
        <f aca="false">-Opex!S41</f>
        <v>-4429</v>
      </c>
      <c r="T38" s="57" t="n">
        <f aca="false">-Opex!T41</f>
        <v>-4429</v>
      </c>
      <c r="U38" s="57" t="n">
        <f aca="false">-Opex!U41</f>
        <v>-4429</v>
      </c>
      <c r="V38" s="57" t="n">
        <f aca="false">-Opex!V41</f>
        <v>-4429</v>
      </c>
      <c r="W38" s="57" t="n">
        <f aca="false">-Opex!W41</f>
        <v>-4429</v>
      </c>
      <c r="X38" s="57" t="n">
        <f aca="false">-Opex!X41</f>
        <v>-4429</v>
      </c>
      <c r="Y38" s="57" t="n">
        <f aca="false">-Opex!Y41</f>
        <v>-4429</v>
      </c>
      <c r="Z38" s="57" t="n">
        <f aca="false">-Opex!Z41</f>
        <v>-4429</v>
      </c>
      <c r="AA38" s="57" t="n">
        <f aca="false">-Opex!AA41</f>
        <v>-4429</v>
      </c>
      <c r="AB38" s="57" t="n">
        <f aca="false">-Opex!AB41</f>
        <v>-4429</v>
      </c>
    </row>
    <row r="39" customFormat="false" ht="15" hidden="false" customHeight="true" outlineLevel="0" collapsed="false">
      <c r="A39" s="28" t="s">
        <v>336</v>
      </c>
      <c r="B39" s="55" t="s">
        <v>62</v>
      </c>
      <c r="C39" s="56" t="n">
        <f aca="false">SUM(E39:P39)</f>
        <v>-38470</v>
      </c>
      <c r="D39" s="56" t="n">
        <f aca="false">SUM(Q39:AB39)</f>
        <v>-39552</v>
      </c>
      <c r="E39" s="57" t="n">
        <f aca="false">-Opex!E42</f>
        <v>-3410</v>
      </c>
      <c r="F39" s="57" t="n">
        <f aca="false">-Opex!F42</f>
        <v>-3074</v>
      </c>
      <c r="G39" s="57" t="n">
        <f aca="false">-Opex!G42</f>
        <v>-3178</v>
      </c>
      <c r="H39" s="57" t="n">
        <f aca="false">-Opex!H42</f>
        <v>-3262</v>
      </c>
      <c r="I39" s="57" t="n">
        <f aca="false">-Opex!I42</f>
        <v>-3267</v>
      </c>
      <c r="J39" s="57" t="n">
        <f aca="false">-Opex!J42</f>
        <v>-2986</v>
      </c>
      <c r="K39" s="57" t="n">
        <f aca="false">-Opex!K42</f>
        <v>-3135</v>
      </c>
      <c r="L39" s="57" t="n">
        <f aca="false">-Opex!L42</f>
        <v>-3358</v>
      </c>
      <c r="M39" s="57" t="n">
        <f aca="false">-Opex!M42</f>
        <v>-3200</v>
      </c>
      <c r="N39" s="57" t="n">
        <f aca="false">-Opex!N42</f>
        <v>-3200</v>
      </c>
      <c r="O39" s="57" t="n">
        <f aca="false">-Opex!O42</f>
        <v>-3200</v>
      </c>
      <c r="P39" s="57" t="n">
        <f aca="false">-Opex!P42</f>
        <v>-3200</v>
      </c>
      <c r="Q39" s="57" t="n">
        <f aca="false">-Opex!Q42</f>
        <v>-3296</v>
      </c>
      <c r="R39" s="57" t="n">
        <f aca="false">-Opex!R42</f>
        <v>-3296</v>
      </c>
      <c r="S39" s="57" t="n">
        <f aca="false">-Opex!S42</f>
        <v>-3296</v>
      </c>
      <c r="T39" s="57" t="n">
        <f aca="false">-Opex!T42</f>
        <v>-3296</v>
      </c>
      <c r="U39" s="57" t="n">
        <f aca="false">-Opex!U42</f>
        <v>-3296</v>
      </c>
      <c r="V39" s="57" t="n">
        <f aca="false">-Opex!V42</f>
        <v>-3296</v>
      </c>
      <c r="W39" s="57" t="n">
        <f aca="false">-Opex!W42</f>
        <v>-3296</v>
      </c>
      <c r="X39" s="57" t="n">
        <f aca="false">-Opex!X42</f>
        <v>-3296</v>
      </c>
      <c r="Y39" s="57" t="n">
        <f aca="false">-Opex!Y42</f>
        <v>-3296</v>
      </c>
      <c r="Z39" s="57" t="n">
        <f aca="false">-Opex!Z42</f>
        <v>-3296</v>
      </c>
      <c r="AA39" s="57" t="n">
        <f aca="false">-Opex!AA42</f>
        <v>-3296</v>
      </c>
      <c r="AB39" s="57" t="n">
        <f aca="false">-Opex!AB42</f>
        <v>-3296</v>
      </c>
    </row>
    <row r="40" customFormat="false" ht="15" hidden="false" customHeight="true" outlineLevel="0" collapsed="false">
      <c r="A40" s="28" t="s">
        <v>337</v>
      </c>
      <c r="B40" s="55" t="s">
        <v>62</v>
      </c>
      <c r="C40" s="56" t="n">
        <f aca="false">SUM(E40:P40)</f>
        <v>-13800</v>
      </c>
      <c r="D40" s="56" t="n">
        <f aca="false">SUM(Q40:AB40)</f>
        <v>-14214</v>
      </c>
      <c r="E40" s="57" t="n">
        <f aca="false">-Opex!E43</f>
        <v>-1150</v>
      </c>
      <c r="F40" s="57" t="n">
        <f aca="false">-Opex!F43</f>
        <v>-1150</v>
      </c>
      <c r="G40" s="57" t="n">
        <f aca="false">-Opex!G43</f>
        <v>-1150</v>
      </c>
      <c r="H40" s="57" t="n">
        <f aca="false">-Opex!H43</f>
        <v>-1150</v>
      </c>
      <c r="I40" s="57" t="n">
        <f aca="false">-Opex!I43</f>
        <v>-1150</v>
      </c>
      <c r="J40" s="57" t="n">
        <f aca="false">-Opex!J43</f>
        <v>-1150</v>
      </c>
      <c r="K40" s="57" t="n">
        <f aca="false">-Opex!K43</f>
        <v>-1150</v>
      </c>
      <c r="L40" s="57" t="n">
        <f aca="false">-Opex!L43</f>
        <v>-1150</v>
      </c>
      <c r="M40" s="57" t="n">
        <f aca="false">-Opex!M43</f>
        <v>-1150</v>
      </c>
      <c r="N40" s="57" t="n">
        <f aca="false">-Opex!N43</f>
        <v>-1150</v>
      </c>
      <c r="O40" s="57" t="n">
        <f aca="false">-Opex!O43</f>
        <v>-1150</v>
      </c>
      <c r="P40" s="57" t="n">
        <f aca="false">-Opex!P43</f>
        <v>-1150</v>
      </c>
      <c r="Q40" s="57" t="n">
        <f aca="false">-Opex!Q43</f>
        <v>-1184.5</v>
      </c>
      <c r="R40" s="57" t="n">
        <f aca="false">-Opex!R43</f>
        <v>-1184.5</v>
      </c>
      <c r="S40" s="57" t="n">
        <f aca="false">-Opex!S43</f>
        <v>-1184.5</v>
      </c>
      <c r="T40" s="57" t="n">
        <f aca="false">-Opex!T43</f>
        <v>-1184.5</v>
      </c>
      <c r="U40" s="57" t="n">
        <f aca="false">-Opex!U43</f>
        <v>-1184.5</v>
      </c>
      <c r="V40" s="57" t="n">
        <f aca="false">-Opex!V43</f>
        <v>-1184.5</v>
      </c>
      <c r="W40" s="57" t="n">
        <f aca="false">-Opex!W43</f>
        <v>-1184.5</v>
      </c>
      <c r="X40" s="57" t="n">
        <f aca="false">-Opex!X43</f>
        <v>-1184.5</v>
      </c>
      <c r="Y40" s="57" t="n">
        <f aca="false">-Opex!Y43</f>
        <v>-1184.5</v>
      </c>
      <c r="Z40" s="57" t="n">
        <f aca="false">-Opex!Z43</f>
        <v>-1184.5</v>
      </c>
      <c r="AA40" s="57" t="n">
        <f aca="false">-Opex!AA43</f>
        <v>-1184.5</v>
      </c>
      <c r="AB40" s="57" t="n">
        <f aca="false">-Opex!AB43</f>
        <v>-1184.5</v>
      </c>
    </row>
    <row r="41" customFormat="false" ht="15" hidden="false" customHeight="true" outlineLevel="0" collapsed="false">
      <c r="A41" s="28" t="s">
        <v>338</v>
      </c>
      <c r="B41" s="55" t="s">
        <v>62</v>
      </c>
      <c r="C41" s="56" t="n">
        <f aca="false">SUM(E41:P41)</f>
        <v>-16008</v>
      </c>
      <c r="D41" s="56" t="n">
        <f aca="false">SUM(Q41:AB41)</f>
        <v>-17304</v>
      </c>
      <c r="E41" s="57" t="n">
        <f aca="false">-Opex!E44</f>
        <v>-1765</v>
      </c>
      <c r="F41" s="57" t="n">
        <f aca="false">-Opex!F44</f>
        <v>-1137</v>
      </c>
      <c r="G41" s="57" t="n">
        <f aca="false">-Opex!G44</f>
        <v>-1503</v>
      </c>
      <c r="H41" s="57" t="n">
        <f aca="false">-Opex!H44</f>
        <v>-1091</v>
      </c>
      <c r="I41" s="57" t="n">
        <f aca="false">-Opex!I44</f>
        <v>-942</v>
      </c>
      <c r="J41" s="57" t="n">
        <f aca="false">-Opex!J44</f>
        <v>-1413</v>
      </c>
      <c r="K41" s="57" t="n">
        <f aca="false">-Opex!K44</f>
        <v>-688</v>
      </c>
      <c r="L41" s="57" t="n">
        <f aca="false">-Opex!L44</f>
        <v>-1869</v>
      </c>
      <c r="M41" s="57" t="n">
        <f aca="false">-Opex!M44</f>
        <v>-1400</v>
      </c>
      <c r="N41" s="57" t="n">
        <f aca="false">-Opex!N44</f>
        <v>-1400</v>
      </c>
      <c r="O41" s="57" t="n">
        <f aca="false">-Opex!O44</f>
        <v>-1400</v>
      </c>
      <c r="P41" s="57" t="n">
        <f aca="false">-Opex!P44</f>
        <v>-1400</v>
      </c>
      <c r="Q41" s="57" t="n">
        <f aca="false">-Opex!Q44</f>
        <v>-1442</v>
      </c>
      <c r="R41" s="57" t="n">
        <f aca="false">-Opex!R44</f>
        <v>-1442</v>
      </c>
      <c r="S41" s="57" t="n">
        <f aca="false">-Opex!S44</f>
        <v>-1442</v>
      </c>
      <c r="T41" s="57" t="n">
        <f aca="false">-Opex!T44</f>
        <v>-1442</v>
      </c>
      <c r="U41" s="57" t="n">
        <f aca="false">-Opex!U44</f>
        <v>-1442</v>
      </c>
      <c r="V41" s="57" t="n">
        <f aca="false">-Opex!V44</f>
        <v>-1442</v>
      </c>
      <c r="W41" s="57" t="n">
        <f aca="false">-Opex!W44</f>
        <v>-1442</v>
      </c>
      <c r="X41" s="57" t="n">
        <f aca="false">-Opex!X44</f>
        <v>-1442</v>
      </c>
      <c r="Y41" s="57" t="n">
        <f aca="false">-Opex!Y44</f>
        <v>-1442</v>
      </c>
      <c r="Z41" s="57" t="n">
        <f aca="false">-Opex!Z44</f>
        <v>-1442</v>
      </c>
      <c r="AA41" s="57" t="n">
        <f aca="false">-Opex!AA44</f>
        <v>-1442</v>
      </c>
      <c r="AB41" s="57" t="n">
        <f aca="false">-Opex!AB44</f>
        <v>-1442</v>
      </c>
    </row>
    <row r="42" customFormat="false" ht="15" hidden="false" customHeight="true" outlineLevel="0" collapsed="false">
      <c r="A42" s="28" t="s">
        <v>339</v>
      </c>
      <c r="B42" s="55" t="s">
        <v>62</v>
      </c>
      <c r="C42" s="56" t="n">
        <f aca="false">SUM(E42:P42)</f>
        <v>-69685</v>
      </c>
      <c r="D42" s="56" t="n">
        <f aca="false">SUM(Q42:AB42)</f>
        <v>-67980</v>
      </c>
      <c r="E42" s="57" t="n">
        <f aca="false">-Opex!E45</f>
        <v>-6719</v>
      </c>
      <c r="F42" s="57" t="n">
        <f aca="false">-Opex!F45</f>
        <v>-5921</v>
      </c>
      <c r="G42" s="57" t="n">
        <f aca="false">-Opex!G45</f>
        <v>-5117</v>
      </c>
      <c r="H42" s="57" t="n">
        <f aca="false">-Opex!H45</f>
        <v>-6119</v>
      </c>
      <c r="I42" s="57" t="n">
        <f aca="false">-Opex!I45</f>
        <v>-5586</v>
      </c>
      <c r="J42" s="57" t="n">
        <f aca="false">-Opex!J45</f>
        <v>-6021</v>
      </c>
      <c r="K42" s="57" t="n">
        <f aca="false">-Opex!K45</f>
        <v>-5795</v>
      </c>
      <c r="L42" s="57" t="n">
        <f aca="false">-Opex!L45</f>
        <v>-6407</v>
      </c>
      <c r="M42" s="57" t="n">
        <f aca="false">-Opex!M45</f>
        <v>-5500</v>
      </c>
      <c r="N42" s="57" t="n">
        <f aca="false">-Opex!N45</f>
        <v>-5500</v>
      </c>
      <c r="O42" s="57" t="n">
        <f aca="false">-Opex!O45</f>
        <v>-5500</v>
      </c>
      <c r="P42" s="57" t="n">
        <f aca="false">-Opex!P45</f>
        <v>-5500</v>
      </c>
      <c r="Q42" s="57" t="n">
        <f aca="false">-Opex!Q45</f>
        <v>-5665</v>
      </c>
      <c r="R42" s="57" t="n">
        <f aca="false">-Opex!R45</f>
        <v>-5665</v>
      </c>
      <c r="S42" s="57" t="n">
        <f aca="false">-Opex!S45</f>
        <v>-5665</v>
      </c>
      <c r="T42" s="57" t="n">
        <f aca="false">-Opex!T45</f>
        <v>-5665</v>
      </c>
      <c r="U42" s="57" t="n">
        <f aca="false">-Opex!U45</f>
        <v>-5665</v>
      </c>
      <c r="V42" s="57" t="n">
        <f aca="false">-Opex!V45</f>
        <v>-5665</v>
      </c>
      <c r="W42" s="57" t="n">
        <f aca="false">-Opex!W45</f>
        <v>-5665</v>
      </c>
      <c r="X42" s="57" t="n">
        <f aca="false">-Opex!X45</f>
        <v>-5665</v>
      </c>
      <c r="Y42" s="57" t="n">
        <f aca="false">-Opex!Y45</f>
        <v>-5665</v>
      </c>
      <c r="Z42" s="57" t="n">
        <f aca="false">-Opex!Z45</f>
        <v>-5665</v>
      </c>
      <c r="AA42" s="57" t="n">
        <f aca="false">-Opex!AA45</f>
        <v>-5665</v>
      </c>
      <c r="AB42" s="57" t="n">
        <f aca="false">-Opex!AB45</f>
        <v>-5665</v>
      </c>
    </row>
    <row r="43" customFormat="false" ht="15" hidden="false" customHeight="true" outlineLevel="0" collapsed="false">
      <c r="A43" s="28" t="s">
        <v>340</v>
      </c>
      <c r="B43" s="55" t="s">
        <v>62</v>
      </c>
      <c r="C43" s="56" t="n">
        <f aca="false">SUM(E43:P43)</f>
        <v>-47496.2747764524</v>
      </c>
      <c r="D43" s="56" t="n">
        <f aca="false">SUM(Q43:AB43)</f>
        <v>-61955.4943598672</v>
      </c>
      <c r="E43" s="57" t="n">
        <f aca="false">-Opex!E48</f>
        <v>-2946</v>
      </c>
      <c r="F43" s="57" t="n">
        <f aca="false">-Opex!F48</f>
        <v>-2812</v>
      </c>
      <c r="G43" s="57" t="n">
        <f aca="false">-Opex!G48</f>
        <v>-3283</v>
      </c>
      <c r="H43" s="57" t="n">
        <f aca="false">-Opex!H48</f>
        <v>-3431</v>
      </c>
      <c r="I43" s="57" t="n">
        <f aca="false">-Opex!I48</f>
        <v>-3890</v>
      </c>
      <c r="J43" s="57" t="n">
        <f aca="false">-Opex!J48</f>
        <v>-3713</v>
      </c>
      <c r="K43" s="57" t="n">
        <f aca="false">-Opex!K48</f>
        <v>-3512</v>
      </c>
      <c r="L43" s="57" t="n">
        <f aca="false">-Opex!L48</f>
        <v>-3419</v>
      </c>
      <c r="M43" s="57" t="n">
        <f aca="false">-Opex!M48</f>
        <v>-3855.53473794296</v>
      </c>
      <c r="N43" s="57" t="n">
        <f aca="false">-Opex!N48</f>
        <v>-4459.21884830161</v>
      </c>
      <c r="O43" s="57" t="n">
        <f aca="false">-Opex!O48</f>
        <v>-6431.65695554052</v>
      </c>
      <c r="P43" s="57" t="n">
        <f aca="false">-Opex!P48</f>
        <v>-5743.86423466727</v>
      </c>
      <c r="Q43" s="57" t="n">
        <f aca="false">-Opex!Q48</f>
        <v>-3770.11779229923</v>
      </c>
      <c r="R43" s="57" t="n">
        <f aca="false">-Opex!R48</f>
        <v>-3586.54339836158</v>
      </c>
      <c r="S43" s="57" t="n">
        <f aca="false">-Opex!S48</f>
        <v>-4126.61855763583</v>
      </c>
      <c r="T43" s="57" t="n">
        <f aca="false">-Opex!T48</f>
        <v>-4361.5130051766</v>
      </c>
      <c r="U43" s="57" t="n">
        <f aca="false">-Opex!U48</f>
        <v>-4701.32217855668</v>
      </c>
      <c r="V43" s="57" t="n">
        <f aca="false">-Opex!V48</f>
        <v>-4662.24606315688</v>
      </c>
      <c r="W43" s="57" t="n">
        <f aca="false">-Opex!W48</f>
        <v>-4518.87472155235</v>
      </c>
      <c r="X43" s="57" t="n">
        <f aca="false">-Opex!X48</f>
        <v>-4520.90999696051</v>
      </c>
      <c r="Y43" s="57" t="n">
        <f aca="false">-Opex!Y48</f>
        <v>-5204.43521568637</v>
      </c>
      <c r="Z43" s="57" t="n">
        <f aca="false">-Opex!Z48</f>
        <v>-6025.48658533153</v>
      </c>
      <c r="AA43" s="57" t="n">
        <f aca="false">-Opex!AA48</f>
        <v>-8699.77430105192</v>
      </c>
      <c r="AB43" s="57" t="n">
        <f aca="false">-Opex!AB48</f>
        <v>-7777.65254409769</v>
      </c>
    </row>
    <row r="44" customFormat="false" ht="15" hidden="false" customHeight="true" outlineLevel="0" collapsed="false">
      <c r="A44" s="28" t="s">
        <v>341</v>
      </c>
      <c r="B44" s="55" t="s">
        <v>62</v>
      </c>
      <c r="C44" s="56" t="n">
        <f aca="false">SUM(E44:P44)</f>
        <v>-21320</v>
      </c>
      <c r="D44" s="56" t="n">
        <f aca="false">SUM(Q44:AB44)</f>
        <v>-22248</v>
      </c>
      <c r="E44" s="57" t="n">
        <f aca="false">-Opex!E46</f>
        <v>-1825</v>
      </c>
      <c r="F44" s="57" t="n">
        <f aca="false">-Opex!F46</f>
        <v>-1606</v>
      </c>
      <c r="G44" s="57" t="n">
        <f aca="false">-Opex!G46</f>
        <v>-1720</v>
      </c>
      <c r="H44" s="57" t="n">
        <f aca="false">-Opex!H46</f>
        <v>-1762</v>
      </c>
      <c r="I44" s="57" t="n">
        <f aca="false">-Opex!I46</f>
        <v>-2110</v>
      </c>
      <c r="J44" s="57" t="n">
        <f aca="false">-Opex!J46</f>
        <v>-1495</v>
      </c>
      <c r="K44" s="57" t="n">
        <f aca="false">-Opex!K46</f>
        <v>-1774</v>
      </c>
      <c r="L44" s="57" t="n">
        <f aca="false">-Opex!L46</f>
        <v>-1828</v>
      </c>
      <c r="M44" s="57" t="n">
        <f aca="false">-Opex!M46</f>
        <v>-1800</v>
      </c>
      <c r="N44" s="57" t="n">
        <f aca="false">-Opex!N46</f>
        <v>-1800</v>
      </c>
      <c r="O44" s="57" t="n">
        <f aca="false">-Opex!O46</f>
        <v>-1800</v>
      </c>
      <c r="P44" s="57" t="n">
        <f aca="false">-Opex!P46</f>
        <v>-1800</v>
      </c>
      <c r="Q44" s="57" t="n">
        <f aca="false">-Opex!Q46</f>
        <v>-1854</v>
      </c>
      <c r="R44" s="57" t="n">
        <f aca="false">-Opex!R46</f>
        <v>-1854</v>
      </c>
      <c r="S44" s="57" t="n">
        <f aca="false">-Opex!S46</f>
        <v>-1854</v>
      </c>
      <c r="T44" s="57" t="n">
        <f aca="false">-Opex!T46</f>
        <v>-1854</v>
      </c>
      <c r="U44" s="57" t="n">
        <f aca="false">-Opex!U46</f>
        <v>-1854</v>
      </c>
      <c r="V44" s="57" t="n">
        <f aca="false">-Opex!V46</f>
        <v>-1854</v>
      </c>
      <c r="W44" s="57" t="n">
        <f aca="false">-Opex!W46</f>
        <v>-1854</v>
      </c>
      <c r="X44" s="57" t="n">
        <f aca="false">-Opex!X46</f>
        <v>-1854</v>
      </c>
      <c r="Y44" s="57" t="n">
        <f aca="false">-Opex!Y46</f>
        <v>-1854</v>
      </c>
      <c r="Z44" s="57" t="n">
        <f aca="false">-Opex!Z46</f>
        <v>-1854</v>
      </c>
      <c r="AA44" s="57" t="n">
        <f aca="false">-Opex!AA46</f>
        <v>-1854</v>
      </c>
      <c r="AB44" s="57" t="n">
        <f aca="false">-Opex!AB46</f>
        <v>-1854</v>
      </c>
    </row>
    <row r="45" customFormat="false" ht="15" hidden="false" customHeight="true" outlineLevel="0" collapsed="false">
      <c r="A45" s="28" t="s">
        <v>342</v>
      </c>
      <c r="B45" s="55" t="s">
        <v>62</v>
      </c>
      <c r="C45" s="56" t="n">
        <f aca="false">SUM(E45:P45)</f>
        <v>-6546.26995710496</v>
      </c>
      <c r="D45" s="56" t="n">
        <f aca="false">SUM(Q45:AB45)</f>
        <v>-8426.34001186206</v>
      </c>
      <c r="E45" s="57" t="n">
        <f aca="false">-Opex!E49</f>
        <v>-398</v>
      </c>
      <c r="F45" s="57" t="n">
        <f aca="false">-Opex!F49</f>
        <v>-399</v>
      </c>
      <c r="G45" s="57" t="n">
        <f aca="false">-Opex!G49</f>
        <v>-476</v>
      </c>
      <c r="H45" s="57" t="n">
        <f aca="false">-Opex!H49</f>
        <v>-463</v>
      </c>
      <c r="I45" s="57" t="n">
        <f aca="false">-Opex!I49</f>
        <v>-528</v>
      </c>
      <c r="J45" s="57" t="n">
        <f aca="false">-Opex!J49</f>
        <v>-485</v>
      </c>
      <c r="K45" s="57" t="n">
        <f aca="false">-Opex!K49</f>
        <v>-474</v>
      </c>
      <c r="L45" s="57" t="n">
        <f aca="false">-Opex!L49</f>
        <v>-496</v>
      </c>
      <c r="M45" s="57" t="n">
        <f aca="false">-Opex!M49</f>
        <v>-530.424197002129</v>
      </c>
      <c r="N45" s="57" t="n">
        <f aca="false">-Opex!N49</f>
        <v>-614.549368513455</v>
      </c>
      <c r="O45" s="57" t="n">
        <f aca="false">-Opex!O49</f>
        <v>-887.932176817908</v>
      </c>
      <c r="P45" s="57" t="n">
        <f aca="false">-Opex!P49</f>
        <v>-794.364214771471</v>
      </c>
      <c r="Q45" s="57" t="n">
        <f aca="false">-Opex!Q49</f>
        <v>-507.097462141708</v>
      </c>
      <c r="R45" s="57" t="n">
        <f aca="false">-Opex!R49</f>
        <v>-483.248484299349</v>
      </c>
      <c r="S45" s="57" t="n">
        <f aca="false">-Opex!S49</f>
        <v>-556.988575279522</v>
      </c>
      <c r="T45" s="57" t="n">
        <f aca="false">-Opex!T49</f>
        <v>-589.720658367503</v>
      </c>
      <c r="U45" s="57" t="n">
        <f aca="false">-Opex!U49</f>
        <v>-636.775074405699</v>
      </c>
      <c r="V45" s="57" t="n">
        <f aca="false">-Opex!V49</f>
        <v>-632.583364721798</v>
      </c>
      <c r="W45" s="57" t="n">
        <f aca="false">-Opex!W49</f>
        <v>-614.198961871584</v>
      </c>
      <c r="X45" s="57" t="n">
        <f aca="false">-Opex!X49</f>
        <v>-615.545989782134</v>
      </c>
      <c r="Y45" s="57" t="n">
        <f aca="false">-Opex!Y49</f>
        <v>-709.845429648678</v>
      </c>
      <c r="Z45" s="57" t="n">
        <f aca="false">-Opex!Z49</f>
        <v>-823.260954179467</v>
      </c>
      <c r="AA45" s="57" t="n">
        <f aca="false">-Opex!AA49</f>
        <v>-1190.71620662969</v>
      </c>
      <c r="AB45" s="57" t="n">
        <f aca="false">-Opex!AB49</f>
        <v>-1066.35885053493</v>
      </c>
    </row>
    <row r="46" customFormat="false" ht="15" hidden="false" customHeight="true" outlineLevel="0" collapsed="false">
      <c r="A46" s="28" t="s">
        <v>343</v>
      </c>
      <c r="B46" s="55" t="s">
        <v>62</v>
      </c>
      <c r="C46" s="56" t="n">
        <f aca="false">SUM(E46:P46)</f>
        <v>-11870</v>
      </c>
      <c r="D46" s="56" t="n">
        <f aca="false">SUM(Q46:AB46)</f>
        <v>-11124</v>
      </c>
      <c r="E46" s="57" t="n">
        <f aca="false">-Opex!E47</f>
        <v>-857</v>
      </c>
      <c r="F46" s="57" t="n">
        <f aca="false">-Opex!F47</f>
        <v>-589</v>
      </c>
      <c r="G46" s="57" t="n">
        <f aca="false">-Opex!G47</f>
        <v>-2400</v>
      </c>
      <c r="H46" s="57" t="n">
        <f aca="false">-Opex!H47</f>
        <v>-488</v>
      </c>
      <c r="I46" s="57" t="n">
        <f aca="false">-Opex!I47</f>
        <v>-983</v>
      </c>
      <c r="J46" s="57" t="n">
        <f aca="false">-Opex!J47</f>
        <v>-991</v>
      </c>
      <c r="K46" s="57" t="n">
        <f aca="false">-Opex!K47</f>
        <v>-864</v>
      </c>
      <c r="L46" s="57" t="n">
        <f aca="false">-Opex!L47</f>
        <v>-1098</v>
      </c>
      <c r="M46" s="57" t="n">
        <f aca="false">-Opex!M47</f>
        <v>-900</v>
      </c>
      <c r="N46" s="57" t="n">
        <f aca="false">-Opex!N47</f>
        <v>-900</v>
      </c>
      <c r="O46" s="57" t="n">
        <f aca="false">-Opex!O47</f>
        <v>-900</v>
      </c>
      <c r="P46" s="57" t="n">
        <f aca="false">-Opex!P47</f>
        <v>-900</v>
      </c>
      <c r="Q46" s="57" t="n">
        <f aca="false">-Opex!Q47</f>
        <v>-927</v>
      </c>
      <c r="R46" s="57" t="n">
        <f aca="false">-Opex!R47</f>
        <v>-927</v>
      </c>
      <c r="S46" s="57" t="n">
        <f aca="false">-Opex!S47</f>
        <v>-927</v>
      </c>
      <c r="T46" s="57" t="n">
        <f aca="false">-Opex!T47</f>
        <v>-927</v>
      </c>
      <c r="U46" s="57" t="n">
        <f aca="false">-Opex!U47</f>
        <v>-927</v>
      </c>
      <c r="V46" s="57" t="n">
        <f aca="false">-Opex!V47</f>
        <v>-927</v>
      </c>
      <c r="W46" s="57" t="n">
        <f aca="false">-Opex!W47</f>
        <v>-927</v>
      </c>
      <c r="X46" s="57" t="n">
        <f aca="false">-Opex!X47</f>
        <v>-927</v>
      </c>
      <c r="Y46" s="57" t="n">
        <f aca="false">-Opex!Y47</f>
        <v>-927</v>
      </c>
      <c r="Z46" s="57" t="n">
        <f aca="false">-Opex!Z47</f>
        <v>-927</v>
      </c>
      <c r="AA46" s="57" t="n">
        <f aca="false">-Opex!AA47</f>
        <v>-927</v>
      </c>
      <c r="AB46" s="57" t="n">
        <f aca="false">-Opex!AB47</f>
        <v>-927</v>
      </c>
    </row>
    <row r="47" customFormat="false" ht="15" hidden="false" customHeight="true" outlineLevel="0" collapsed="false">
      <c r="A47" s="70" t="s">
        <v>344</v>
      </c>
      <c r="B47" s="71"/>
      <c r="C47" s="72" t="n">
        <f aca="false">SUM(E47:P47)</f>
        <v>-973778.544733557</v>
      </c>
      <c r="D47" s="72" t="n">
        <f aca="false">SUM(Q47:AB47)</f>
        <v>-1155177.83437173</v>
      </c>
      <c r="E47" s="73" t="n">
        <f aca="false">-Opex!E50</f>
        <v>-76782</v>
      </c>
      <c r="F47" s="73" t="n">
        <f aca="false">-Opex!F50</f>
        <v>-74355</v>
      </c>
      <c r="G47" s="73" t="n">
        <f aca="false">-Opex!G50</f>
        <v>-76331</v>
      </c>
      <c r="H47" s="73" t="n">
        <f aca="false">-Opex!H50</f>
        <v>-78432</v>
      </c>
      <c r="I47" s="73" t="n">
        <f aca="false">-Opex!I50</f>
        <v>-78981</v>
      </c>
      <c r="J47" s="73" t="n">
        <f aca="false">-Opex!J50</f>
        <v>-81338</v>
      </c>
      <c r="K47" s="73" t="n">
        <f aca="false">-Opex!K50</f>
        <v>-79501</v>
      </c>
      <c r="L47" s="73" t="n">
        <f aca="false">-Opex!L50</f>
        <v>-81641</v>
      </c>
      <c r="M47" s="73" t="n">
        <f aca="false">-Opex!M50</f>
        <v>-81035.9589349451</v>
      </c>
      <c r="N47" s="73" t="n">
        <f aca="false">-Opex!N50</f>
        <v>-84423.7682168151</v>
      </c>
      <c r="O47" s="73" t="n">
        <f aca="false">-Opex!O50</f>
        <v>-90869.5891323584</v>
      </c>
      <c r="P47" s="73" t="n">
        <f aca="false">-Opex!P50</f>
        <v>-90088.2284494387</v>
      </c>
      <c r="Q47" s="73" t="n">
        <f aca="false">-Opex!Q50</f>
        <v>-90333.7152544409</v>
      </c>
      <c r="R47" s="73" t="n">
        <f aca="false">-Opex!R50</f>
        <v>-94864.2918826609</v>
      </c>
      <c r="S47" s="73" t="n">
        <f aca="false">-Opex!S50</f>
        <v>-95478.1071329154</v>
      </c>
      <c r="T47" s="73" t="n">
        <f aca="false">-Opex!T50</f>
        <v>-95745.7336635441</v>
      </c>
      <c r="U47" s="73" t="n">
        <f aca="false">-Opex!U50</f>
        <v>-96132.5972529624</v>
      </c>
      <c r="V47" s="73" t="n">
        <f aca="false">-Opex!V50</f>
        <v>-96089.3294278787</v>
      </c>
      <c r="W47" s="73" t="n">
        <f aca="false">-Opex!W50</f>
        <v>-95927.5736834239</v>
      </c>
      <c r="X47" s="73" t="n">
        <f aca="false">-Opex!X50</f>
        <v>-95930.9559867426</v>
      </c>
      <c r="Y47" s="73" t="n">
        <f aca="false">-Opex!Y50</f>
        <v>-96708.7806453351</v>
      </c>
      <c r="Z47" s="73" t="n">
        <f aca="false">-Opex!Z50</f>
        <v>-97643.247539511</v>
      </c>
      <c r="AA47" s="73" t="n">
        <f aca="false">-Opex!AA50</f>
        <v>-100684.990507682</v>
      </c>
      <c r="AB47" s="73" t="n">
        <f aca="false">-Opex!AB50</f>
        <v>-99638.5113946326</v>
      </c>
    </row>
    <row r="48" customFormat="false" ht="15" hidden="false" customHeight="true" outlineLevel="0" collapsed="false">
      <c r="A48" s="70" t="s">
        <v>273</v>
      </c>
      <c r="B48" s="71"/>
      <c r="C48" s="72" t="n">
        <f aca="false">SUM(E48:P48)</f>
        <v>136385.730066086</v>
      </c>
      <c r="D48" s="72" t="n">
        <f aca="false">SUM(Q48:AB48)</f>
        <v>238865.65071543</v>
      </c>
      <c r="E48" s="72" t="n">
        <f aca="false">E32+E47</f>
        <v>1509.31400396829</v>
      </c>
      <c r="F48" s="72" t="n">
        <f aca="false">F32+F47</f>
        <v>-9915.97869562101</v>
      </c>
      <c r="G48" s="72" t="n">
        <f aca="false">G32+G47</f>
        <v>2270.32778930795</v>
      </c>
      <c r="H48" s="72" t="n">
        <f aca="false">H32+H47</f>
        <v>12346.6933694998</v>
      </c>
      <c r="I48" s="72" t="n">
        <f aca="false">I32+I47</f>
        <v>23379.4896753438</v>
      </c>
      <c r="J48" s="72" t="n">
        <f aca="false">J32+J47</f>
        <v>-3006.7966369261</v>
      </c>
      <c r="K48" s="72" t="n">
        <f aca="false">K32+K47</f>
        <v>3675.46125858954</v>
      </c>
      <c r="L48" s="72" t="n">
        <f aca="false">L32+L47</f>
        <v>-10363.0857711705</v>
      </c>
      <c r="M48" s="72" t="n">
        <f aca="false">M32+M47</f>
        <v>10540.4336446802</v>
      </c>
      <c r="N48" s="72" t="n">
        <f aca="false">N32+N47</f>
        <v>10574.6087933109</v>
      </c>
      <c r="O48" s="72" t="n">
        <f aca="false">O32+O47</f>
        <v>53221.0971042968</v>
      </c>
      <c r="P48" s="72" t="n">
        <f aca="false">P32+P47</f>
        <v>42154.1655308064</v>
      </c>
      <c r="Q48" s="72" t="n">
        <f aca="false">Q32+Q47</f>
        <v>2173.94296728967</v>
      </c>
      <c r="R48" s="72" t="n">
        <f aca="false">R32+R47</f>
        <v>-14112.4328192428</v>
      </c>
      <c r="S48" s="72" t="n">
        <f aca="false">S32+S47</f>
        <v>-2170.46987023378</v>
      </c>
      <c r="T48" s="72" t="n">
        <f aca="false">T32+T47</f>
        <v>2308.43672214162</v>
      </c>
      <c r="U48" s="72" t="n">
        <f aca="false">U32+U47</f>
        <v>10438.251485422</v>
      </c>
      <c r="V48" s="72" t="n">
        <f aca="false">V32+V47</f>
        <v>10008.0065384421</v>
      </c>
      <c r="W48" s="72" t="n">
        <f aca="false">W32+W47</f>
        <v>8436.81678447685</v>
      </c>
      <c r="X48" s="72" t="n">
        <f aca="false">X32+X47</f>
        <v>7627.72223719912</v>
      </c>
      <c r="Y48" s="72" t="n">
        <f aca="false">Y32+Y47</f>
        <v>19808.6313682681</v>
      </c>
      <c r="Z48" s="72" t="n">
        <f aca="false">Z32+Z47</f>
        <v>33939.821179582</v>
      </c>
      <c r="AA48" s="72" t="n">
        <f aca="false">AA32+AA47</f>
        <v>82736.1340942233</v>
      </c>
      <c r="AB48" s="72" t="n">
        <f aca="false">AB32+AB47</f>
        <v>77670.7900278618</v>
      </c>
    </row>
    <row r="49" customFormat="false" ht="15" hidden="false" customHeight="true" outlineLevel="0" collapsed="false">
      <c r="A49" s="28" t="s">
        <v>272</v>
      </c>
      <c r="B49" s="55"/>
      <c r="C49" s="59" t="n">
        <f aca="false">IF(C14=0,0,C48/C14)</f>
        <v>0.0316401969200586</v>
      </c>
      <c r="D49" s="59" t="n">
        <f aca="false">IF(D14=0,0,D48/D14)</f>
        <v>0.0425740035427816</v>
      </c>
      <c r="E49" s="58" t="n">
        <f aca="false">IF(E14=0,0,E48/E14)</f>
        <v>0.00543730640009652</v>
      </c>
      <c r="F49" s="58" t="n">
        <f aca="false">IF(F14=0,0,F48/F14)</f>
        <v>-0.0395722990680011</v>
      </c>
      <c r="G49" s="58" t="n">
        <f aca="false">IF(G14=0,0,G48/G14)</f>
        <v>0.00772465257997738</v>
      </c>
      <c r="H49" s="58" t="n">
        <f aca="false">IF(H14=0,0,H48/H14)</f>
        <v>0.0398113232624228</v>
      </c>
      <c r="I49" s="58" t="n">
        <f aca="false">IF(I14=0,0,I48/I14)</f>
        <v>0.0671873844499308</v>
      </c>
      <c r="J49" s="58" t="n">
        <f aca="false">IF(J14=0,0,J48/J14)</f>
        <v>-0.0090659902914</v>
      </c>
      <c r="K49" s="58" t="n">
        <f aca="false">IF(K14=0,0,K48/K14)</f>
        <v>0.0119223315152304</v>
      </c>
      <c r="L49" s="58" t="n">
        <f aca="false">IF(L14=0,0,L48/L14)</f>
        <v>-0.0331298066782696</v>
      </c>
      <c r="M49" s="58" t="n">
        <f aca="false">IF(M14=0,0,M48/M14)</f>
        <v>0.0299071432038859</v>
      </c>
      <c r="N49" s="58" t="n">
        <f aca="false">IF(N14=0,0,N48/N14)</f>
        <v>0.0259141200444512</v>
      </c>
      <c r="O49" s="58" t="n">
        <f aca="false">IF(O14=0,0,O48/O14)</f>
        <v>0.0910497739270382</v>
      </c>
      <c r="P49" s="58" t="n">
        <f aca="false">IF(P14=0,0,P48/P14)</f>
        <v>0.0791518811357034</v>
      </c>
      <c r="Q49" s="58" t="n">
        <f aca="false">IF(Q14=0,0,Q48/Q14)</f>
        <v>0.00629964287618527</v>
      </c>
      <c r="R49" s="58" t="n">
        <f aca="false">IF(R14=0,0,R48/R14)</f>
        <v>-0.0438997910122834</v>
      </c>
      <c r="S49" s="58" t="n">
        <f aca="false">IF(S14=0,0,S48/S14)</f>
        <v>-0.00585388304582974</v>
      </c>
      <c r="T49" s="58" t="n">
        <f aca="false">IF(T14=0,0,T48/T14)</f>
        <v>0.00589117297317764</v>
      </c>
      <c r="U49" s="58" t="n">
        <f aca="false">IF(U14=0,0,U48/U14)</f>
        <v>0.0246284699796223</v>
      </c>
      <c r="V49" s="58" t="n">
        <f aca="false">IF(V14=0,0,V48/V14)</f>
        <v>0.0237555453222853</v>
      </c>
      <c r="W49" s="58" t="n">
        <f aca="false">IF(W14=0,0,W48/W14)</f>
        <v>0.0205563650136344</v>
      </c>
      <c r="X49" s="58" t="n">
        <f aca="false">IF(X14=0,0,X48/X14)</f>
        <v>0.0185898679977577</v>
      </c>
      <c r="Y49" s="58" t="n">
        <f aca="false">IF(Y14=0,0,Y48/Y14)</f>
        <v>0.042118970056384</v>
      </c>
      <c r="Z49" s="58" t="n">
        <f aca="false">IF(Z14=0,0,Z48/Z14)</f>
        <v>0.0620921964559354</v>
      </c>
      <c r="AA49" s="58" t="n">
        <f aca="false">IF(AA14=0,0,AA48/AA14)</f>
        <v>0.105569262776364</v>
      </c>
      <c r="AB49" s="58" t="n">
        <f aca="false">IF(AB14=0,0,AB48/AB14)</f>
        <v>0.108639739720609</v>
      </c>
    </row>
    <row r="50" customFormat="false" ht="15" hidden="false" customHeight="true" outlineLevel="0" collapsed="false">
      <c r="A50" s="22" t="s">
        <v>345</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row>
    <row r="51" customFormat="false" ht="15" hidden="false" customHeight="true" outlineLevel="0" collapsed="false">
      <c r="A51" s="28" t="s">
        <v>346</v>
      </c>
      <c r="B51" s="55" t="s">
        <v>64</v>
      </c>
      <c r="C51" s="56" t="n">
        <f aca="false">SUM(E51:P51)</f>
        <v>-32080</v>
      </c>
      <c r="D51" s="56" t="n">
        <f aca="false">SUM(Q51:AB51)</f>
        <v>-44856.6666666667</v>
      </c>
      <c r="E51" s="57" t="n">
        <f aca="false">-Fixed_Assets!E28</f>
        <v>-2506.66666666667</v>
      </c>
      <c r="F51" s="57" t="n">
        <f aca="false">-Fixed_Assets!F28</f>
        <v>-2506.66666666667</v>
      </c>
      <c r="G51" s="57" t="n">
        <f aca="false">-Fixed_Assets!G28</f>
        <v>-2620</v>
      </c>
      <c r="H51" s="57" t="n">
        <f aca="false">-Fixed_Assets!H28</f>
        <v>-2620</v>
      </c>
      <c r="I51" s="57" t="n">
        <f aca="false">-Fixed_Assets!I28</f>
        <v>-2653.33333333333</v>
      </c>
      <c r="J51" s="57" t="n">
        <f aca="false">-Fixed_Assets!J28</f>
        <v>-2653.33333333333</v>
      </c>
      <c r="K51" s="57" t="n">
        <f aca="false">-Fixed_Assets!K28</f>
        <v>-2711.66666666667</v>
      </c>
      <c r="L51" s="57" t="n">
        <f aca="false">-Fixed_Assets!L28</f>
        <v>-2711.66666666667</v>
      </c>
      <c r="M51" s="57" t="n">
        <f aca="false">-Fixed_Assets!M28</f>
        <v>-2736.66666666667</v>
      </c>
      <c r="N51" s="57" t="n">
        <f aca="false">-Fixed_Assets!N28</f>
        <v>-2761.66666666667</v>
      </c>
      <c r="O51" s="57" t="n">
        <f aca="false">-Fixed_Assets!O28</f>
        <v>-2786.66666666667</v>
      </c>
      <c r="P51" s="57" t="n">
        <f aca="false">-Fixed_Assets!P28</f>
        <v>-2811.66666666667</v>
      </c>
      <c r="Q51" s="57" t="n">
        <f aca="false">-Fixed_Assets!Q28</f>
        <v>-2836.66666666667</v>
      </c>
      <c r="R51" s="57" t="n">
        <f aca="false">-Fixed_Assets!R28</f>
        <v>-3695</v>
      </c>
      <c r="S51" s="57" t="n">
        <f aca="false">-Fixed_Assets!S28</f>
        <v>-3720</v>
      </c>
      <c r="T51" s="57" t="n">
        <f aca="false">-Fixed_Assets!T28</f>
        <v>-3745</v>
      </c>
      <c r="U51" s="57" t="n">
        <f aca="false">-Fixed_Assets!U28</f>
        <v>-3770</v>
      </c>
      <c r="V51" s="57" t="n">
        <f aca="false">-Fixed_Assets!V28</f>
        <v>-3795</v>
      </c>
      <c r="W51" s="57" t="n">
        <f aca="false">-Fixed_Assets!W28</f>
        <v>-3820</v>
      </c>
      <c r="X51" s="57" t="n">
        <f aca="false">-Fixed_Assets!X28</f>
        <v>-3845</v>
      </c>
      <c r="Y51" s="57" t="n">
        <f aca="false">-Fixed_Assets!Y28</f>
        <v>-3870</v>
      </c>
      <c r="Z51" s="57" t="n">
        <f aca="false">-Fixed_Assets!Z28</f>
        <v>-3895</v>
      </c>
      <c r="AA51" s="57" t="n">
        <f aca="false">-Fixed_Assets!AA28</f>
        <v>-3920</v>
      </c>
      <c r="AB51" s="57" t="n">
        <f aca="false">-Fixed_Assets!AB28</f>
        <v>-3945</v>
      </c>
    </row>
    <row r="52" customFormat="false" ht="15" hidden="false" customHeight="true" outlineLevel="0" collapsed="false">
      <c r="A52" s="70" t="s">
        <v>347</v>
      </c>
      <c r="B52" s="71"/>
      <c r="C52" s="72" t="n">
        <f aca="false">SUM(E52:P52)</f>
        <v>104305.730066086</v>
      </c>
      <c r="D52" s="72" t="n">
        <f aca="false">SUM(Q52:AB52)</f>
        <v>194008.984048763</v>
      </c>
      <c r="E52" s="72" t="n">
        <f aca="false">E48+E51</f>
        <v>-997.352662698376</v>
      </c>
      <c r="F52" s="72" t="n">
        <f aca="false">F48+F51</f>
        <v>-12422.6453622877</v>
      </c>
      <c r="G52" s="72" t="n">
        <f aca="false">G48+G51</f>
        <v>-349.67221069205</v>
      </c>
      <c r="H52" s="72" t="n">
        <f aca="false">H48+H51</f>
        <v>9726.69336949976</v>
      </c>
      <c r="I52" s="72" t="n">
        <f aca="false">I48+I51</f>
        <v>20726.1563420105</v>
      </c>
      <c r="J52" s="72" t="n">
        <f aca="false">J48+J51</f>
        <v>-5660.12997025943</v>
      </c>
      <c r="K52" s="72" t="n">
        <f aca="false">K48+K51</f>
        <v>963.794591922871</v>
      </c>
      <c r="L52" s="72" t="n">
        <f aca="false">L48+L51</f>
        <v>-13074.7524378372</v>
      </c>
      <c r="M52" s="72" t="n">
        <f aca="false">M48+M51</f>
        <v>7803.76697801354</v>
      </c>
      <c r="N52" s="72" t="n">
        <f aca="false">N48+N51</f>
        <v>7812.94212664426</v>
      </c>
      <c r="O52" s="72" t="n">
        <f aca="false">O48+O51</f>
        <v>50434.4304376301</v>
      </c>
      <c r="P52" s="72" t="n">
        <f aca="false">P48+P51</f>
        <v>39342.4988641397</v>
      </c>
      <c r="Q52" s="72" t="n">
        <f aca="false">Q48+Q51</f>
        <v>-662.723699377001</v>
      </c>
      <c r="R52" s="72" t="n">
        <f aca="false">R48+R51</f>
        <v>-17807.4328192428</v>
      </c>
      <c r="S52" s="72" t="n">
        <f aca="false">S48+S51</f>
        <v>-5890.46987023378</v>
      </c>
      <c r="T52" s="72" t="n">
        <f aca="false">T48+T51</f>
        <v>-1436.56327785838</v>
      </c>
      <c r="U52" s="72" t="n">
        <f aca="false">U48+U51</f>
        <v>6668.25148542202</v>
      </c>
      <c r="V52" s="72" t="n">
        <f aca="false">V48+V51</f>
        <v>6213.00653844207</v>
      </c>
      <c r="W52" s="72" t="n">
        <f aca="false">W48+W51</f>
        <v>4616.81678447685</v>
      </c>
      <c r="X52" s="72" t="n">
        <f aca="false">X48+X51</f>
        <v>3782.72223719912</v>
      </c>
      <c r="Y52" s="72" t="n">
        <f aca="false">Y48+Y51</f>
        <v>15938.6313682681</v>
      </c>
      <c r="Z52" s="72" t="n">
        <f aca="false">Z48+Z51</f>
        <v>30044.821179582</v>
      </c>
      <c r="AA52" s="72" t="n">
        <f aca="false">AA48+AA51</f>
        <v>78816.1340942233</v>
      </c>
      <c r="AB52" s="72" t="n">
        <f aca="false">AB48+AB51</f>
        <v>73725.7900278618</v>
      </c>
    </row>
    <row r="53" customFormat="false" ht="15" hidden="false" customHeight="true" outlineLevel="0" collapsed="false">
      <c r="A53" s="28" t="s">
        <v>348</v>
      </c>
      <c r="B53" s="55" t="s">
        <v>66</v>
      </c>
      <c r="C53" s="56" t="n">
        <f aca="false">SUM(E53:P53)</f>
        <v>-26979.2251692066</v>
      </c>
      <c r="D53" s="56" t="n">
        <f aca="false">SUM(Q53:AB53)</f>
        <v>-20063.7517586405</v>
      </c>
      <c r="E53" s="57" t="n">
        <f aca="false">-Debt!E12</f>
        <v>-2500</v>
      </c>
      <c r="F53" s="57" t="n">
        <f aca="false">-Debt!F12</f>
        <v>-2455.17774515567</v>
      </c>
      <c r="G53" s="57" t="n">
        <f aca="false">-Debt!G12</f>
        <v>-2410.07535121857</v>
      </c>
      <c r="H53" s="57" t="n">
        <f aca="false">-Debt!H12</f>
        <v>-2364.69106731935</v>
      </c>
      <c r="I53" s="57" t="n">
        <f aca="false">-Debt!I12</f>
        <v>-2319.02313164577</v>
      </c>
      <c r="J53" s="57" t="n">
        <f aca="false">-Debt!J12</f>
        <v>-2273.06977137423</v>
      </c>
      <c r="K53" s="57" t="n">
        <f aca="false">-Debt!K12</f>
        <v>-2226.82920260099</v>
      </c>
      <c r="L53" s="57" t="n">
        <f aca="false">-Debt!L12</f>
        <v>-2180.29963027292</v>
      </c>
      <c r="M53" s="57" t="n">
        <f aca="false">-Debt!M12</f>
        <v>-2133.4792481178</v>
      </c>
      <c r="N53" s="57" t="n">
        <f aca="false">-Debt!N12</f>
        <v>-2086.36623857421</v>
      </c>
      <c r="O53" s="57" t="n">
        <f aca="false">-Debt!O12</f>
        <v>-2038.95877272097</v>
      </c>
      <c r="P53" s="57" t="n">
        <f aca="false">-Debt!P12</f>
        <v>-1991.25501020614</v>
      </c>
      <c r="Q53" s="57" t="n">
        <f aca="false">-Debt!Q12</f>
        <v>-1943.2530991756</v>
      </c>
      <c r="R53" s="57" t="n">
        <f aca="false">-Debt!R12</f>
        <v>-1894.95117620112</v>
      </c>
      <c r="S53" s="57" t="n">
        <f aca="false">-Debt!S12</f>
        <v>-1846.34736620805</v>
      </c>
      <c r="T53" s="57" t="n">
        <f aca="false">-Debt!T12</f>
        <v>-1797.43978240253</v>
      </c>
      <c r="U53" s="57" t="n">
        <f aca="false">-Debt!U12</f>
        <v>-1748.22652619821</v>
      </c>
      <c r="V53" s="57" t="n">
        <f aca="false">-Debt!V12</f>
        <v>-1698.70568714262</v>
      </c>
      <c r="W53" s="57" t="n">
        <f aca="false">-Debt!W12</f>
        <v>-1648.87534284294</v>
      </c>
      <c r="X53" s="57" t="n">
        <f aca="false">-Debt!X12</f>
        <v>-1598.73355889138</v>
      </c>
      <c r="Y53" s="57" t="n">
        <f aca="false">-Debt!Y12</f>
        <v>-1548.27838879012</v>
      </c>
      <c r="Z53" s="57" t="n">
        <f aca="false">-Debt!Z12</f>
        <v>-1497.50787387573</v>
      </c>
      <c r="AA53" s="57" t="n">
        <f aca="false">-Debt!AA12</f>
        <v>-1446.42004324313</v>
      </c>
      <c r="AB53" s="57" t="n">
        <f aca="false">-Debt!AB12</f>
        <v>-1395.01291366907</v>
      </c>
    </row>
    <row r="54" customFormat="false" ht="15" hidden="false" customHeight="true" outlineLevel="0" collapsed="false">
      <c r="A54" s="70" t="s">
        <v>349</v>
      </c>
      <c r="B54" s="71"/>
      <c r="C54" s="72" t="n">
        <f aca="false">SUM(E54:P54)</f>
        <v>77326.5048968794</v>
      </c>
      <c r="D54" s="72" t="n">
        <f aca="false">SUM(Q54:AB54)</f>
        <v>173945.232290123</v>
      </c>
      <c r="E54" s="72" t="n">
        <f aca="false">E52+E53</f>
        <v>-3497.35266269838</v>
      </c>
      <c r="F54" s="72" t="n">
        <f aca="false">F52+F53</f>
        <v>-14877.8231074433</v>
      </c>
      <c r="G54" s="72" t="n">
        <f aca="false">G52+G53</f>
        <v>-2759.74756191062</v>
      </c>
      <c r="H54" s="72" t="n">
        <f aca="false">H52+H53</f>
        <v>7362.0023021804</v>
      </c>
      <c r="I54" s="72" t="n">
        <f aca="false">I52+I53</f>
        <v>18407.1332103647</v>
      </c>
      <c r="J54" s="72" t="n">
        <f aca="false">J52+J53</f>
        <v>-7933.19974163366</v>
      </c>
      <c r="K54" s="72" t="n">
        <f aca="false">K52+K53</f>
        <v>-1263.03461067812</v>
      </c>
      <c r="L54" s="72" t="n">
        <f aca="false">L52+L53</f>
        <v>-15255.0520681101</v>
      </c>
      <c r="M54" s="72" t="n">
        <f aca="false">M52+M53</f>
        <v>5670.28772989574</v>
      </c>
      <c r="N54" s="72" t="n">
        <f aca="false">N52+N53</f>
        <v>5726.57588807005</v>
      </c>
      <c r="O54" s="72" t="n">
        <f aca="false">O52+O53</f>
        <v>48395.4716649092</v>
      </c>
      <c r="P54" s="72" t="n">
        <f aca="false">P52+P53</f>
        <v>37351.2438539336</v>
      </c>
      <c r="Q54" s="72" t="n">
        <f aca="false">Q52+Q53</f>
        <v>-2605.97679855261</v>
      </c>
      <c r="R54" s="72" t="n">
        <f aca="false">R52+R53</f>
        <v>-19702.3839954439</v>
      </c>
      <c r="S54" s="72" t="n">
        <f aca="false">S52+S53</f>
        <v>-7736.81723644183</v>
      </c>
      <c r="T54" s="72" t="n">
        <f aca="false">T52+T53</f>
        <v>-3234.00306026091</v>
      </c>
      <c r="U54" s="72" t="n">
        <f aca="false">U52+U53</f>
        <v>4920.02495922381</v>
      </c>
      <c r="V54" s="72" t="n">
        <f aca="false">V52+V53</f>
        <v>4514.30085129945</v>
      </c>
      <c r="W54" s="72" t="n">
        <f aca="false">W52+W53</f>
        <v>2967.94144163391</v>
      </c>
      <c r="X54" s="72" t="n">
        <f aca="false">X52+X53</f>
        <v>2183.98867830775</v>
      </c>
      <c r="Y54" s="72" t="n">
        <f aca="false">Y52+Y53</f>
        <v>14390.352979478</v>
      </c>
      <c r="Z54" s="72" t="n">
        <f aca="false">Z52+Z53</f>
        <v>28547.3133057062</v>
      </c>
      <c r="AA54" s="72" t="n">
        <f aca="false">AA52+AA53</f>
        <v>77369.7140509801</v>
      </c>
      <c r="AB54" s="72" t="n">
        <f aca="false">AB52+AB53</f>
        <v>72330.7771141927</v>
      </c>
    </row>
    <row r="55" customFormat="false" ht="15" hidden="false" customHeight="true" outlineLevel="0" collapsed="false">
      <c r="A55" s="28" t="s">
        <v>350</v>
      </c>
      <c r="B55" s="55" t="s">
        <v>351</v>
      </c>
      <c r="E55" s="57" t="n">
        <f aca="false">SUMIFS(PL!$E$54:$AB$54,Assumptions!$E$64:$AB$64,Assumptions!E$64,Assumptions!$E$62:$AB$62,"&lt;="&amp;Assumptions!E$62)</f>
        <v>-3497.35266269838</v>
      </c>
      <c r="F55" s="57" t="n">
        <f aca="false">SUMIFS(PL!$E$54:$AB$54,Assumptions!$E$64:$AB$64,Assumptions!F$64,Assumptions!$E$62:$AB$62,"&lt;="&amp;Assumptions!F$62)</f>
        <v>-18375.1757701417</v>
      </c>
      <c r="G55" s="57" t="n">
        <f aca="false">SUMIFS(PL!$E$54:$AB$54,Assumptions!$E$64:$AB$64,Assumptions!G$64,Assumptions!$E$62:$AB$62,"&lt;="&amp;Assumptions!G$62)</f>
        <v>-21134.9233320523</v>
      </c>
      <c r="H55" s="57" t="n">
        <f aca="false">SUMIFS(PL!$E$54:$AB$54,Assumptions!$E$64:$AB$64,Assumptions!H$64,Assumptions!$E$62:$AB$62,"&lt;="&amp;Assumptions!H$62)</f>
        <v>-13772.9210298719</v>
      </c>
      <c r="I55" s="57" t="n">
        <f aca="false">SUMIFS(PL!$E$54:$AB$54,Assumptions!$E$64:$AB$64,Assumptions!I$64,Assumptions!$E$62:$AB$62,"&lt;="&amp;Assumptions!I$62)</f>
        <v>4634.21218049278</v>
      </c>
      <c r="J55" s="57" t="n">
        <f aca="false">SUMIFS(PL!$E$54:$AB$54,Assumptions!$E$64:$AB$64,Assumptions!J$64,Assumptions!$E$62:$AB$62,"&lt;="&amp;Assumptions!J$62)</f>
        <v>-3298.98756114088</v>
      </c>
      <c r="K55" s="57" t="n">
        <f aca="false">SUMIFS(PL!$E$54:$AB$54,Assumptions!$E$64:$AB$64,Assumptions!K$64,Assumptions!$E$62:$AB$62,"&lt;="&amp;Assumptions!K$62)</f>
        <v>-4562.022171819</v>
      </c>
      <c r="L55" s="57" t="n">
        <f aca="false">SUMIFS(PL!$E$54:$AB$54,Assumptions!$E$64:$AB$64,Assumptions!L$64,Assumptions!$E$62:$AB$62,"&lt;="&amp;Assumptions!L$62)</f>
        <v>-19817.0742399291</v>
      </c>
      <c r="M55" s="57" t="n">
        <f aca="false">SUMIFS(PL!$E$54:$AB$54,Assumptions!$E$64:$AB$64,Assumptions!M$64,Assumptions!$E$62:$AB$62,"&lt;="&amp;Assumptions!M$62)</f>
        <v>-14146.7865100333</v>
      </c>
      <c r="N55" s="57" t="n">
        <f aca="false">SUMIFS(PL!$E$54:$AB$54,Assumptions!$E$64:$AB$64,Assumptions!N$64,Assumptions!$E$62:$AB$62,"&lt;="&amp;Assumptions!N$62)</f>
        <v>-8420.21062196328</v>
      </c>
      <c r="O55" s="57" t="n">
        <f aca="false">SUMIFS(PL!$E$54:$AB$54,Assumptions!$E$64:$AB$64,Assumptions!O$64,Assumptions!$E$62:$AB$62,"&lt;="&amp;Assumptions!O$62)</f>
        <v>39975.2610429459</v>
      </c>
      <c r="P55" s="57" t="n">
        <f aca="false">SUMIFS(PL!$E$54:$AB$54,Assumptions!$E$64:$AB$64,Assumptions!P$64,Assumptions!$E$62:$AB$62,"&lt;="&amp;Assumptions!P$62)</f>
        <v>77326.5048968794</v>
      </c>
      <c r="Q55" s="57" t="n">
        <f aca="false">SUMIFS(PL!$E$54:$AB$54,Assumptions!$E$64:$AB$64,Assumptions!Q$64,Assumptions!$E$62:$AB$62,"&lt;="&amp;Assumptions!Q$62)</f>
        <v>-2605.97679855261</v>
      </c>
      <c r="R55" s="57" t="n">
        <f aca="false">SUMIFS(PL!$E$54:$AB$54,Assumptions!$E$64:$AB$64,Assumptions!R$64,Assumptions!$E$62:$AB$62,"&lt;="&amp;Assumptions!R$62)</f>
        <v>-22308.3607939965</v>
      </c>
      <c r="S55" s="57" t="n">
        <f aca="false">SUMIFS(PL!$E$54:$AB$54,Assumptions!$E$64:$AB$64,Assumptions!S$64,Assumptions!$E$62:$AB$62,"&lt;="&amp;Assumptions!S$62)</f>
        <v>-30045.1780304383</v>
      </c>
      <c r="T55" s="57" t="n">
        <f aca="false">SUMIFS(PL!$E$54:$AB$54,Assumptions!$E$64:$AB$64,Assumptions!T$64,Assumptions!$E$62:$AB$62,"&lt;="&amp;Assumptions!T$62)</f>
        <v>-33279.1810906992</v>
      </c>
      <c r="U55" s="57" t="n">
        <f aca="false">SUMIFS(PL!$E$54:$AB$54,Assumptions!$E$64:$AB$64,Assumptions!U$64,Assumptions!$E$62:$AB$62,"&lt;="&amp;Assumptions!U$62)</f>
        <v>-28359.1561314754</v>
      </c>
      <c r="V55" s="57" t="n">
        <f aca="false">SUMIFS(PL!$E$54:$AB$54,Assumptions!$E$64:$AB$64,Assumptions!V$64,Assumptions!$E$62:$AB$62,"&lt;="&amp;Assumptions!V$62)</f>
        <v>-23844.855280176</v>
      </c>
      <c r="W55" s="57" t="n">
        <f aca="false">SUMIFS(PL!$E$54:$AB$54,Assumptions!$E$64:$AB$64,Assumptions!W$64,Assumptions!$E$62:$AB$62,"&lt;="&amp;Assumptions!W$62)</f>
        <v>-20876.913838542</v>
      </c>
      <c r="X55" s="57" t="n">
        <f aca="false">SUMIFS(PL!$E$54:$AB$54,Assumptions!$E$64:$AB$64,Assumptions!X$64,Assumptions!$E$62:$AB$62,"&lt;="&amp;Assumptions!X$62)</f>
        <v>-18692.9251602343</v>
      </c>
      <c r="Y55" s="57" t="n">
        <f aca="false">SUMIFS(PL!$E$54:$AB$54,Assumptions!$E$64:$AB$64,Assumptions!Y$64,Assumptions!$E$62:$AB$62,"&lt;="&amp;Assumptions!Y$62)</f>
        <v>-4302.5721807563</v>
      </c>
      <c r="Z55" s="57" t="n">
        <f aca="false">SUMIFS(PL!$E$54:$AB$54,Assumptions!$E$64:$AB$64,Assumptions!Z$64,Assumptions!$E$62:$AB$62,"&lt;="&amp;Assumptions!Z$62)</f>
        <v>24244.7411249499</v>
      </c>
      <c r="AA55" s="57" t="n">
        <f aca="false">SUMIFS(PL!$E$54:$AB$54,Assumptions!$E$64:$AB$64,Assumptions!AA$64,Assumptions!$E$62:$AB$62,"&lt;="&amp;Assumptions!AA$62)</f>
        <v>101614.45517593</v>
      </c>
      <c r="AB55" s="57" t="n">
        <f aca="false">SUMIFS(PL!$E$54:$AB$54,Assumptions!$E$64:$AB$64,Assumptions!AB$64,Assumptions!$E$62:$AB$62,"&lt;="&amp;Assumptions!AB$62)</f>
        <v>173945.232290123</v>
      </c>
    </row>
    <row r="56" customFormat="false" ht="15" hidden="false" customHeight="true" outlineLevel="0" collapsed="false">
      <c r="A56" s="28" t="s">
        <v>352</v>
      </c>
      <c r="B56" s="55" t="s">
        <v>71</v>
      </c>
      <c r="E56" s="57" t="n">
        <f aca="false">MAX(0,Assumptions!$C$16*MIN(E55,Assumptions!$C$15)+Assumptions!$C$17*MAX(E55-Assumptions!$C$15,0))</f>
        <v>0</v>
      </c>
      <c r="F56" s="57" t="n">
        <f aca="false">MAX(0,Assumptions!$C$16*MIN(F55,Assumptions!$C$15)+Assumptions!$C$17*MAX(F55-Assumptions!$C$15,0))</f>
        <v>0</v>
      </c>
      <c r="G56" s="57" t="n">
        <f aca="false">MAX(0,Assumptions!$C$16*MIN(G55,Assumptions!$C$15)+Assumptions!$C$17*MAX(G55-Assumptions!$C$15,0))</f>
        <v>0</v>
      </c>
      <c r="H56" s="57" t="n">
        <f aca="false">MAX(0,Assumptions!$C$16*MIN(H55,Assumptions!$C$15)+Assumptions!$C$17*MAX(H55-Assumptions!$C$15,0))</f>
        <v>0</v>
      </c>
      <c r="I56" s="57" t="n">
        <f aca="false">MAX(0,Assumptions!$C$16*MIN(I55,Assumptions!$C$15)+Assumptions!$C$17*MAX(I55-Assumptions!$C$15,0))</f>
        <v>880.500314293628</v>
      </c>
      <c r="J56" s="57" t="n">
        <f aca="false">MAX(0,Assumptions!$C$16*MIN(J55,Assumptions!$C$15)+Assumptions!$C$17*MAX(J55-Assumptions!$C$15,0))</f>
        <v>0</v>
      </c>
      <c r="K56" s="57" t="n">
        <f aca="false">MAX(0,Assumptions!$C$16*MIN(K55,Assumptions!$C$15)+Assumptions!$C$17*MAX(K55-Assumptions!$C$15,0))</f>
        <v>0</v>
      </c>
      <c r="L56" s="57" t="n">
        <f aca="false">MAX(0,Assumptions!$C$16*MIN(L55,Assumptions!$C$15)+Assumptions!$C$17*MAX(L55-Assumptions!$C$15,0))</f>
        <v>0</v>
      </c>
      <c r="M56" s="57" t="n">
        <f aca="false">MAX(0,Assumptions!$C$16*MIN(M55,Assumptions!$C$15)+Assumptions!$C$17*MAX(M55-Assumptions!$C$15,0))</f>
        <v>0</v>
      </c>
      <c r="N56" s="57" t="n">
        <f aca="false">MAX(0,Assumptions!$C$16*MIN(N55,Assumptions!$C$15)+Assumptions!$C$17*MAX(N55-Assumptions!$C$15,0))</f>
        <v>0</v>
      </c>
      <c r="O56" s="57" t="n">
        <f aca="false">MAX(0,Assumptions!$C$16*MIN(O55,Assumptions!$C$15)+Assumptions!$C$17*MAX(O55-Assumptions!$C$15,0))</f>
        <v>7595.29959815972</v>
      </c>
      <c r="P56" s="57" t="n">
        <f aca="false">MAX(0,Assumptions!$C$16*MIN(P55,Assumptions!$C$15)+Assumptions!$C$17*MAX(P55-Assumptions!$C$15,0))</f>
        <v>14692.0359304071</v>
      </c>
      <c r="Q56" s="57" t="n">
        <f aca="false">MAX(0,Assumptions!$C$16*MIN(Q55,Assumptions!$C$15)+Assumptions!$C$17*MAX(Q55-Assumptions!$C$15,0))</f>
        <v>0</v>
      </c>
      <c r="R56" s="57" t="n">
        <f aca="false">MAX(0,Assumptions!$C$16*MIN(R55,Assumptions!$C$15)+Assumptions!$C$17*MAX(R55-Assumptions!$C$15,0))</f>
        <v>0</v>
      </c>
      <c r="S56" s="57" t="n">
        <f aca="false">MAX(0,Assumptions!$C$16*MIN(S55,Assumptions!$C$15)+Assumptions!$C$17*MAX(S55-Assumptions!$C$15,0))</f>
        <v>0</v>
      </c>
      <c r="T56" s="57" t="n">
        <f aca="false">MAX(0,Assumptions!$C$16*MIN(T55,Assumptions!$C$15)+Assumptions!$C$17*MAX(T55-Assumptions!$C$15,0))</f>
        <v>0</v>
      </c>
      <c r="U56" s="57" t="n">
        <f aca="false">MAX(0,Assumptions!$C$16*MIN(U55,Assumptions!$C$15)+Assumptions!$C$17*MAX(U55-Assumptions!$C$15,0))</f>
        <v>0</v>
      </c>
      <c r="V56" s="57" t="n">
        <f aca="false">MAX(0,Assumptions!$C$16*MIN(V55,Assumptions!$C$15)+Assumptions!$C$17*MAX(V55-Assumptions!$C$15,0))</f>
        <v>0</v>
      </c>
      <c r="W56" s="57" t="n">
        <f aca="false">MAX(0,Assumptions!$C$16*MIN(W55,Assumptions!$C$15)+Assumptions!$C$17*MAX(W55-Assumptions!$C$15,0))</f>
        <v>0</v>
      </c>
      <c r="X56" s="57" t="n">
        <f aca="false">MAX(0,Assumptions!$C$16*MIN(X55,Assumptions!$C$15)+Assumptions!$C$17*MAX(X55-Assumptions!$C$15,0))</f>
        <v>0</v>
      </c>
      <c r="Y56" s="57" t="n">
        <f aca="false">MAX(0,Assumptions!$C$16*MIN(Y55,Assumptions!$C$15)+Assumptions!$C$17*MAX(Y55-Assumptions!$C$15,0))</f>
        <v>0</v>
      </c>
      <c r="Z56" s="57" t="n">
        <f aca="false">MAX(0,Assumptions!$C$16*MIN(Z55,Assumptions!$C$15)+Assumptions!$C$17*MAX(Z55-Assumptions!$C$15,0))</f>
        <v>4606.50081374049</v>
      </c>
      <c r="AA56" s="57" t="n">
        <f aca="false">MAX(0,Assumptions!$C$16*MIN(AA55,Assumptions!$C$15)+Assumptions!$C$17*MAX(AA55-Assumptions!$C$15,0))</f>
        <v>19306.7464834267</v>
      </c>
      <c r="AB56" s="57" t="n">
        <f aca="false">MAX(0,Assumptions!$C$16*MIN(AB55,Assumptions!$C$15)+Assumptions!$C$17*MAX(AB55-Assumptions!$C$15,0))</f>
        <v>33049.5941351233</v>
      </c>
    </row>
    <row r="57" customFormat="false" ht="15" hidden="false" customHeight="true" outlineLevel="0" collapsed="false">
      <c r="A57" s="28" t="s">
        <v>353</v>
      </c>
      <c r="B57" s="55" t="s">
        <v>354</v>
      </c>
      <c r="C57" s="56" t="n">
        <f aca="false">SUM(E57:P57)</f>
        <v>-14692.0359304071</v>
      </c>
      <c r="D57" s="56" t="n">
        <f aca="false">SUM(Q57:AB57)</f>
        <v>-33049.5941351233</v>
      </c>
      <c r="E57" s="57" t="n">
        <f aca="false">-(E56-IF(Assumptions!E$65=1,0,0))</f>
        <v>-0</v>
      </c>
      <c r="F57" s="57" t="n">
        <f aca="false">-(F56-IF(Assumptions!F$65=1,0,E56))</f>
        <v>-0</v>
      </c>
      <c r="G57" s="57" t="n">
        <f aca="false">-(G56-IF(Assumptions!G$65=1,0,F56))</f>
        <v>-0</v>
      </c>
      <c r="H57" s="57" t="n">
        <f aca="false">-(H56-IF(Assumptions!H$65=1,0,G56))</f>
        <v>-0</v>
      </c>
      <c r="I57" s="57" t="n">
        <f aca="false">-(I56-IF(Assumptions!I$65=1,0,H56))</f>
        <v>-880.500314293628</v>
      </c>
      <c r="J57" s="57" t="n">
        <f aca="false">-(J56-IF(Assumptions!J$65=1,0,I56))</f>
        <v>880.500314293628</v>
      </c>
      <c r="K57" s="57" t="n">
        <f aca="false">-(K56-IF(Assumptions!K$65=1,0,J56))</f>
        <v>-0</v>
      </c>
      <c r="L57" s="57" t="n">
        <f aca="false">-(L56-IF(Assumptions!L$65=1,0,K56))</f>
        <v>-0</v>
      </c>
      <c r="M57" s="57" t="n">
        <f aca="false">-(M56-IF(Assumptions!M$65=1,0,L56))</f>
        <v>-0</v>
      </c>
      <c r="N57" s="57" t="n">
        <f aca="false">-(N56-IF(Assumptions!N$65=1,0,M56))</f>
        <v>-0</v>
      </c>
      <c r="O57" s="57" t="n">
        <f aca="false">-(O56-IF(Assumptions!O$65=1,0,N56))</f>
        <v>-7595.29959815972</v>
      </c>
      <c r="P57" s="57" t="n">
        <f aca="false">-(P56-IF(Assumptions!P$65=1,0,O56))</f>
        <v>-7096.73633224738</v>
      </c>
      <c r="Q57" s="57" t="n">
        <f aca="false">-(Q56-IF(Assumptions!Q$65=1,0,P56))</f>
        <v>-0</v>
      </c>
      <c r="R57" s="57" t="n">
        <f aca="false">-(R56-IF(Assumptions!R$65=1,0,Q56))</f>
        <v>-0</v>
      </c>
      <c r="S57" s="57" t="n">
        <f aca="false">-(S56-IF(Assumptions!S$65=1,0,R56))</f>
        <v>-0</v>
      </c>
      <c r="T57" s="57" t="n">
        <f aca="false">-(T56-IF(Assumptions!T$65=1,0,S56))</f>
        <v>-0</v>
      </c>
      <c r="U57" s="57" t="n">
        <f aca="false">-(U56-IF(Assumptions!U$65=1,0,T56))</f>
        <v>-0</v>
      </c>
      <c r="V57" s="57" t="n">
        <f aca="false">-(V56-IF(Assumptions!V$65=1,0,U56))</f>
        <v>-0</v>
      </c>
      <c r="W57" s="57" t="n">
        <f aca="false">-(W56-IF(Assumptions!W$65=1,0,V56))</f>
        <v>-0</v>
      </c>
      <c r="X57" s="57" t="n">
        <f aca="false">-(X56-IF(Assumptions!X$65=1,0,W56))</f>
        <v>-0</v>
      </c>
      <c r="Y57" s="57" t="n">
        <f aca="false">-(Y56-IF(Assumptions!Y$65=1,0,X56))</f>
        <v>-0</v>
      </c>
      <c r="Z57" s="57" t="n">
        <f aca="false">-(Z56-IF(Assumptions!Z$65=1,0,Y56))</f>
        <v>-4606.50081374049</v>
      </c>
      <c r="AA57" s="57" t="n">
        <f aca="false">-(AA56-IF(Assumptions!AA$65=1,0,Z56))</f>
        <v>-14700.2456696862</v>
      </c>
      <c r="AB57" s="57" t="n">
        <f aca="false">-(AB56-IF(Assumptions!AB$65=1,0,AA56))</f>
        <v>-13742.8476516966</v>
      </c>
    </row>
    <row r="58" customFormat="false" ht="15" hidden="false" customHeight="true" outlineLevel="0" collapsed="false">
      <c r="A58" s="70" t="s">
        <v>355</v>
      </c>
      <c r="B58" s="71"/>
      <c r="C58" s="72" t="n">
        <f aca="false">SUM(E58:P58)</f>
        <v>62634.4689664724</v>
      </c>
      <c r="D58" s="72" t="n">
        <f aca="false">SUM(Q58:AB58)</f>
        <v>140895.638154999</v>
      </c>
      <c r="E58" s="72" t="n">
        <f aca="false">E54+E57</f>
        <v>-3497.35266269838</v>
      </c>
      <c r="F58" s="72" t="n">
        <f aca="false">F54+F57</f>
        <v>-14877.8231074433</v>
      </c>
      <c r="G58" s="72" t="n">
        <f aca="false">G54+G57</f>
        <v>-2759.74756191062</v>
      </c>
      <c r="H58" s="72" t="n">
        <f aca="false">H54+H57</f>
        <v>7362.0023021804</v>
      </c>
      <c r="I58" s="72" t="n">
        <f aca="false">I54+I57</f>
        <v>17526.6328960711</v>
      </c>
      <c r="J58" s="72" t="n">
        <f aca="false">J54+J57</f>
        <v>-7052.69942734003</v>
      </c>
      <c r="K58" s="72" t="n">
        <f aca="false">K54+K57</f>
        <v>-1263.03461067812</v>
      </c>
      <c r="L58" s="72" t="n">
        <f aca="false">L54+L57</f>
        <v>-15255.0520681101</v>
      </c>
      <c r="M58" s="72" t="n">
        <f aca="false">M54+M57</f>
        <v>5670.28772989574</v>
      </c>
      <c r="N58" s="72" t="n">
        <f aca="false">N54+N57</f>
        <v>5726.57588807005</v>
      </c>
      <c r="O58" s="72" t="n">
        <f aca="false">O54+O57</f>
        <v>40800.1720667495</v>
      </c>
      <c r="P58" s="72" t="n">
        <f aca="false">P54+P57</f>
        <v>30254.5075216862</v>
      </c>
      <c r="Q58" s="72" t="n">
        <f aca="false">Q54+Q57</f>
        <v>-2605.97679855261</v>
      </c>
      <c r="R58" s="72" t="n">
        <f aca="false">R54+R57</f>
        <v>-19702.3839954439</v>
      </c>
      <c r="S58" s="72" t="n">
        <f aca="false">S54+S57</f>
        <v>-7736.81723644183</v>
      </c>
      <c r="T58" s="72" t="n">
        <f aca="false">T54+T57</f>
        <v>-3234.00306026091</v>
      </c>
      <c r="U58" s="72" t="n">
        <f aca="false">U54+U57</f>
        <v>4920.02495922381</v>
      </c>
      <c r="V58" s="72" t="n">
        <f aca="false">V54+V57</f>
        <v>4514.30085129945</v>
      </c>
      <c r="W58" s="72" t="n">
        <f aca="false">W54+W57</f>
        <v>2967.94144163391</v>
      </c>
      <c r="X58" s="72" t="n">
        <f aca="false">X54+X57</f>
        <v>2183.98867830775</v>
      </c>
      <c r="Y58" s="72" t="n">
        <f aca="false">Y54+Y57</f>
        <v>14390.352979478</v>
      </c>
      <c r="Z58" s="72" t="n">
        <f aca="false">Z54+Z57</f>
        <v>23940.8124919658</v>
      </c>
      <c r="AA58" s="72" t="n">
        <f aca="false">AA54+AA57</f>
        <v>62669.4683812939</v>
      </c>
      <c r="AB58" s="72" t="n">
        <f aca="false">AB54+AB57</f>
        <v>58587.9294624961</v>
      </c>
    </row>
    <row r="59" customFormat="false" ht="15" hidden="false" customHeight="true" outlineLevel="0" collapsed="false">
      <c r="A59" s="28" t="s">
        <v>356</v>
      </c>
      <c r="B59" s="55"/>
      <c r="C59" s="59" t="n">
        <f aca="false">IF(C14=0,0,C58/C14)</f>
        <v>0.0145306032465582</v>
      </c>
      <c r="D59" s="59" t="n">
        <f aca="false">IF(D14=0,0,D58/D14)</f>
        <v>0.0251124068278853</v>
      </c>
      <c r="E59" s="58" t="n">
        <f aca="false">IF(E14=0,0,E58/E14)</f>
        <v>-0.0125992192256132</v>
      </c>
      <c r="F59" s="58" t="n">
        <f aca="false">IF(F14=0,0,F58/F14)</f>
        <v>-0.05937383324034</v>
      </c>
      <c r="G59" s="58" t="n">
        <f aca="false">IF(G14=0,0,G58/G14)</f>
        <v>-0.00938987366696392</v>
      </c>
      <c r="H59" s="58" t="n">
        <f aca="false">IF(H14=0,0,H58/H14)</f>
        <v>0.0237384249158428</v>
      </c>
      <c r="I59" s="58" t="n">
        <f aca="false">IF(I14=0,0,I58/I14)</f>
        <v>0.0503675930849339</v>
      </c>
      <c r="J59" s="58" t="n">
        <f aca="false">IF(J14=0,0,J58/J14)</f>
        <v>-0.0212650578862539</v>
      </c>
      <c r="K59" s="58" t="n">
        <f aca="false">IF(K14=0,0,K58/K14)</f>
        <v>-0.00409698709475534</v>
      </c>
      <c r="L59" s="58" t="n">
        <f aca="false">IF(L14=0,0,L58/L14)</f>
        <v>-0.0487689610067118</v>
      </c>
      <c r="M59" s="58" t="n">
        <f aca="false">IF(M14=0,0,M58/M14)</f>
        <v>0.016088722045209</v>
      </c>
      <c r="N59" s="58" t="n">
        <f aca="false">IF(N14=0,0,N58/N14)</f>
        <v>0.0140335380634581</v>
      </c>
      <c r="O59" s="58" t="n">
        <f aca="false">IF(O14=0,0,O58/O14)</f>
        <v>0.0698002605166491</v>
      </c>
      <c r="P59" s="58" t="n">
        <f aca="false">IF(P14=0,0,P58/P14)</f>
        <v>0.0568081743054716</v>
      </c>
      <c r="Q59" s="58" t="n">
        <f aca="false">IF(Q14=0,0,Q58/Q14)</f>
        <v>-0.00755158871300719</v>
      </c>
      <c r="R59" s="58" t="n">
        <f aca="false">IF(R14=0,0,R58/R14)</f>
        <v>-0.061288549672625</v>
      </c>
      <c r="S59" s="58" t="n">
        <f aca="false">IF(S14=0,0,S58/S14)</f>
        <v>-0.0208666445317723</v>
      </c>
      <c r="T59" s="58" t="n">
        <f aca="false">IF(T14=0,0,T58/T14)</f>
        <v>-0.00825323529167721</v>
      </c>
      <c r="U59" s="58" t="n">
        <f aca="false">IF(U14=0,0,U58/U14)</f>
        <v>0.0116085234367523</v>
      </c>
      <c r="V59" s="58" t="n">
        <f aca="false">IF(V14=0,0,V58/V14)</f>
        <v>0.0107153885301287</v>
      </c>
      <c r="W59" s="58" t="n">
        <f aca="false">IF(W14=0,0,W58/W14)</f>
        <v>0.00723141075263993</v>
      </c>
      <c r="X59" s="58" t="n">
        <f aca="false">IF(X14=0,0,X58/X14)</f>
        <v>0.00532269791371515</v>
      </c>
      <c r="Y59" s="58" t="n">
        <f aca="false">IF(Y14=0,0,Y58/Y14)</f>
        <v>0.0305981183139369</v>
      </c>
      <c r="Z59" s="58" t="n">
        <f aca="false">IF(Z14=0,0,Z58/Z14)</f>
        <v>0.0437992181720788</v>
      </c>
      <c r="AA59" s="58" t="n">
        <f aca="false">IF(AA14=0,0,AA58/AA14)</f>
        <v>0.0799646931540855</v>
      </c>
      <c r="AB59" s="58" t="n">
        <f aca="false">IF(AB14=0,0,AB58/AB14)</f>
        <v>0.0819481481428444</v>
      </c>
    </row>
    <row r="60" customFormat="false" ht="15" hidden="false" customHeight="true" outlineLevel="0" collapsed="false">
      <c r="A60" s="25" t="s">
        <v>357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4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358</v>
      </c>
    </row>
    <row r="3" customFormat="false" ht="15" hidden="false" customHeight="true" outlineLevel="0" collapsed="false">
      <c r="A3" s="25" t="s">
        <v>359</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360</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293</v>
      </c>
      <c r="B9" s="55" t="s">
        <v>34</v>
      </c>
      <c r="C9" s="56" t="n">
        <f aca="false">P9</f>
        <v>611228.15905107</v>
      </c>
      <c r="D9" s="56" t="n">
        <f aca="false">AB9</f>
        <v>346148.301803288</v>
      </c>
      <c r="E9" s="57" t="n">
        <f aca="false">CF!E39</f>
        <v>396444.439224908</v>
      </c>
      <c r="F9" s="57" t="n">
        <f aca="false">CF!F39</f>
        <v>378620.878449815</v>
      </c>
      <c r="G9" s="57" t="n">
        <f aca="false">CF!G39</f>
        <v>473742.317674723</v>
      </c>
      <c r="H9" s="57" t="n">
        <f aca="false">CF!H39</f>
        <v>328674.27664963</v>
      </c>
      <c r="I9" s="57" t="n">
        <f aca="false">CF!I39</f>
        <v>453889.715874538</v>
      </c>
      <c r="J9" s="57" t="n">
        <f aca="false">CF!J39</f>
        <v>495519.155099445</v>
      </c>
      <c r="K9" s="57" t="n">
        <f aca="false">CF!K39</f>
        <v>332377.756974353</v>
      </c>
      <c r="L9" s="57" t="n">
        <f aca="false">CF!L39</f>
        <v>391452.19619926</v>
      </c>
      <c r="M9" s="57" t="n">
        <f aca="false">CF!M39</f>
        <v>312681.113650824</v>
      </c>
      <c r="N9" s="57" t="n">
        <f aca="false">CF!N39</f>
        <v>288663.198204064</v>
      </c>
      <c r="O9" s="57" t="n">
        <f aca="false">CF!O39</f>
        <v>399941.040920956</v>
      </c>
      <c r="P9" s="57" t="n">
        <f aca="false">CF!P39</f>
        <v>611228.15905107</v>
      </c>
      <c r="Q9" s="57" t="n">
        <f aca="false">CF!Q39</f>
        <v>487746.837917712</v>
      </c>
      <c r="R9" s="57" t="n">
        <f aca="false">CF!R39</f>
        <v>441345.671542249</v>
      </c>
      <c r="S9" s="57" t="n">
        <f aca="false">CF!S39</f>
        <v>504001.610207085</v>
      </c>
      <c r="T9" s="57" t="n">
        <f aca="false">CF!T39</f>
        <v>385995.665359386</v>
      </c>
      <c r="U9" s="57" t="n">
        <f aca="false">CF!U39</f>
        <v>458320.235359693</v>
      </c>
      <c r="V9" s="57" t="n">
        <f aca="false">CF!V39</f>
        <v>505412.125956048</v>
      </c>
      <c r="W9" s="57" t="n">
        <f aca="false">CF!W39</f>
        <v>259894.061342331</v>
      </c>
      <c r="X9" s="57" t="n">
        <f aca="false">CF!X39</f>
        <v>257728.957259515</v>
      </c>
      <c r="Y9" s="57" t="n">
        <f aca="false">CF!Y39</f>
        <v>118370.880441819</v>
      </c>
      <c r="Z9" s="57" t="n">
        <f aca="false">CF!Z39</f>
        <v>1825.21673517399</v>
      </c>
      <c r="AA9" s="57" t="n">
        <f aca="false">CF!AA39</f>
        <v>140551.651378412</v>
      </c>
      <c r="AB9" s="57" t="n">
        <f aca="false">CF!AB39</f>
        <v>346148.301803288</v>
      </c>
    </row>
    <row r="10" customFormat="false" ht="15" hidden="false" customHeight="true" outlineLevel="0" collapsed="false">
      <c r="A10" s="28" t="s">
        <v>361</v>
      </c>
      <c r="B10" s="55" t="s">
        <v>48</v>
      </c>
      <c r="C10" s="56" t="n">
        <f aca="false">P10</f>
        <v>182242.784503807</v>
      </c>
      <c r="D10" s="56" t="n">
        <f aca="false">AB10</f>
        <v>252361.302761511</v>
      </c>
      <c r="E10" s="57" t="n">
        <f aca="false">Settlements!E47</f>
        <v>85464.4307206564</v>
      </c>
      <c r="F10" s="57" t="n">
        <f aca="false">Settlements!F47</f>
        <v>96314.4317233461</v>
      </c>
      <c r="G10" s="57" t="n">
        <f aca="false">Settlements!G47</f>
        <v>107908.890038175</v>
      </c>
      <c r="H10" s="57" t="n">
        <f aca="false">Settlements!H47</f>
        <v>115541.157312387</v>
      </c>
      <c r="I10" s="57" t="n">
        <f aca="false">Settlements!I47</f>
        <v>129081.437073264</v>
      </c>
      <c r="J10" s="57" t="n">
        <f aca="false">Settlements!J47</f>
        <v>127648.255830845</v>
      </c>
      <c r="K10" s="57" t="n">
        <f aca="false">Settlements!K47</f>
        <v>102297.311816305</v>
      </c>
      <c r="L10" s="57" t="n">
        <f aca="false">Settlements!L47</f>
        <v>105116.523559853</v>
      </c>
      <c r="M10" s="57" t="n">
        <f aca="false">Settlements!M47</f>
        <v>127022.380612899</v>
      </c>
      <c r="N10" s="57" t="n">
        <f aca="false">Settlements!N47</f>
        <v>140287.912493951</v>
      </c>
      <c r="O10" s="57" t="n">
        <f aca="false">Settlements!O47</f>
        <v>209973.438205348</v>
      </c>
      <c r="P10" s="57" t="n">
        <f aca="false">Settlements!P47</f>
        <v>182242.784503807</v>
      </c>
      <c r="Q10" s="57" t="n">
        <f aca="false">Settlements!Q47</f>
        <v>118649.712573932</v>
      </c>
      <c r="R10" s="57" t="n">
        <f aca="false">Settlements!R47</f>
        <v>125488.153060527</v>
      </c>
      <c r="S10" s="57" t="n">
        <f aca="false">Settlements!S47</f>
        <v>130958.464043457</v>
      </c>
      <c r="T10" s="57" t="n">
        <f aca="false">Settlements!T47</f>
        <v>143627.688846041</v>
      </c>
      <c r="U10" s="57" t="n">
        <f aca="false">Settlements!U47</f>
        <v>150455.09758686</v>
      </c>
      <c r="V10" s="57" t="n">
        <f aca="false">Settlements!V47</f>
        <v>154829.544883117</v>
      </c>
      <c r="W10" s="57" t="n">
        <f aca="false">Settlements!W47</f>
        <v>145842.724624459</v>
      </c>
      <c r="X10" s="57" t="n">
        <f aca="false">Settlements!X47</f>
        <v>146528.294108939</v>
      </c>
      <c r="Y10" s="57" t="n">
        <f aca="false">Settlements!Y47</f>
        <v>175047.41441388</v>
      </c>
      <c r="Z10" s="57" t="n">
        <f aca="false">Settlements!Z47</f>
        <v>193799.45893346</v>
      </c>
      <c r="AA10" s="57" t="n">
        <f aca="false">Settlements!AA47</f>
        <v>290411.097366481</v>
      </c>
      <c r="AB10" s="57" t="n">
        <f aca="false">Settlements!AB47</f>
        <v>252361.302761511</v>
      </c>
    </row>
    <row r="11" customFormat="false" ht="15" hidden="false" customHeight="true" outlineLevel="0" collapsed="false">
      <c r="A11" s="28" t="s">
        <v>362</v>
      </c>
      <c r="B11" s="55" t="s">
        <v>50</v>
      </c>
      <c r="C11" s="56" t="n">
        <f aca="false">P11</f>
        <v>435689.783239396</v>
      </c>
      <c r="D11" s="56" t="n">
        <f aca="false">AB11</f>
        <v>685248.076029954</v>
      </c>
      <c r="E11" s="57" t="n">
        <f aca="false">Inventory!E86</f>
        <v>734632.17</v>
      </c>
      <c r="F11" s="57" t="n">
        <f aca="false">Inventory!F86</f>
        <v>693600.55</v>
      </c>
      <c r="G11" s="57" t="n">
        <f aca="false">Inventory!G86</f>
        <v>671167.56</v>
      </c>
      <c r="H11" s="57" t="n">
        <f aca="false">Inventory!H86</f>
        <v>555934.38</v>
      </c>
      <c r="I11" s="57" t="n">
        <f aca="false">Inventory!I86</f>
        <v>591361.56</v>
      </c>
      <c r="J11" s="57" t="n">
        <f aca="false">Inventory!J86</f>
        <v>532501.08</v>
      </c>
      <c r="K11" s="57" t="n">
        <f aca="false">Inventory!K86</f>
        <v>467854.25</v>
      </c>
      <c r="L11" s="57" t="n">
        <f aca="false">Inventory!L86</f>
        <v>390173.13</v>
      </c>
      <c r="M11" s="57" t="n">
        <f aca="false">Inventory!M86</f>
        <v>518586.507970427</v>
      </c>
      <c r="N11" s="57" t="n">
        <f aca="false">Inventory!N86</f>
        <v>631432.396407788</v>
      </c>
      <c r="O11" s="57" t="n">
        <f aca="false">Inventory!O86</f>
        <v>478554.853053368</v>
      </c>
      <c r="P11" s="57" t="n">
        <f aca="false">Inventory!P86</f>
        <v>435689.783239396</v>
      </c>
      <c r="Q11" s="57" t="n">
        <f aca="false">Inventory!Q86</f>
        <v>552788.975271565</v>
      </c>
      <c r="R11" s="57" t="n">
        <f aca="false">Inventory!R86</f>
        <v>478424.882693761</v>
      </c>
      <c r="S11" s="57" t="n">
        <f aca="false">Inventory!S86</f>
        <v>468862.320711011</v>
      </c>
      <c r="T11" s="57" t="n">
        <f aca="false">Inventory!T86</f>
        <v>453385.625918179</v>
      </c>
      <c r="U11" s="57" t="n">
        <f aca="false">Inventory!U86</f>
        <v>438794.795232587</v>
      </c>
      <c r="V11" s="57" t="n">
        <f aca="false">Inventory!V86</f>
        <v>393633.427969154</v>
      </c>
      <c r="W11" s="57" t="n">
        <f aca="false">Inventory!W86</f>
        <v>394470.743193935</v>
      </c>
      <c r="X11" s="57" t="n">
        <f aca="false">Inventory!X86</f>
        <v>470384.738068628</v>
      </c>
      <c r="Y11" s="57" t="n">
        <f aca="false">Inventory!Y86</f>
        <v>528303.017317679</v>
      </c>
      <c r="Z11" s="57" t="n">
        <f aca="false">Inventory!Z86</f>
        <v>790119.455030334</v>
      </c>
      <c r="AA11" s="57" t="n">
        <f aca="false">Inventory!AA86</f>
        <v>685248.076029954</v>
      </c>
      <c r="AB11" s="57" t="n">
        <f aca="false">Inventory!AB86</f>
        <v>685248.076029954</v>
      </c>
    </row>
    <row r="12" customFormat="false" ht="15" hidden="false" customHeight="true" outlineLevel="0" collapsed="false">
      <c r="A12" s="28" t="s">
        <v>363</v>
      </c>
      <c r="B12" s="55" t="s">
        <v>50</v>
      </c>
      <c r="C12" s="56" t="n">
        <f aca="false">P12</f>
        <v>-0</v>
      </c>
      <c r="D12" s="56" t="n">
        <f aca="false">AB12</f>
        <v>-0</v>
      </c>
      <c r="E12" s="57" t="n">
        <f aca="false">-Inventory!E87</f>
        <v>-25509.7362463742</v>
      </c>
      <c r="F12" s="57" t="n">
        <f aca="false">-Inventory!F87</f>
        <v>-30070.4803130296</v>
      </c>
      <c r="G12" s="57" t="n">
        <f aca="false">-Inventory!G87</f>
        <v>-25067.7972003322</v>
      </c>
      <c r="H12" s="57" t="n">
        <f aca="false">-Inventory!H87</f>
        <v>-15482.0167090844</v>
      </c>
      <c r="I12" s="57" t="n">
        <f aca="false">-Inventory!I87</f>
        <v>-5225.80183090387</v>
      </c>
      <c r="J12" s="57" t="n">
        <f aca="false">-Inventory!J87</f>
        <v>-9888.22842563362</v>
      </c>
      <c r="K12" s="57" t="n">
        <f aca="false">-Inventory!K87</f>
        <v>-2486.14559338448</v>
      </c>
      <c r="L12" s="57" t="n">
        <f aca="false">-Inventory!L87</f>
        <v>-6974.41816072769</v>
      </c>
      <c r="M12" s="57" t="n">
        <f aca="false">-Inventory!M87</f>
        <v>-3685.65875288934</v>
      </c>
      <c r="N12" s="57" t="n">
        <f aca="false">-Inventory!N87</f>
        <v>-7044.72885048937</v>
      </c>
      <c r="O12" s="57" t="n">
        <f aca="false">-Inventory!O87</f>
        <v>-0</v>
      </c>
      <c r="P12" s="57" t="n">
        <f aca="false">-Inventory!P87</f>
        <v>-0</v>
      </c>
      <c r="Q12" s="57" t="n">
        <f aca="false">-Inventory!Q87</f>
        <v>-0</v>
      </c>
      <c r="R12" s="57" t="n">
        <f aca="false">-Inventory!R87</f>
        <v>-0</v>
      </c>
      <c r="S12" s="57" t="n">
        <f aca="false">-Inventory!S87</f>
        <v>-0</v>
      </c>
      <c r="T12" s="57" t="n">
        <f aca="false">-Inventory!T87</f>
        <v>-0</v>
      </c>
      <c r="U12" s="57" t="n">
        <f aca="false">-Inventory!U87</f>
        <v>-0</v>
      </c>
      <c r="V12" s="57" t="n">
        <f aca="false">-Inventory!V87</f>
        <v>-0</v>
      </c>
      <c r="W12" s="57" t="n">
        <f aca="false">-Inventory!W87</f>
        <v>-0</v>
      </c>
      <c r="X12" s="57" t="n">
        <f aca="false">-Inventory!X87</f>
        <v>-0</v>
      </c>
      <c r="Y12" s="57" t="n">
        <f aca="false">-Inventory!Y87</f>
        <v>-0</v>
      </c>
      <c r="Z12" s="57" t="n">
        <f aca="false">-Inventory!Z87</f>
        <v>-0</v>
      </c>
      <c r="AA12" s="57" t="n">
        <f aca="false">-Inventory!AA87</f>
        <v>-0</v>
      </c>
      <c r="AB12" s="57" t="n">
        <f aca="false">-Inventory!AB87</f>
        <v>-0</v>
      </c>
    </row>
    <row r="13" customFormat="false" ht="15" hidden="false" customHeight="true" outlineLevel="0" collapsed="false">
      <c r="A13" s="28" t="s">
        <v>364</v>
      </c>
      <c r="B13" s="55" t="s">
        <v>50</v>
      </c>
      <c r="C13" s="56" t="n">
        <f aca="false">P13</f>
        <v>204368.83192789</v>
      </c>
      <c r="D13" s="56" t="n">
        <f aca="false">AB13</f>
        <v>230100.562378273</v>
      </c>
      <c r="E13" s="57" t="n">
        <f aca="false">Inventory!E103</f>
        <v>41000</v>
      </c>
      <c r="F13" s="57" t="n">
        <f aca="false">Inventory!F103</f>
        <v>77000</v>
      </c>
      <c r="G13" s="57" t="n">
        <f aca="false">Inventory!G103</f>
        <v>0</v>
      </c>
      <c r="H13" s="57" t="n">
        <f aca="false">Inventory!H103</f>
        <v>194000</v>
      </c>
      <c r="I13" s="57" t="n">
        <f aca="false">Inventory!I103</f>
        <v>52000</v>
      </c>
      <c r="J13" s="57" t="n">
        <f aca="false">Inventory!J103</f>
        <v>46000</v>
      </c>
      <c r="K13" s="57" t="n">
        <f aca="false">Inventory!K103</f>
        <v>154000</v>
      </c>
      <c r="L13" s="57" t="n">
        <f aca="false">Inventory!L103</f>
        <v>234000</v>
      </c>
      <c r="M13" s="57" t="n">
        <f aca="false">Inventory!M103</f>
        <v>280000</v>
      </c>
      <c r="N13" s="57" t="n">
        <f aca="false">Inventory!N103</f>
        <v>90000</v>
      </c>
      <c r="O13" s="57" t="n">
        <f aca="false">Inventory!O103</f>
        <v>231704.688455532</v>
      </c>
      <c r="P13" s="57" t="n">
        <f aca="false">Inventory!P103</f>
        <v>204368.83192789</v>
      </c>
      <c r="Q13" s="57" t="n">
        <f aca="false">Inventory!Q103</f>
        <v>43238.0523060678</v>
      </c>
      <c r="R13" s="57" t="n">
        <f aca="false">Inventory!R103</f>
        <v>112868.802476099</v>
      </c>
      <c r="S13" s="57" t="n">
        <f aca="false">Inventory!S103</f>
        <v>114704.206218409</v>
      </c>
      <c r="T13" s="57" t="n">
        <f aca="false">Inventory!T103</f>
        <v>125534.298831126</v>
      </c>
      <c r="U13" s="57" t="n">
        <f aca="false">Inventory!U103</f>
        <v>98476.722849377</v>
      </c>
      <c r="V13" s="57" t="n">
        <f aca="false">Inventory!V103</f>
        <v>132845.419677238</v>
      </c>
      <c r="W13" s="57" t="n">
        <f aca="false">Inventory!W103</f>
        <v>197037.34610189</v>
      </c>
      <c r="X13" s="57" t="n">
        <f aca="false">Inventory!X103</f>
        <v>202122.858975755</v>
      </c>
      <c r="Y13" s="57" t="n">
        <f aca="false">Inventory!Y103</f>
        <v>400012.356411936</v>
      </c>
      <c r="Z13" s="57" t="n">
        <f aca="false">Inventory!Z103</f>
        <v>167593.565548547</v>
      </c>
      <c r="AA13" s="57" t="n">
        <f aca="false">Inventory!AA103</f>
        <v>230100.562378273</v>
      </c>
      <c r="AB13" s="57" t="n">
        <f aca="false">Inventory!AB103</f>
        <v>230100.562378273</v>
      </c>
    </row>
    <row r="14" customFormat="false" ht="15" hidden="false" customHeight="true" outlineLevel="0" collapsed="false">
      <c r="A14" s="28" t="s">
        <v>365</v>
      </c>
      <c r="B14" s="55" t="s">
        <v>50</v>
      </c>
      <c r="C14" s="56" t="n">
        <f aca="false">P14</f>
        <v>46832.0564346499</v>
      </c>
      <c r="D14" s="56" t="n">
        <f aca="false">AB14</f>
        <v>138060.337426963</v>
      </c>
      <c r="E14" s="57" t="n">
        <f aca="false">Inventory!E111</f>
        <v>34800</v>
      </c>
      <c r="F14" s="57" t="n">
        <f aca="false">Inventory!F111</f>
        <v>42000</v>
      </c>
      <c r="G14" s="57" t="n">
        <f aca="false">Inventory!G111</f>
        <v>69000</v>
      </c>
      <c r="H14" s="57" t="n">
        <f aca="false">Inventory!H111</f>
        <v>13800</v>
      </c>
      <c r="I14" s="57" t="n">
        <f aca="false">Inventory!I111</f>
        <v>60000</v>
      </c>
      <c r="J14" s="57" t="n">
        <f aca="false">Inventory!J111</f>
        <v>123000</v>
      </c>
      <c r="K14" s="57" t="n">
        <f aca="false">Inventory!K111</f>
        <v>129400</v>
      </c>
      <c r="L14" s="57" t="n">
        <f aca="false">Inventory!L111</f>
        <v>103600</v>
      </c>
      <c r="M14" s="57" t="n">
        <f aca="false">Inventory!M111</f>
        <v>69511.4065366597</v>
      </c>
      <c r="N14" s="57" t="n">
        <f aca="false">Inventory!N111</f>
        <v>93022.0561150267</v>
      </c>
      <c r="O14" s="57" t="n">
        <f aca="false">Inventory!O111</f>
        <v>44882.0652701873</v>
      </c>
      <c r="P14" s="57" t="n">
        <f aca="false">Inventory!P111</f>
        <v>46832.0564346499</v>
      </c>
      <c r="Q14" s="57" t="n">
        <f aca="false">Inventory!Q111</f>
        <v>68271.9026083521</v>
      </c>
      <c r="R14" s="57" t="n">
        <f aca="false">Inventory!R111</f>
        <v>72071.5515148604</v>
      </c>
      <c r="S14" s="57" t="n">
        <f aca="false">Inventory!S111</f>
        <v>67203.306504151</v>
      </c>
      <c r="T14" s="57" t="n">
        <f aca="false">Inventory!T111</f>
        <v>69396.6427579845</v>
      </c>
      <c r="U14" s="57" t="n">
        <f aca="false">Inventory!U111</f>
        <v>98964.8297337384</v>
      </c>
      <c r="V14" s="57" t="n">
        <f aca="false">Inventory!V111</f>
        <v>119748.061523294</v>
      </c>
      <c r="W14" s="57" t="n">
        <f aca="false">Inventory!W111</f>
        <v>180640.564616307</v>
      </c>
      <c r="X14" s="57" t="n">
        <f aca="false">Inventory!X111</f>
        <v>170281.776588145</v>
      </c>
      <c r="Y14" s="57" t="n">
        <f aca="false">Inventory!Y111</f>
        <v>119308.238378046</v>
      </c>
      <c r="Z14" s="57" t="n">
        <f aca="false">Inventory!Z111</f>
        <v>138060.337426963</v>
      </c>
      <c r="AA14" s="57" t="n">
        <f aca="false">Inventory!AA111</f>
        <v>138060.337426963</v>
      </c>
      <c r="AB14" s="57" t="n">
        <f aca="false">Inventory!AB111</f>
        <v>138060.337426963</v>
      </c>
    </row>
    <row r="15" customFormat="false" ht="15" hidden="false" customHeight="true" outlineLevel="0" collapsed="false">
      <c r="A15" s="28" t="s">
        <v>366</v>
      </c>
      <c r="B15" s="55" t="s">
        <v>367</v>
      </c>
      <c r="C15" s="56" t="n">
        <f aca="false">P15</f>
        <v>21500</v>
      </c>
      <c r="D15" s="56" t="n">
        <f aca="false">AB15</f>
        <v>21500</v>
      </c>
      <c r="E15" s="57" t="n">
        <f aca="false">Inputs_Actuals!$C$124</f>
        <v>21500</v>
      </c>
      <c r="F15" s="69" t="n">
        <f aca="false">E15</f>
        <v>21500</v>
      </c>
      <c r="G15" s="69" t="n">
        <f aca="false">F15</f>
        <v>21500</v>
      </c>
      <c r="H15" s="69" t="n">
        <f aca="false">G15</f>
        <v>21500</v>
      </c>
      <c r="I15" s="69" t="n">
        <f aca="false">H15</f>
        <v>21500</v>
      </c>
      <c r="J15" s="69" t="n">
        <f aca="false">I15</f>
        <v>21500</v>
      </c>
      <c r="K15" s="69" t="n">
        <f aca="false">J15</f>
        <v>21500</v>
      </c>
      <c r="L15" s="69" t="n">
        <f aca="false">K15</f>
        <v>21500</v>
      </c>
      <c r="M15" s="69" t="n">
        <f aca="false">L15</f>
        <v>21500</v>
      </c>
      <c r="N15" s="69" t="n">
        <f aca="false">M15</f>
        <v>21500</v>
      </c>
      <c r="O15" s="69" t="n">
        <f aca="false">N15</f>
        <v>21500</v>
      </c>
      <c r="P15" s="69" t="n">
        <f aca="false">O15</f>
        <v>21500</v>
      </c>
      <c r="Q15" s="69" t="n">
        <f aca="false">P15</f>
        <v>21500</v>
      </c>
      <c r="R15" s="69" t="n">
        <f aca="false">Q15</f>
        <v>21500</v>
      </c>
      <c r="S15" s="69" t="n">
        <f aca="false">R15</f>
        <v>21500</v>
      </c>
      <c r="T15" s="69" t="n">
        <f aca="false">S15</f>
        <v>21500</v>
      </c>
      <c r="U15" s="69" t="n">
        <f aca="false">T15</f>
        <v>21500</v>
      </c>
      <c r="V15" s="69" t="n">
        <f aca="false">U15</f>
        <v>21500</v>
      </c>
      <c r="W15" s="69" t="n">
        <f aca="false">V15</f>
        <v>21500</v>
      </c>
      <c r="X15" s="69" t="n">
        <f aca="false">W15</f>
        <v>21500</v>
      </c>
      <c r="Y15" s="69" t="n">
        <f aca="false">X15</f>
        <v>21500</v>
      </c>
      <c r="Z15" s="69" t="n">
        <f aca="false">Y15</f>
        <v>21500</v>
      </c>
      <c r="AA15" s="69" t="n">
        <f aca="false">Z15</f>
        <v>21500</v>
      </c>
      <c r="AB15" s="69" t="n">
        <f aca="false">AA15</f>
        <v>21500</v>
      </c>
    </row>
    <row r="16" customFormat="false" ht="15" hidden="false" customHeight="true" outlineLevel="0" collapsed="false">
      <c r="A16" s="28" t="s">
        <v>368</v>
      </c>
      <c r="B16" s="55" t="s">
        <v>64</v>
      </c>
      <c r="C16" s="56" t="n">
        <f aca="false">P16</f>
        <v>42820</v>
      </c>
      <c r="D16" s="56" t="n">
        <f aca="false">AB16</f>
        <v>45963.3333333334</v>
      </c>
      <c r="E16" s="57" t="n">
        <f aca="false">Fixed_Assets!E29</f>
        <v>54893.3333333333</v>
      </c>
      <c r="F16" s="57" t="n">
        <f aca="false">Fixed_Assets!F29</f>
        <v>52386.6666666667</v>
      </c>
      <c r="G16" s="57" t="n">
        <f aca="false">Fixed_Assets!G29</f>
        <v>56566.6666666667</v>
      </c>
      <c r="H16" s="57" t="n">
        <f aca="false">Fixed_Assets!H29</f>
        <v>53946.6666666667</v>
      </c>
      <c r="I16" s="57" t="n">
        <f aca="false">Fixed_Assets!I29</f>
        <v>52493.3333333333</v>
      </c>
      <c r="J16" s="57" t="n">
        <f aca="false">Fixed_Assets!J29</f>
        <v>49840</v>
      </c>
      <c r="K16" s="57" t="n">
        <f aca="false">Fixed_Assets!K29</f>
        <v>50628.3333333333</v>
      </c>
      <c r="L16" s="57" t="n">
        <f aca="false">Fixed_Assets!L29</f>
        <v>47916.6666666667</v>
      </c>
      <c r="M16" s="57" t="n">
        <f aca="false">Fixed_Assets!M29</f>
        <v>46680</v>
      </c>
      <c r="N16" s="57" t="n">
        <f aca="false">Fixed_Assets!N29</f>
        <v>45418.3333333333</v>
      </c>
      <c r="O16" s="57" t="n">
        <f aca="false">Fixed_Assets!O29</f>
        <v>44131.6666666667</v>
      </c>
      <c r="P16" s="57" t="n">
        <f aca="false">Fixed_Assets!P29</f>
        <v>42820</v>
      </c>
      <c r="Q16" s="57" t="n">
        <f aca="false">Fixed_Assets!Q29</f>
        <v>41483.3333333333</v>
      </c>
      <c r="R16" s="57" t="n">
        <f aca="false">Fixed_Assets!R29</f>
        <v>69288.3333333333</v>
      </c>
      <c r="S16" s="57" t="n">
        <f aca="false">Fixed_Assets!S29</f>
        <v>67068.3333333333</v>
      </c>
      <c r="T16" s="57" t="n">
        <f aca="false">Fixed_Assets!T29</f>
        <v>64823.3333333333</v>
      </c>
      <c r="U16" s="57" t="n">
        <f aca="false">Fixed_Assets!U29</f>
        <v>62553.3333333333</v>
      </c>
      <c r="V16" s="57" t="n">
        <f aca="false">Fixed_Assets!V29</f>
        <v>60258.3333333334</v>
      </c>
      <c r="W16" s="57" t="n">
        <f aca="false">Fixed_Assets!W29</f>
        <v>57938.3333333334</v>
      </c>
      <c r="X16" s="57" t="n">
        <f aca="false">Fixed_Assets!X29</f>
        <v>55593.3333333334</v>
      </c>
      <c r="Y16" s="57" t="n">
        <f aca="false">Fixed_Assets!Y29</f>
        <v>53223.3333333334</v>
      </c>
      <c r="Z16" s="57" t="n">
        <f aca="false">Fixed_Assets!Z29</f>
        <v>50828.3333333334</v>
      </c>
      <c r="AA16" s="57" t="n">
        <f aca="false">Fixed_Assets!AA29</f>
        <v>48408.3333333334</v>
      </c>
      <c r="AB16" s="57" t="n">
        <f aca="false">Fixed_Assets!AB29</f>
        <v>45963.3333333334</v>
      </c>
    </row>
    <row r="17" customFormat="false" ht="15" hidden="false" customHeight="true" outlineLevel="0" collapsed="false">
      <c r="A17" s="70" t="s">
        <v>369</v>
      </c>
      <c r="B17" s="71"/>
      <c r="C17" s="72" t="n">
        <f aca="false">P17</f>
        <v>1544681.61515681</v>
      </c>
      <c r="D17" s="72" t="n">
        <f aca="false">AB17</f>
        <v>1719381.91373332</v>
      </c>
      <c r="E17" s="72" t="n">
        <f aca="false">SUM(E9:E16)</f>
        <v>1343224.63703252</v>
      </c>
      <c r="F17" s="72" t="n">
        <f aca="false">SUM(F9:F16)</f>
        <v>1331352.0465268</v>
      </c>
      <c r="G17" s="72" t="n">
        <f aca="false">SUM(G9:G16)</f>
        <v>1374817.63717923</v>
      </c>
      <c r="H17" s="72" t="n">
        <f aca="false">SUM(H9:H16)</f>
        <v>1267914.4639196</v>
      </c>
      <c r="I17" s="72" t="n">
        <f aca="false">SUM(I9:I16)</f>
        <v>1355100.24445023</v>
      </c>
      <c r="J17" s="72" t="n">
        <f aca="false">SUM(J9:J16)</f>
        <v>1386120.26250466</v>
      </c>
      <c r="K17" s="72" t="n">
        <f aca="false">SUM(K9:K16)</f>
        <v>1255571.50653061</v>
      </c>
      <c r="L17" s="72" t="n">
        <f aca="false">SUM(L9:L16)</f>
        <v>1286784.09826505</v>
      </c>
      <c r="M17" s="72" t="n">
        <f aca="false">SUM(M9:M16)</f>
        <v>1372295.75001792</v>
      </c>
      <c r="N17" s="72" t="n">
        <f aca="false">SUM(N9:N16)</f>
        <v>1303279.16770367</v>
      </c>
      <c r="O17" s="72" t="n">
        <f aca="false">SUM(O9:O16)</f>
        <v>1430687.75257206</v>
      </c>
      <c r="P17" s="72" t="n">
        <f aca="false">SUM(P9:P16)</f>
        <v>1544681.61515681</v>
      </c>
      <c r="Q17" s="72" t="n">
        <f aca="false">SUM(Q9:Q16)</f>
        <v>1333678.81401096</v>
      </c>
      <c r="R17" s="72" t="n">
        <f aca="false">SUM(R9:R16)</f>
        <v>1320987.39462083</v>
      </c>
      <c r="S17" s="72" t="n">
        <f aca="false">SUM(S9:S16)</f>
        <v>1374298.24101745</v>
      </c>
      <c r="T17" s="72" t="n">
        <f aca="false">SUM(T9:T16)</f>
        <v>1264263.25504605</v>
      </c>
      <c r="U17" s="72" t="n">
        <f aca="false">SUM(U9:U16)</f>
        <v>1329065.01409559</v>
      </c>
      <c r="V17" s="72" t="n">
        <f aca="false">SUM(V9:V16)</f>
        <v>1388226.91334218</v>
      </c>
      <c r="W17" s="72" t="n">
        <f aca="false">SUM(W9:W16)</f>
        <v>1257323.77321225</v>
      </c>
      <c r="X17" s="72" t="n">
        <f aca="false">SUM(X9:X16)</f>
        <v>1324139.95833432</v>
      </c>
      <c r="Y17" s="72" t="n">
        <f aca="false">SUM(Y9:Y16)</f>
        <v>1415765.24029669</v>
      </c>
      <c r="Z17" s="72" t="n">
        <f aca="false">SUM(Z9:Z16)</f>
        <v>1363726.36700781</v>
      </c>
      <c r="AA17" s="72" t="n">
        <f aca="false">SUM(AA9:AA16)</f>
        <v>1554280.05791342</v>
      </c>
      <c r="AB17" s="72" t="n">
        <f aca="false">SUM(AB9:AB16)</f>
        <v>1719381.91373332</v>
      </c>
    </row>
    <row r="18" customFormat="false" ht="15" hidden="false" customHeight="true" outlineLevel="0" collapsed="false">
      <c r="A18" s="22" t="s">
        <v>370</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row>
    <row r="19" customFormat="false" ht="15" hidden="false" customHeight="true" outlineLevel="0" collapsed="false">
      <c r="A19" s="28" t="s">
        <v>371</v>
      </c>
      <c r="B19" s="55" t="s">
        <v>58</v>
      </c>
      <c r="C19" s="56" t="n">
        <f aca="false">P19</f>
        <v>106284.037152393</v>
      </c>
      <c r="D19" s="56" t="n">
        <f aca="false">AB19</f>
        <v>137683.986528005</v>
      </c>
      <c r="E19" s="57" t="n">
        <f aca="false">AP_Schedule!E35</f>
        <v>96388.4365</v>
      </c>
      <c r="F19" s="57" t="n">
        <f aca="false">AP_Schedule!F35</f>
        <v>64531.6135</v>
      </c>
      <c r="G19" s="57" t="n">
        <f aca="false">AP_Schedule!G35</f>
        <v>70325.1495</v>
      </c>
      <c r="H19" s="57" t="n">
        <f aca="false">AP_Schedule!H35</f>
        <v>62533.271</v>
      </c>
      <c r="I19" s="57" t="n">
        <f aca="false">AP_Schedule!I35</f>
        <v>80478.2945</v>
      </c>
      <c r="J19" s="57" t="n">
        <f aca="false">AP_Schedule!J35</f>
        <v>73888.419</v>
      </c>
      <c r="K19" s="57" t="n">
        <f aca="false">AP_Schedule!K35</f>
        <v>67497.1735</v>
      </c>
      <c r="L19" s="57" t="n">
        <f aca="false">AP_Schedule!L35</f>
        <v>71999.2855</v>
      </c>
      <c r="M19" s="57" t="n">
        <f aca="false">AP_Schedule!M35</f>
        <v>102759.813190079</v>
      </c>
      <c r="N19" s="57" t="n">
        <f aca="false">AP_Schedule!N35</f>
        <v>118709.075312696</v>
      </c>
      <c r="O19" s="57" t="n">
        <f aca="false">AP_Schedule!O35</f>
        <v>102488.649909705</v>
      </c>
      <c r="P19" s="57" t="n">
        <f aca="false">AP_Schedule!P35</f>
        <v>106284.037152393</v>
      </c>
      <c r="Q19" s="57" t="n">
        <f aca="false">AP_Schedule!Q35</f>
        <v>102227.31321397</v>
      </c>
      <c r="R19" s="57" t="n">
        <f aca="false">AP_Schedule!R35</f>
        <v>72136.9467697715</v>
      </c>
      <c r="S19" s="57" t="n">
        <f aca="false">AP_Schedule!S35</f>
        <v>83678.3923552663</v>
      </c>
      <c r="T19" s="57" t="n">
        <f aca="false">AP_Schedule!T35</f>
        <v>89234.9981842166</v>
      </c>
      <c r="U19" s="57" t="n">
        <f aca="false">AP_Schedule!U35</f>
        <v>91414.8689844011</v>
      </c>
      <c r="V19" s="57" t="n">
        <f aca="false">AP_Schedule!V35</f>
        <v>89372.4403822132</v>
      </c>
      <c r="W19" s="57" t="n">
        <f aca="false">AP_Schedule!W35</f>
        <v>91744.6918881328</v>
      </c>
      <c r="X19" s="57" t="n">
        <f aca="false">AP_Schedule!X35</f>
        <v>102505.7647632</v>
      </c>
      <c r="Y19" s="57" t="n">
        <f aca="false">AP_Schedule!Y35</f>
        <v>113302.894046319</v>
      </c>
      <c r="Z19" s="57" t="n">
        <f aca="false">AP_Schedule!Z35</f>
        <v>150889.849411612</v>
      </c>
      <c r="AA19" s="57" t="n">
        <f aca="false">AP_Schedule!AA35</f>
        <v>140625.462534087</v>
      </c>
      <c r="AB19" s="57" t="n">
        <f aca="false">AP_Schedule!AB35</f>
        <v>137683.986528005</v>
      </c>
    </row>
    <row r="20" customFormat="false" ht="15" hidden="false" customHeight="true" outlineLevel="0" collapsed="false">
      <c r="A20" s="28" t="s">
        <v>372</v>
      </c>
      <c r="B20" s="55" t="s">
        <v>62</v>
      </c>
      <c r="C20" s="56" t="n">
        <f aca="false">P20</f>
        <v>17824</v>
      </c>
      <c r="D20" s="56" t="n">
        <f aca="false">AB20</f>
        <v>19874.88</v>
      </c>
      <c r="E20" s="57" t="n">
        <f aca="false">Opex!E57</f>
        <v>14016</v>
      </c>
      <c r="F20" s="57" t="n">
        <f aca="false">Opex!F57</f>
        <v>14048</v>
      </c>
      <c r="G20" s="57" t="n">
        <f aca="false">Opex!G57</f>
        <v>14112</v>
      </c>
      <c r="H20" s="57" t="n">
        <f aca="false">Opex!H57</f>
        <v>15104</v>
      </c>
      <c r="I20" s="57" t="n">
        <f aca="false">Opex!I57</f>
        <v>15136</v>
      </c>
      <c r="J20" s="57" t="n">
        <f aca="false">Opex!J57</f>
        <v>15232</v>
      </c>
      <c r="K20" s="57" t="n">
        <f aca="false">Opex!K57</f>
        <v>15200</v>
      </c>
      <c r="L20" s="57" t="n">
        <f aca="false">Opex!L57</f>
        <v>15328</v>
      </c>
      <c r="M20" s="57" t="n">
        <f aca="false">Opex!M57</f>
        <v>15616</v>
      </c>
      <c r="N20" s="57" t="n">
        <f aca="false">Opex!N57</f>
        <v>16480</v>
      </c>
      <c r="O20" s="57" t="n">
        <f aca="false">Opex!O57</f>
        <v>17824</v>
      </c>
      <c r="P20" s="57" t="n">
        <f aca="false">Opex!P57</f>
        <v>17824</v>
      </c>
      <c r="Q20" s="57" t="n">
        <f aca="false">Opex!Q57</f>
        <v>18358.72</v>
      </c>
      <c r="R20" s="57" t="n">
        <f aca="false">Opex!R57</f>
        <v>19874.88</v>
      </c>
      <c r="S20" s="57" t="n">
        <f aca="false">Opex!S57</f>
        <v>19874.88</v>
      </c>
      <c r="T20" s="57" t="n">
        <f aca="false">Opex!T57</f>
        <v>19874.88</v>
      </c>
      <c r="U20" s="57" t="n">
        <f aca="false">Opex!U57</f>
        <v>19874.88</v>
      </c>
      <c r="V20" s="57" t="n">
        <f aca="false">Opex!V57</f>
        <v>19874.88</v>
      </c>
      <c r="W20" s="57" t="n">
        <f aca="false">Opex!W57</f>
        <v>19874.88</v>
      </c>
      <c r="X20" s="57" t="n">
        <f aca="false">Opex!X57</f>
        <v>19874.88</v>
      </c>
      <c r="Y20" s="57" t="n">
        <f aca="false">Opex!Y57</f>
        <v>19874.88</v>
      </c>
      <c r="Z20" s="57" t="n">
        <f aca="false">Opex!Z57</f>
        <v>19874.88</v>
      </c>
      <c r="AA20" s="57" t="n">
        <f aca="false">Opex!AA57</f>
        <v>19874.88</v>
      </c>
      <c r="AB20" s="57" t="n">
        <f aca="false">Opex!AB57</f>
        <v>19874.88</v>
      </c>
    </row>
    <row r="21" customFormat="false" ht="15" hidden="false" customHeight="true" outlineLevel="0" collapsed="false">
      <c r="A21" s="28" t="s">
        <v>373</v>
      </c>
      <c r="B21" s="55" t="s">
        <v>48</v>
      </c>
      <c r="C21" s="56" t="n">
        <f aca="false">P21</f>
        <v>19456.0556255328</v>
      </c>
      <c r="D21" s="56" t="n">
        <f aca="false">AB21</f>
        <v>26417.3216182246</v>
      </c>
      <c r="E21" s="57" t="n">
        <f aca="false">Settlements!E52</f>
        <v>9369.34612031386</v>
      </c>
      <c r="F21" s="57" t="n">
        <f aca="false">Settlements!F52</f>
        <v>9652.54995196926</v>
      </c>
      <c r="G21" s="57" t="n">
        <f aca="false">Settlements!G52</f>
        <v>10123.3599901877</v>
      </c>
      <c r="H21" s="57" t="n">
        <f aca="false">Settlements!H52</f>
        <v>10991.7471861472</v>
      </c>
      <c r="I21" s="57" t="n">
        <f aca="false">Settlements!I52</f>
        <v>11914.8685498614</v>
      </c>
      <c r="J21" s="57" t="n">
        <f aca="false">Settlements!J52</f>
        <v>12205.321299639</v>
      </c>
      <c r="K21" s="57" t="n">
        <f aca="false">Settlements!K52</f>
        <v>10482.733158758</v>
      </c>
      <c r="L21" s="57" t="n">
        <f aca="false">Settlements!L52</f>
        <v>12212.3105561337</v>
      </c>
      <c r="M21" s="57" t="n">
        <f aca="false">Settlements!M52</f>
        <v>13389.7762241951</v>
      </c>
      <c r="N21" s="57" t="n">
        <f aca="false">Settlements!N52</f>
        <v>15025.7676920097</v>
      </c>
      <c r="O21" s="57" t="n">
        <f aca="false">Settlements!O52</f>
        <v>22453.048116898</v>
      </c>
      <c r="P21" s="57" t="n">
        <f aca="false">Settlements!P52</f>
        <v>19456.0556255328</v>
      </c>
      <c r="Q21" s="57" t="n">
        <f aca="false">Settlements!Q52</f>
        <v>12431.1562435058</v>
      </c>
      <c r="R21" s="57" t="n">
        <f aca="false">Settlements!R52</f>
        <v>13127.5640975835</v>
      </c>
      <c r="S21" s="57" t="n">
        <f aca="false">Settlements!S52</f>
        <v>13678.8986745457</v>
      </c>
      <c r="T21" s="57" t="n">
        <f aca="false">Settlements!T52</f>
        <v>14979.2985710298</v>
      </c>
      <c r="U21" s="57" t="n">
        <f aca="false">Settlements!U52</f>
        <v>15667.3525632999</v>
      </c>
      <c r="V21" s="57" t="n">
        <f aca="false">Settlements!V52</f>
        <v>16098.212892289</v>
      </c>
      <c r="W21" s="57" t="n">
        <f aca="false">Settlements!W52</f>
        <v>15140.6140993082</v>
      </c>
      <c r="X21" s="57" t="n">
        <f aca="false">Settlements!X52</f>
        <v>15188.5018627032</v>
      </c>
      <c r="Y21" s="57" t="n">
        <f aca="false">Settlements!Y52</f>
        <v>18116.8948312216</v>
      </c>
      <c r="Z21" s="57" t="n">
        <f aca="false">Settlements!Z52</f>
        <v>20353.8815910337</v>
      </c>
      <c r="AA21" s="57" t="n">
        <f aca="false">Settlements!AA52</f>
        <v>30450.450272622</v>
      </c>
      <c r="AB21" s="57" t="n">
        <f aca="false">Settlements!AB52</f>
        <v>26417.3216182246</v>
      </c>
    </row>
    <row r="22" customFormat="false" ht="15" hidden="false" customHeight="true" outlineLevel="0" collapsed="false">
      <c r="A22" s="28" t="s">
        <v>374</v>
      </c>
      <c r="B22" s="55" t="s">
        <v>60</v>
      </c>
      <c r="C22" s="56" t="n">
        <f aca="false">P22</f>
        <v>241870.52161391</v>
      </c>
      <c r="D22" s="56" t="n">
        <f aca="false">AB22</f>
        <v>312900.506004871</v>
      </c>
      <c r="E22" s="57" t="n">
        <f aca="false">VAT!E22</f>
        <v>44719.76785</v>
      </c>
      <c r="F22" s="57" t="n">
        <f aca="false">VAT!F22</f>
        <v>86483.00265</v>
      </c>
      <c r="G22" s="57" t="n">
        <f aca="false">VAT!G22</f>
        <v>133641.48025</v>
      </c>
      <c r="H22" s="57" t="n">
        <f aca="false">VAT!H22</f>
        <v>51014.6657</v>
      </c>
      <c r="I22" s="57" t="n">
        <f aca="false">VAT!I22</f>
        <v>108245.7058</v>
      </c>
      <c r="J22" s="57" t="n">
        <f aca="false">VAT!J22</f>
        <v>160800.83735</v>
      </c>
      <c r="K22" s="57" t="n">
        <f aca="false">VAT!K22</f>
        <v>47105.6812</v>
      </c>
      <c r="L22" s="57" t="n">
        <f aca="false">VAT!L22</f>
        <v>94704.89675</v>
      </c>
      <c r="M22" s="57" t="n">
        <f aca="false">VAT!M22</f>
        <v>149858.348941807</v>
      </c>
      <c r="N22" s="57" t="n">
        <f aca="false">VAT!N22</f>
        <v>64251.1316855755</v>
      </c>
      <c r="O22" s="57" t="n">
        <f aca="false">VAT!O22</f>
        <v>158345.991869526</v>
      </c>
      <c r="P22" s="57" t="n">
        <f aca="false">VAT!P22</f>
        <v>241870.52161391</v>
      </c>
      <c r="Q22" s="57" t="n">
        <f aca="false">VAT!Q22</f>
        <v>51748.9082629797</v>
      </c>
      <c r="R22" s="57" t="n">
        <f aca="false">VAT!R22</f>
        <v>94414.2810573028</v>
      </c>
      <c r="S22" s="57" t="n">
        <f aca="false">VAT!S22</f>
        <v>151194.377936789</v>
      </c>
      <c r="T22" s="57" t="n">
        <f aca="false">VAT!T22</f>
        <v>60102.5462233166</v>
      </c>
      <c r="U22" s="57" t="n">
        <f aca="false">VAT!U22</f>
        <v>125039.689770071</v>
      </c>
      <c r="V22" s="57" t="n">
        <f aca="false">VAT!V22</f>
        <v>189271.711526516</v>
      </c>
      <c r="W22" s="57" t="n">
        <f aca="false">VAT!W22</f>
        <v>62008.6626742632</v>
      </c>
      <c r="X22" s="57" t="n">
        <f aca="false">VAT!X22</f>
        <v>123904.725695755</v>
      </c>
      <c r="Y22" s="57" t="n">
        <f aca="false">VAT!Y22</f>
        <v>195537.414813318</v>
      </c>
      <c r="Z22" s="57" t="n">
        <f aca="false">VAT!Z22</f>
        <v>83301.3389948443</v>
      </c>
      <c r="AA22" s="57" t="n">
        <f aca="false">VAT!AA22</f>
        <v>204878.274777255</v>
      </c>
      <c r="AB22" s="57" t="n">
        <f aca="false">VAT!AB22</f>
        <v>312900.506004871</v>
      </c>
    </row>
    <row r="23" customFormat="false" ht="15" hidden="false" customHeight="true" outlineLevel="0" collapsed="false">
      <c r="A23" s="28" t="s">
        <v>375</v>
      </c>
      <c r="B23" s="55"/>
      <c r="E23" s="57" t="n">
        <f aca="false">Inputs_Actuals!$C$135</f>
        <v>18400</v>
      </c>
      <c r="F23" s="69" t="n">
        <f aca="false">E26</f>
        <v>18400</v>
      </c>
      <c r="G23" s="69" t="n">
        <f aca="false">F26</f>
        <v>18400</v>
      </c>
      <c r="H23" s="69" t="n">
        <f aca="false">G26</f>
        <v>18400</v>
      </c>
      <c r="I23" s="69" t="n">
        <f aca="false">H26</f>
        <v>0</v>
      </c>
      <c r="J23" s="69" t="n">
        <f aca="false">I26</f>
        <v>880.500314293628</v>
      </c>
      <c r="K23" s="69" t="n">
        <f aca="false">J26</f>
        <v>0</v>
      </c>
      <c r="L23" s="69" t="n">
        <f aca="false">K26</f>
        <v>0</v>
      </c>
      <c r="M23" s="69" t="n">
        <f aca="false">L26</f>
        <v>0</v>
      </c>
      <c r="N23" s="69" t="n">
        <f aca="false">M26</f>
        <v>0</v>
      </c>
      <c r="O23" s="69" t="n">
        <f aca="false">N26</f>
        <v>0</v>
      </c>
      <c r="P23" s="69" t="n">
        <f aca="false">O26</f>
        <v>7595.29959815972</v>
      </c>
      <c r="Q23" s="69" t="n">
        <f aca="false">P26</f>
        <v>14692.0359304071</v>
      </c>
      <c r="R23" s="69" t="n">
        <f aca="false">Q26</f>
        <v>14692.0359304071</v>
      </c>
      <c r="S23" s="69" t="n">
        <f aca="false">R26</f>
        <v>14692.0359304071</v>
      </c>
      <c r="T23" s="69" t="n">
        <f aca="false">S26</f>
        <v>14692.0359304071</v>
      </c>
      <c r="U23" s="69" t="n">
        <f aca="false">T26</f>
        <v>0</v>
      </c>
      <c r="V23" s="69" t="n">
        <f aca="false">U26</f>
        <v>0</v>
      </c>
      <c r="W23" s="69" t="n">
        <f aca="false">V26</f>
        <v>0</v>
      </c>
      <c r="X23" s="69" t="n">
        <f aca="false">W26</f>
        <v>0</v>
      </c>
      <c r="Y23" s="69" t="n">
        <f aca="false">X26</f>
        <v>0</v>
      </c>
      <c r="Z23" s="69" t="n">
        <f aca="false">Y26</f>
        <v>0</v>
      </c>
      <c r="AA23" s="69" t="n">
        <f aca="false">Z26</f>
        <v>4606.50081374049</v>
      </c>
      <c r="AB23" s="69" t="n">
        <f aca="false">AA26</f>
        <v>19306.7464834267</v>
      </c>
    </row>
    <row r="24" customFormat="false" ht="15" hidden="false" customHeight="true" outlineLevel="0" collapsed="false">
      <c r="A24" s="28" t="s">
        <v>376</v>
      </c>
      <c r="B24" s="55" t="s">
        <v>29</v>
      </c>
      <c r="E24" s="57" t="n">
        <f aca="false">-PL!E57</f>
        <v>0</v>
      </c>
      <c r="F24" s="57" t="n">
        <f aca="false">-PL!F57</f>
        <v>0</v>
      </c>
      <c r="G24" s="57" t="n">
        <f aca="false">-PL!G57</f>
        <v>0</v>
      </c>
      <c r="H24" s="57" t="n">
        <f aca="false">-PL!H57</f>
        <v>0</v>
      </c>
      <c r="I24" s="57" t="n">
        <f aca="false">-PL!I57</f>
        <v>880.500314293628</v>
      </c>
      <c r="J24" s="57" t="n">
        <f aca="false">-PL!J57</f>
        <v>-880.500314293628</v>
      </c>
      <c r="K24" s="57" t="n">
        <f aca="false">-PL!K57</f>
        <v>0</v>
      </c>
      <c r="L24" s="57" t="n">
        <f aca="false">-PL!L57</f>
        <v>0</v>
      </c>
      <c r="M24" s="57" t="n">
        <f aca="false">-PL!M57</f>
        <v>0</v>
      </c>
      <c r="N24" s="57" t="n">
        <f aca="false">-PL!N57</f>
        <v>0</v>
      </c>
      <c r="O24" s="57" t="n">
        <f aca="false">-PL!O57</f>
        <v>7595.29959815972</v>
      </c>
      <c r="P24" s="57" t="n">
        <f aca="false">-PL!P57</f>
        <v>7096.73633224738</v>
      </c>
      <c r="Q24" s="57" t="n">
        <f aca="false">-PL!Q57</f>
        <v>0</v>
      </c>
      <c r="R24" s="57" t="n">
        <f aca="false">-PL!R57</f>
        <v>0</v>
      </c>
      <c r="S24" s="57" t="n">
        <f aca="false">-PL!S57</f>
        <v>0</v>
      </c>
      <c r="T24" s="57" t="n">
        <f aca="false">-PL!T57</f>
        <v>0</v>
      </c>
      <c r="U24" s="57" t="n">
        <f aca="false">-PL!U57</f>
        <v>0</v>
      </c>
      <c r="V24" s="57" t="n">
        <f aca="false">-PL!V57</f>
        <v>0</v>
      </c>
      <c r="W24" s="57" t="n">
        <f aca="false">-PL!W57</f>
        <v>0</v>
      </c>
      <c r="X24" s="57" t="n">
        <f aca="false">-PL!X57</f>
        <v>0</v>
      </c>
      <c r="Y24" s="57" t="n">
        <f aca="false">-PL!Y57</f>
        <v>0</v>
      </c>
      <c r="Z24" s="57" t="n">
        <f aca="false">-PL!Z57</f>
        <v>4606.50081374049</v>
      </c>
      <c r="AA24" s="57" t="n">
        <f aca="false">-PL!AA57</f>
        <v>14700.2456696862</v>
      </c>
      <c r="AB24" s="57" t="n">
        <f aca="false">-PL!AB57</f>
        <v>13742.8476516966</v>
      </c>
    </row>
    <row r="25" customFormat="false" ht="15" hidden="false" customHeight="true" outlineLevel="0" collapsed="false">
      <c r="A25" s="28" t="s">
        <v>377</v>
      </c>
      <c r="B25" s="55" t="s">
        <v>378</v>
      </c>
      <c r="C25" s="56" t="n">
        <f aca="false">SUM(E25:P25)</f>
        <v>-18400</v>
      </c>
      <c r="D25" s="56" t="n">
        <f aca="false">SUM(Q25:AB25)</f>
        <v>-14692.0359304071</v>
      </c>
      <c r="E25" s="57" t="n">
        <f aca="false">IF(Assumptions!E$73=1,-IF(Assumptions!E$64=YEAR(Assumptions!$C$8),Inputs_Actuals!$C$135,INDEX(BS!$E$26:$AB$26,Assumptions!E$62-Assumptions!E$65)),0)</f>
        <v>0</v>
      </c>
      <c r="F25" s="57" t="n">
        <f aca="false">IF(Assumptions!F$73=1,-IF(Assumptions!F$64=YEAR(Assumptions!$C$8),Inputs_Actuals!$C$135,INDEX(BS!$E$26:$AB$26,Assumptions!F$62-Assumptions!F$65)),0)</f>
        <v>0</v>
      </c>
      <c r="G25" s="57" t="n">
        <f aca="false">IF(Assumptions!G$73=1,-IF(Assumptions!G$64=YEAR(Assumptions!$C$8),Inputs_Actuals!$C$135,INDEX(BS!$E$26:$AB$26,Assumptions!G$62-Assumptions!G$65)),0)</f>
        <v>0</v>
      </c>
      <c r="H25" s="57" t="n">
        <f aca="false">IF(Assumptions!H$73=1,-IF(Assumptions!H$64=YEAR(Assumptions!$C$8),Inputs_Actuals!$C$135,INDEX(BS!$E$26:$AB$26,Assumptions!H$62-Assumptions!H$65)),0)</f>
        <v>-18400</v>
      </c>
      <c r="I25" s="57" t="n">
        <f aca="false">IF(Assumptions!I$73=1,-IF(Assumptions!I$64=YEAR(Assumptions!$C$8),Inputs_Actuals!$C$135,INDEX(BS!$E$26:$AB$26,Assumptions!I$62-Assumptions!I$65)),0)</f>
        <v>0</v>
      </c>
      <c r="J25" s="57" t="n">
        <f aca="false">IF(Assumptions!J$73=1,-IF(Assumptions!J$64=YEAR(Assumptions!$C$8),Inputs_Actuals!$C$135,INDEX(BS!$E$26:$AB$26,Assumptions!J$62-Assumptions!J$65)),0)</f>
        <v>0</v>
      </c>
      <c r="K25" s="57" t="n">
        <f aca="false">IF(Assumptions!K$73=1,-IF(Assumptions!K$64=YEAR(Assumptions!$C$8),Inputs_Actuals!$C$135,INDEX(BS!$E$26:$AB$26,Assumptions!K$62-Assumptions!K$65)),0)</f>
        <v>0</v>
      </c>
      <c r="L25" s="57" t="n">
        <f aca="false">IF(Assumptions!L$73=1,-IF(Assumptions!L$64=YEAR(Assumptions!$C$8),Inputs_Actuals!$C$135,INDEX(BS!$E$26:$AB$26,Assumptions!L$62-Assumptions!L$65)),0)</f>
        <v>0</v>
      </c>
      <c r="M25" s="57" t="n">
        <f aca="false">IF(Assumptions!M$73=1,-IF(Assumptions!M$64=YEAR(Assumptions!$C$8),Inputs_Actuals!$C$135,INDEX(BS!$E$26:$AB$26,Assumptions!M$62-Assumptions!M$65)),0)</f>
        <v>0</v>
      </c>
      <c r="N25" s="57" t="n">
        <f aca="false">IF(Assumptions!N$73=1,-IF(Assumptions!N$64=YEAR(Assumptions!$C$8),Inputs_Actuals!$C$135,INDEX(BS!$E$26:$AB$26,Assumptions!N$62-Assumptions!N$65)),0)</f>
        <v>0</v>
      </c>
      <c r="O25" s="57" t="n">
        <f aca="false">IF(Assumptions!O$73=1,-IF(Assumptions!O$64=YEAR(Assumptions!$C$8),Inputs_Actuals!$C$135,INDEX(BS!$E$26:$AB$26,Assumptions!O$62-Assumptions!O$65)),0)</f>
        <v>0</v>
      </c>
      <c r="P25" s="57" t="n">
        <f aca="false">IF(Assumptions!P$73=1,-IF(Assumptions!P$64=YEAR(Assumptions!$C$8),Inputs_Actuals!$C$135,INDEX(BS!$E$26:$AB$26,Assumptions!P$62-Assumptions!P$65)),0)</f>
        <v>0</v>
      </c>
      <c r="Q25" s="57" t="n">
        <f aca="false">IF(Assumptions!Q$73=1,-IF(Assumptions!Q$64=YEAR(Assumptions!$C$8),Inputs_Actuals!$C$135,INDEX(BS!$E$26:$AB$26,Assumptions!Q$62-Assumptions!Q$65)),0)</f>
        <v>0</v>
      </c>
      <c r="R25" s="57" t="n">
        <f aca="false">IF(Assumptions!R$73=1,-IF(Assumptions!R$64=YEAR(Assumptions!$C$8),Inputs_Actuals!$C$135,INDEX(BS!$E$26:$AB$26,Assumptions!R$62-Assumptions!R$65)),0)</f>
        <v>0</v>
      </c>
      <c r="S25" s="57" t="n">
        <f aca="false">IF(Assumptions!S$73=1,-IF(Assumptions!S$64=YEAR(Assumptions!$C$8),Inputs_Actuals!$C$135,INDEX(BS!$E$26:$AB$26,Assumptions!S$62-Assumptions!S$65)),0)</f>
        <v>0</v>
      </c>
      <c r="T25" s="57" t="n">
        <f aca="false">IF(Assumptions!T$73=1,-IF(Assumptions!T$64=YEAR(Assumptions!$C$8),Inputs_Actuals!$C$135,INDEX(BS!$E$26:$AB$26,Assumptions!T$62-Assumptions!T$65)),0)</f>
        <v>-14692.0359304071</v>
      </c>
      <c r="U25" s="57" t="n">
        <f aca="false">IF(Assumptions!U$73=1,-IF(Assumptions!U$64=YEAR(Assumptions!$C$8),Inputs_Actuals!$C$135,INDEX(BS!$E$26:$AB$26,Assumptions!U$62-Assumptions!U$65)),0)</f>
        <v>0</v>
      </c>
      <c r="V25" s="57" t="n">
        <f aca="false">IF(Assumptions!V$73=1,-IF(Assumptions!V$64=YEAR(Assumptions!$C$8),Inputs_Actuals!$C$135,INDEX(BS!$E$26:$AB$26,Assumptions!V$62-Assumptions!V$65)),0)</f>
        <v>0</v>
      </c>
      <c r="W25" s="57" t="n">
        <f aca="false">IF(Assumptions!W$73=1,-IF(Assumptions!W$64=YEAR(Assumptions!$C$8),Inputs_Actuals!$C$135,INDEX(BS!$E$26:$AB$26,Assumptions!W$62-Assumptions!W$65)),0)</f>
        <v>0</v>
      </c>
      <c r="X25" s="57" t="n">
        <f aca="false">IF(Assumptions!X$73=1,-IF(Assumptions!X$64=YEAR(Assumptions!$C$8),Inputs_Actuals!$C$135,INDEX(BS!$E$26:$AB$26,Assumptions!X$62-Assumptions!X$65)),0)</f>
        <v>0</v>
      </c>
      <c r="Y25" s="57" t="n">
        <f aca="false">IF(Assumptions!Y$73=1,-IF(Assumptions!Y$64=YEAR(Assumptions!$C$8),Inputs_Actuals!$C$135,INDEX(BS!$E$26:$AB$26,Assumptions!Y$62-Assumptions!Y$65)),0)</f>
        <v>0</v>
      </c>
      <c r="Z25" s="57" t="n">
        <f aca="false">IF(Assumptions!Z$73=1,-IF(Assumptions!Z$64=YEAR(Assumptions!$C$8),Inputs_Actuals!$C$135,INDEX(BS!$E$26:$AB$26,Assumptions!Z$62-Assumptions!Z$65)),0)</f>
        <v>0</v>
      </c>
      <c r="AA25" s="57" t="n">
        <f aca="false">IF(Assumptions!AA$73=1,-IF(Assumptions!AA$64=YEAR(Assumptions!$C$8),Inputs_Actuals!$C$135,INDEX(BS!$E$26:$AB$26,Assumptions!AA$62-Assumptions!AA$65)),0)</f>
        <v>0</v>
      </c>
      <c r="AB25" s="57" t="n">
        <f aca="false">IF(Assumptions!AB$73=1,-IF(Assumptions!AB$64=YEAR(Assumptions!$C$8),Inputs_Actuals!$C$135,INDEX(BS!$E$26:$AB$26,Assumptions!AB$62-Assumptions!AB$65)),0)</f>
        <v>0</v>
      </c>
    </row>
    <row r="26" customFormat="false" ht="15" hidden="false" customHeight="true" outlineLevel="0" collapsed="false">
      <c r="A26" s="28" t="s">
        <v>379</v>
      </c>
      <c r="B26" s="55" t="s">
        <v>380</v>
      </c>
      <c r="C26" s="56" t="n">
        <f aca="false">P26</f>
        <v>14692.0359304071</v>
      </c>
      <c r="D26" s="56" t="n">
        <f aca="false">AB26</f>
        <v>33049.5941351233</v>
      </c>
      <c r="E26" s="69" t="n">
        <f aca="false">E23+E24+E25</f>
        <v>18400</v>
      </c>
      <c r="F26" s="69" t="n">
        <f aca="false">F23+F24+F25</f>
        <v>18400</v>
      </c>
      <c r="G26" s="69" t="n">
        <f aca="false">G23+G24+G25</f>
        <v>18400</v>
      </c>
      <c r="H26" s="69" t="n">
        <f aca="false">H23+H24+H25</f>
        <v>0</v>
      </c>
      <c r="I26" s="69" t="n">
        <f aca="false">I23+I24+I25</f>
        <v>880.500314293628</v>
      </c>
      <c r="J26" s="69" t="n">
        <f aca="false">J23+J24+J25</f>
        <v>0</v>
      </c>
      <c r="K26" s="69" t="n">
        <f aca="false">K23+K24+K25</f>
        <v>0</v>
      </c>
      <c r="L26" s="69" t="n">
        <f aca="false">L23+L24+L25</f>
        <v>0</v>
      </c>
      <c r="M26" s="69" t="n">
        <f aca="false">M23+M24+M25</f>
        <v>0</v>
      </c>
      <c r="N26" s="69" t="n">
        <f aca="false">N23+N24+N25</f>
        <v>0</v>
      </c>
      <c r="O26" s="69" t="n">
        <f aca="false">O23+O24+O25</f>
        <v>7595.29959815972</v>
      </c>
      <c r="P26" s="69" t="n">
        <f aca="false">P23+P24+P25</f>
        <v>14692.0359304071</v>
      </c>
      <c r="Q26" s="69" t="n">
        <f aca="false">Q23+Q24+Q25</f>
        <v>14692.0359304071</v>
      </c>
      <c r="R26" s="69" t="n">
        <f aca="false">R23+R24+R25</f>
        <v>14692.0359304071</v>
      </c>
      <c r="S26" s="69" t="n">
        <f aca="false">S23+S24+S25</f>
        <v>14692.0359304071</v>
      </c>
      <c r="T26" s="69" t="n">
        <f aca="false">T23+T24+T25</f>
        <v>0</v>
      </c>
      <c r="U26" s="69" t="n">
        <f aca="false">U23+U24+U25</f>
        <v>0</v>
      </c>
      <c r="V26" s="69" t="n">
        <f aca="false">V23+V24+V25</f>
        <v>0</v>
      </c>
      <c r="W26" s="69" t="n">
        <f aca="false">W23+W24+W25</f>
        <v>0</v>
      </c>
      <c r="X26" s="69" t="n">
        <f aca="false">X23+X24+X25</f>
        <v>0</v>
      </c>
      <c r="Y26" s="69" t="n">
        <f aca="false">Y23+Y24+Y25</f>
        <v>0</v>
      </c>
      <c r="Z26" s="69" t="n">
        <f aca="false">Z23+Z24+Z25</f>
        <v>4606.50081374049</v>
      </c>
      <c r="AA26" s="69" t="n">
        <f aca="false">AA23+AA24+AA25</f>
        <v>19306.7464834267</v>
      </c>
      <c r="AB26" s="69" t="n">
        <f aca="false">AB23+AB24+AB25</f>
        <v>33049.5941351233</v>
      </c>
    </row>
    <row r="27" customFormat="false" ht="15" hidden="false" customHeight="true" outlineLevel="0" collapsed="false">
      <c r="A27" s="28" t="s">
        <v>381</v>
      </c>
      <c r="B27" s="55" t="s">
        <v>66</v>
      </c>
      <c r="C27" s="56" t="n">
        <f aca="false">P27</f>
        <v>95994.9775424707</v>
      </c>
      <c r="D27" s="56" t="n">
        <f aca="false">AB27</f>
        <v>103447.317126219</v>
      </c>
      <c r="E27" s="57" t="n">
        <f aca="false">Debt!E16</f>
        <v>89636.2510327289</v>
      </c>
      <c r="F27" s="57" t="n">
        <f aca="false">Debt!F16</f>
        <v>90196.4776016835</v>
      </c>
      <c r="G27" s="57" t="n">
        <f aca="false">Debt!G16</f>
        <v>90760.205586694</v>
      </c>
      <c r="H27" s="57" t="n">
        <f aca="false">Debt!H16</f>
        <v>91327.4568716108</v>
      </c>
      <c r="I27" s="57" t="n">
        <f aca="false">Debt!I16</f>
        <v>91898.2534770584</v>
      </c>
      <c r="J27" s="57" t="n">
        <f aca="false">Debt!J16</f>
        <v>92472.61756129</v>
      </c>
      <c r="K27" s="57" t="n">
        <f aca="false">Debt!K16</f>
        <v>93050.5714210481</v>
      </c>
      <c r="L27" s="57" t="n">
        <f aca="false">Debt!L16</f>
        <v>93632.1374924296</v>
      </c>
      <c r="M27" s="57" t="n">
        <f aca="false">Debt!M16</f>
        <v>94217.3383517573</v>
      </c>
      <c r="N27" s="57" t="n">
        <f aca="false">Debt!N16</f>
        <v>94806.1967164558</v>
      </c>
      <c r="O27" s="57" t="n">
        <f aca="false">Debt!O16</f>
        <v>95398.7354459337</v>
      </c>
      <c r="P27" s="57" t="n">
        <f aca="false">Debt!P16</f>
        <v>95994.9775424707</v>
      </c>
      <c r="Q27" s="57" t="n">
        <f aca="false">Debt!Q16</f>
        <v>96594.9461521112</v>
      </c>
      <c r="R27" s="57" t="n">
        <f aca="false">Debt!R16</f>
        <v>97198.6645655619</v>
      </c>
      <c r="S27" s="57" t="n">
        <f aca="false">Debt!S16</f>
        <v>97806.1562190966</v>
      </c>
      <c r="T27" s="57" t="n">
        <f aca="false">Debt!T16</f>
        <v>98417.444695466</v>
      </c>
      <c r="U27" s="57" t="n">
        <f aca="false">Debt!U16</f>
        <v>99032.5537248126</v>
      </c>
      <c r="V27" s="57" t="n">
        <f aca="false">Debt!V16</f>
        <v>99651.5071855927</v>
      </c>
      <c r="W27" s="57" t="n">
        <f aca="false">Debt!W16</f>
        <v>100274.329105503</v>
      </c>
      <c r="X27" s="57" t="n">
        <f aca="false">Debt!X16</f>
        <v>100901.043662412</v>
      </c>
      <c r="Y27" s="57" t="n">
        <f aca="false">Debt!Y16</f>
        <v>101531.675185302</v>
      </c>
      <c r="Z27" s="57" t="n">
        <f aca="false">Debt!Z16</f>
        <v>102166.24815521</v>
      </c>
      <c r="AA27" s="57" t="n">
        <f aca="false">Debt!AA16</f>
        <v>102804.78720618</v>
      </c>
      <c r="AB27" s="57" t="n">
        <f aca="false">Debt!AB16</f>
        <v>103447.317126219</v>
      </c>
    </row>
    <row r="28" customFormat="false" ht="15" hidden="false" customHeight="true" outlineLevel="0" collapsed="false">
      <c r="A28" s="28" t="s">
        <v>382</v>
      </c>
      <c r="B28" s="55" t="s">
        <v>66</v>
      </c>
      <c r="C28" s="56" t="n">
        <f aca="false">P28</f>
        <v>214925.518325626</v>
      </c>
      <c r="D28" s="56" t="n">
        <f aca="false">AB28</f>
        <v>111478.201199408</v>
      </c>
      <c r="E28" s="57" t="n">
        <f aca="false">Debt!E17</f>
        <v>303192.188192179</v>
      </c>
      <c r="F28" s="57" t="n">
        <f aca="false">Debt!F17</f>
        <v>295415.578593287</v>
      </c>
      <c r="G28" s="57" t="n">
        <f aca="false">Debt!G17</f>
        <v>287590.365184403</v>
      </c>
      <c r="H28" s="57" t="n">
        <f aca="false">Debt!H17</f>
        <v>279716.244191713</v>
      </c>
      <c r="I28" s="57" t="n">
        <f aca="false">Debt!I17</f>
        <v>271792.909942819</v>
      </c>
      <c r="J28" s="57" t="n">
        <f aca="false">Debt!J17</f>
        <v>263820.054854869</v>
      </c>
      <c r="K28" s="57" t="n">
        <f aca="false">Debt!K17</f>
        <v>255797.369422619</v>
      </c>
      <c r="L28" s="57" t="n">
        <f aca="false">Debt!L17</f>
        <v>247724.542206418</v>
      </c>
      <c r="M28" s="57" t="n">
        <f aca="false">Debt!M17</f>
        <v>239601.259820116</v>
      </c>
      <c r="N28" s="57" t="n">
        <f aca="false">Debt!N17</f>
        <v>231427.206918899</v>
      </c>
      <c r="O28" s="57" t="n">
        <f aca="false">Debt!O17</f>
        <v>223202.066187049</v>
      </c>
      <c r="P28" s="57" t="n">
        <f aca="false">Debt!P17</f>
        <v>214925.518325626</v>
      </c>
      <c r="Q28" s="57" t="n">
        <f aca="false">Debt!Q17</f>
        <v>206597.242040069</v>
      </c>
      <c r="R28" s="57" t="n">
        <f aca="false">Debt!R17</f>
        <v>198216.914027727</v>
      </c>
      <c r="S28" s="57" t="n">
        <f aca="false">Debt!S17</f>
        <v>189784.208965307</v>
      </c>
      <c r="T28" s="57" t="n">
        <f aca="false">Debt!T17</f>
        <v>181298.799496248</v>
      </c>
      <c r="U28" s="57" t="n">
        <f aca="false">Debt!U17</f>
        <v>172760.356218007</v>
      </c>
      <c r="V28" s="57" t="n">
        <f aca="false">Debt!V17</f>
        <v>164168.547669277</v>
      </c>
      <c r="W28" s="57" t="n">
        <f aca="false">Debt!W17</f>
        <v>155523.040317118</v>
      </c>
      <c r="X28" s="57" t="n">
        <f aca="false">Debt!X17</f>
        <v>146823.498544007</v>
      </c>
      <c r="Y28" s="57" t="n">
        <f aca="false">Debt!Y17</f>
        <v>138069.584634815</v>
      </c>
      <c r="Z28" s="57" t="n">
        <f aca="false">Debt!Z17</f>
        <v>129260.95876369</v>
      </c>
      <c r="AA28" s="57" t="n">
        <f aca="false">Debt!AA17</f>
        <v>120397.27898087</v>
      </c>
      <c r="AB28" s="57" t="n">
        <f aca="false">Debt!AB17</f>
        <v>111478.201199408</v>
      </c>
    </row>
    <row r="29" customFormat="false" ht="15" hidden="false" customHeight="true" outlineLevel="0" collapsed="false">
      <c r="A29" s="70" t="s">
        <v>383</v>
      </c>
      <c r="B29" s="71"/>
      <c r="C29" s="72" t="n">
        <f aca="false">P29</f>
        <v>711047.14619034</v>
      </c>
      <c r="D29" s="72" t="n">
        <f aca="false">AB29</f>
        <v>744851.806611851</v>
      </c>
      <c r="E29" s="72" t="n">
        <f aca="false">E19+E20+E21+E22+E26+E27+E28</f>
        <v>575721.989695221</v>
      </c>
      <c r="F29" s="72" t="n">
        <f aca="false">F19+F20+F21+F22+F26+F27+F28</f>
        <v>578727.22229694</v>
      </c>
      <c r="G29" s="72" t="n">
        <f aca="false">G19+G20+G21+G22+G26+G27+G28</f>
        <v>624952.560511285</v>
      </c>
      <c r="H29" s="72" t="n">
        <f aca="false">H19+H20+H21+H22+H26+H27+H28</f>
        <v>510687.384949471</v>
      </c>
      <c r="I29" s="72" t="n">
        <f aca="false">I19+I20+I21+I22+I26+I27+I28</f>
        <v>580346.532584032</v>
      </c>
      <c r="J29" s="72" t="n">
        <f aca="false">J19+J20+J21+J22+J26+J27+J28</f>
        <v>618419.250065798</v>
      </c>
      <c r="K29" s="72" t="n">
        <f aca="false">K19+K20+K21+K22+K26+K27+K28</f>
        <v>489133.528702425</v>
      </c>
      <c r="L29" s="72" t="n">
        <f aca="false">L19+L20+L21+L22+L26+L27+L28</f>
        <v>535601.172504981</v>
      </c>
      <c r="M29" s="72" t="n">
        <f aca="false">M19+M20+M21+M22+M26+M27+M28</f>
        <v>615442.536527953</v>
      </c>
      <c r="N29" s="72" t="n">
        <f aca="false">N19+N20+N21+N22+N26+N27+N28</f>
        <v>540699.378325636</v>
      </c>
      <c r="O29" s="72" t="n">
        <f aca="false">O19+O20+O21+O22+O26+O27+O28</f>
        <v>627307.791127272</v>
      </c>
      <c r="P29" s="72" t="n">
        <f aca="false">P19+P20+P21+P22+P26+P27+P28</f>
        <v>711047.14619034</v>
      </c>
      <c r="Q29" s="72" t="n">
        <f aca="false">Q19+Q20+Q21+Q22+Q26+Q27+Q28</f>
        <v>502650.321843042</v>
      </c>
      <c r="R29" s="72" t="n">
        <f aca="false">R19+R20+R21+R22+R26+R27+R28</f>
        <v>509661.286448353</v>
      </c>
      <c r="S29" s="72" t="n">
        <f aca="false">S19+S20+S21+S22+S26+S27+S28</f>
        <v>570708.950081412</v>
      </c>
      <c r="T29" s="72" t="n">
        <f aca="false">T19+T20+T21+T22+T26+T27+T28</f>
        <v>463907.967170277</v>
      </c>
      <c r="U29" s="72" t="n">
        <f aca="false">U19+U20+U21+U22+U26+U27+U28</f>
        <v>523789.701260592</v>
      </c>
      <c r="V29" s="72" t="n">
        <f aca="false">V19+V20+V21+V22+V26+V27+V28</f>
        <v>578437.299655888</v>
      </c>
      <c r="W29" s="72" t="n">
        <f aca="false">W19+W20+W21+W22+W26+W27+W28</f>
        <v>444566.218084325</v>
      </c>
      <c r="X29" s="72" t="n">
        <f aca="false">X19+X20+X21+X22+X26+X27+X28</f>
        <v>509198.414528077</v>
      </c>
      <c r="Y29" s="72" t="n">
        <f aca="false">Y19+Y20+Y21+Y22+Y26+Y27+Y28</f>
        <v>586433.343510976</v>
      </c>
      <c r="Z29" s="72" t="n">
        <f aca="false">Z19+Z20+Z21+Z22+Z26+Z27+Z28</f>
        <v>510453.65773013</v>
      </c>
      <c r="AA29" s="72" t="n">
        <f aca="false">AA19+AA20+AA21+AA22+AA26+AA27+AA28</f>
        <v>638337.880254441</v>
      </c>
      <c r="AB29" s="72" t="n">
        <f aca="false">AB19+AB20+AB21+AB22+AB26+AB27+AB28</f>
        <v>744851.806611851</v>
      </c>
    </row>
    <row r="30" customFormat="false" ht="15" hidden="false" customHeight="true" outlineLevel="0" collapsed="false">
      <c r="A30" s="22" t="s">
        <v>384</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row>
    <row r="31" customFormat="false" ht="15" hidden="false" customHeight="true" outlineLevel="0" collapsed="false">
      <c r="A31" s="28" t="s">
        <v>385</v>
      </c>
      <c r="B31" s="55" t="s">
        <v>386</v>
      </c>
      <c r="C31" s="56" t="n">
        <f aca="false">P31</f>
        <v>250000</v>
      </c>
      <c r="D31" s="56" t="n">
        <f aca="false">AB31</f>
        <v>250000</v>
      </c>
      <c r="E31" s="57" t="n">
        <f aca="false">Inputs_Actuals!$C$137</f>
        <v>250000</v>
      </c>
      <c r="F31" s="69" t="n">
        <f aca="false">E31</f>
        <v>250000</v>
      </c>
      <c r="G31" s="69" t="n">
        <f aca="false">F31</f>
        <v>250000</v>
      </c>
      <c r="H31" s="69" t="n">
        <f aca="false">G31</f>
        <v>250000</v>
      </c>
      <c r="I31" s="69" t="n">
        <f aca="false">H31</f>
        <v>250000</v>
      </c>
      <c r="J31" s="69" t="n">
        <f aca="false">I31</f>
        <v>250000</v>
      </c>
      <c r="K31" s="69" t="n">
        <f aca="false">J31</f>
        <v>250000</v>
      </c>
      <c r="L31" s="69" t="n">
        <f aca="false">K31</f>
        <v>250000</v>
      </c>
      <c r="M31" s="69" t="n">
        <f aca="false">L31</f>
        <v>250000</v>
      </c>
      <c r="N31" s="69" t="n">
        <f aca="false">M31</f>
        <v>250000</v>
      </c>
      <c r="O31" s="69" t="n">
        <f aca="false">N31</f>
        <v>250000</v>
      </c>
      <c r="P31" s="69" t="n">
        <f aca="false">O31</f>
        <v>250000</v>
      </c>
      <c r="Q31" s="69" t="n">
        <f aca="false">P31</f>
        <v>250000</v>
      </c>
      <c r="R31" s="69" t="n">
        <f aca="false">Q31</f>
        <v>250000</v>
      </c>
      <c r="S31" s="69" t="n">
        <f aca="false">R31</f>
        <v>250000</v>
      </c>
      <c r="T31" s="69" t="n">
        <f aca="false">S31</f>
        <v>250000</v>
      </c>
      <c r="U31" s="69" t="n">
        <f aca="false">T31</f>
        <v>250000</v>
      </c>
      <c r="V31" s="69" t="n">
        <f aca="false">U31</f>
        <v>250000</v>
      </c>
      <c r="W31" s="69" t="n">
        <f aca="false">V31</f>
        <v>250000</v>
      </c>
      <c r="X31" s="69" t="n">
        <f aca="false">W31</f>
        <v>250000</v>
      </c>
      <c r="Y31" s="69" t="n">
        <f aca="false">X31</f>
        <v>250000</v>
      </c>
      <c r="Z31" s="69" t="n">
        <f aca="false">Y31</f>
        <v>250000</v>
      </c>
      <c r="AA31" s="69" t="n">
        <f aca="false">Z31</f>
        <v>250000</v>
      </c>
      <c r="AB31" s="69" t="n">
        <f aca="false">AA31</f>
        <v>250000</v>
      </c>
    </row>
    <row r="32" customFormat="false" ht="15" hidden="false" customHeight="true" outlineLevel="0" collapsed="false">
      <c r="A32" s="28" t="s">
        <v>387</v>
      </c>
      <c r="B32" s="55"/>
      <c r="E32" s="57" t="n">
        <f aca="false">Inputs_Actuals!$C$138</f>
        <v>521000</v>
      </c>
      <c r="F32" s="69" t="n">
        <f aca="false">E35</f>
        <v>517502.647337302</v>
      </c>
      <c r="G32" s="69" t="n">
        <f aca="false">F35</f>
        <v>502624.824229858</v>
      </c>
      <c r="H32" s="69" t="n">
        <f aca="false">G35</f>
        <v>499865.076667948</v>
      </c>
      <c r="I32" s="69" t="n">
        <f aca="false">H35</f>
        <v>507227.078970128</v>
      </c>
      <c r="J32" s="69" t="n">
        <f aca="false">I35</f>
        <v>524753.711866199</v>
      </c>
      <c r="K32" s="69" t="n">
        <f aca="false">J35</f>
        <v>517701.012438859</v>
      </c>
      <c r="L32" s="69" t="n">
        <f aca="false">K35</f>
        <v>516437.977828181</v>
      </c>
      <c r="M32" s="69" t="n">
        <f aca="false">L35</f>
        <v>501182.925760071</v>
      </c>
      <c r="N32" s="69" t="n">
        <f aca="false">M35</f>
        <v>506853.213489967</v>
      </c>
      <c r="O32" s="69" t="n">
        <f aca="false">N35</f>
        <v>512579.789378037</v>
      </c>
      <c r="P32" s="69" t="n">
        <f aca="false">O35</f>
        <v>553379.961444786</v>
      </c>
      <c r="Q32" s="69" t="n">
        <f aca="false">P35</f>
        <v>583634.468966472</v>
      </c>
      <c r="R32" s="69" t="n">
        <f aca="false">Q35</f>
        <v>581028.49216792</v>
      </c>
      <c r="S32" s="69" t="n">
        <f aca="false">R35</f>
        <v>561326.108172476</v>
      </c>
      <c r="T32" s="69" t="n">
        <f aca="false">S35</f>
        <v>553589.290936034</v>
      </c>
      <c r="U32" s="69" t="n">
        <f aca="false">T35</f>
        <v>550355.287875773</v>
      </c>
      <c r="V32" s="69" t="n">
        <f aca="false">U35</f>
        <v>555275.312834997</v>
      </c>
      <c r="W32" s="69" t="n">
        <f aca="false">V35</f>
        <v>559789.613686296</v>
      </c>
      <c r="X32" s="69" t="n">
        <f aca="false">W35</f>
        <v>562757.55512793</v>
      </c>
      <c r="Y32" s="69" t="n">
        <f aca="false">X35</f>
        <v>564941.543806238</v>
      </c>
      <c r="Z32" s="69" t="n">
        <f aca="false">Y35</f>
        <v>579331.896785716</v>
      </c>
      <c r="AA32" s="69" t="n">
        <f aca="false">Z35</f>
        <v>603272.709277682</v>
      </c>
      <c r="AB32" s="69" t="n">
        <f aca="false">AA35</f>
        <v>665942.177658976</v>
      </c>
    </row>
    <row r="33" customFormat="false" ht="15" hidden="false" customHeight="true" outlineLevel="0" collapsed="false">
      <c r="A33" s="28" t="s">
        <v>388</v>
      </c>
      <c r="B33" s="55" t="s">
        <v>29</v>
      </c>
      <c r="C33" s="56" t="n">
        <f aca="false">SUM(E33:P33)</f>
        <v>62634.4689664724</v>
      </c>
      <c r="D33" s="56" t="n">
        <f aca="false">SUM(Q33:AB33)</f>
        <v>140895.638154999</v>
      </c>
      <c r="E33" s="57" t="n">
        <f aca="false">PL!E58</f>
        <v>-3497.35266269838</v>
      </c>
      <c r="F33" s="57" t="n">
        <f aca="false">PL!F58</f>
        <v>-14877.8231074433</v>
      </c>
      <c r="G33" s="57" t="n">
        <f aca="false">PL!G58</f>
        <v>-2759.74756191062</v>
      </c>
      <c r="H33" s="57" t="n">
        <f aca="false">PL!H58</f>
        <v>7362.0023021804</v>
      </c>
      <c r="I33" s="57" t="n">
        <f aca="false">PL!I58</f>
        <v>17526.6328960711</v>
      </c>
      <c r="J33" s="57" t="n">
        <f aca="false">PL!J58</f>
        <v>-7052.69942734003</v>
      </c>
      <c r="K33" s="57" t="n">
        <f aca="false">PL!K58</f>
        <v>-1263.03461067812</v>
      </c>
      <c r="L33" s="57" t="n">
        <f aca="false">PL!L58</f>
        <v>-15255.0520681101</v>
      </c>
      <c r="M33" s="57" t="n">
        <f aca="false">PL!M58</f>
        <v>5670.28772989574</v>
      </c>
      <c r="N33" s="57" t="n">
        <f aca="false">PL!N58</f>
        <v>5726.57588807005</v>
      </c>
      <c r="O33" s="57" t="n">
        <f aca="false">PL!O58</f>
        <v>40800.1720667495</v>
      </c>
      <c r="P33" s="57" t="n">
        <f aca="false">PL!P58</f>
        <v>30254.5075216862</v>
      </c>
      <c r="Q33" s="57" t="n">
        <f aca="false">PL!Q58</f>
        <v>-2605.97679855261</v>
      </c>
      <c r="R33" s="57" t="n">
        <f aca="false">PL!R58</f>
        <v>-19702.3839954439</v>
      </c>
      <c r="S33" s="57" t="n">
        <f aca="false">PL!S58</f>
        <v>-7736.81723644183</v>
      </c>
      <c r="T33" s="57" t="n">
        <f aca="false">PL!T58</f>
        <v>-3234.00306026091</v>
      </c>
      <c r="U33" s="57" t="n">
        <f aca="false">PL!U58</f>
        <v>4920.02495922381</v>
      </c>
      <c r="V33" s="57" t="n">
        <f aca="false">PL!V58</f>
        <v>4514.30085129945</v>
      </c>
      <c r="W33" s="57" t="n">
        <f aca="false">PL!W58</f>
        <v>2967.94144163391</v>
      </c>
      <c r="X33" s="57" t="n">
        <f aca="false">PL!X58</f>
        <v>2183.98867830775</v>
      </c>
      <c r="Y33" s="57" t="n">
        <f aca="false">PL!Y58</f>
        <v>14390.352979478</v>
      </c>
      <c r="Z33" s="57" t="n">
        <f aca="false">PL!Z58</f>
        <v>23940.8124919658</v>
      </c>
      <c r="AA33" s="57" t="n">
        <f aca="false">PL!AA58</f>
        <v>62669.4683812939</v>
      </c>
      <c r="AB33" s="57" t="n">
        <f aca="false">PL!AB58</f>
        <v>58587.9294624961</v>
      </c>
    </row>
    <row r="34" customFormat="false" ht="15" hidden="false" customHeight="true" outlineLevel="0" collapsed="false">
      <c r="A34" s="28" t="s">
        <v>389</v>
      </c>
      <c r="B34" s="55" t="s">
        <v>390</v>
      </c>
      <c r="C34" s="56" t="n">
        <f aca="false">SUM(E34:P34)</f>
        <v>0</v>
      </c>
      <c r="D34" s="56" t="n">
        <f aca="false">SUM(Q34:AB34)</f>
        <v>0</v>
      </c>
      <c r="E34" s="69" t="n">
        <v>0</v>
      </c>
      <c r="F34" s="69" t="n">
        <v>0</v>
      </c>
      <c r="G34" s="69" t="n">
        <v>0</v>
      </c>
      <c r="H34" s="69" t="n">
        <v>0</v>
      </c>
      <c r="I34" s="69" t="n">
        <v>0</v>
      </c>
      <c r="J34" s="69" t="n">
        <v>0</v>
      </c>
      <c r="K34" s="69" t="n">
        <v>0</v>
      </c>
      <c r="L34" s="69" t="n">
        <v>0</v>
      </c>
      <c r="M34" s="74" t="n">
        <v>0</v>
      </c>
      <c r="N34" s="74" t="n">
        <v>0</v>
      </c>
      <c r="O34" s="74" t="n">
        <v>0</v>
      </c>
      <c r="P34" s="74" t="n">
        <v>0</v>
      </c>
      <c r="Q34" s="74" t="n">
        <v>0</v>
      </c>
      <c r="R34" s="74" t="n">
        <v>0</v>
      </c>
      <c r="S34" s="74" t="n">
        <v>0</v>
      </c>
      <c r="T34" s="74" t="n">
        <v>0</v>
      </c>
      <c r="U34" s="74" t="n">
        <v>0</v>
      </c>
      <c r="V34" s="74" t="n">
        <v>0</v>
      </c>
      <c r="W34" s="74" t="n">
        <v>0</v>
      </c>
      <c r="X34" s="74" t="n">
        <v>0</v>
      </c>
      <c r="Y34" s="74" t="n">
        <v>0</v>
      </c>
      <c r="Z34" s="74" t="n">
        <v>0</v>
      </c>
      <c r="AA34" s="74" t="n">
        <v>0</v>
      </c>
      <c r="AB34" s="74" t="n">
        <v>0</v>
      </c>
    </row>
    <row r="35" customFormat="false" ht="15" hidden="false" customHeight="true" outlineLevel="0" collapsed="false">
      <c r="A35" s="28" t="s">
        <v>391</v>
      </c>
      <c r="B35" s="55" t="s">
        <v>392</v>
      </c>
      <c r="C35" s="56" t="n">
        <f aca="false">P35</f>
        <v>583634.468966472</v>
      </c>
      <c r="D35" s="56" t="n">
        <f aca="false">AB35</f>
        <v>724530.107121472</v>
      </c>
      <c r="E35" s="69" t="n">
        <f aca="false">E32+E33-E34</f>
        <v>517502.647337302</v>
      </c>
      <c r="F35" s="69" t="n">
        <f aca="false">F32+F33-F34</f>
        <v>502624.824229858</v>
      </c>
      <c r="G35" s="69" t="n">
        <f aca="false">G32+G33-G34</f>
        <v>499865.076667948</v>
      </c>
      <c r="H35" s="69" t="n">
        <f aca="false">H32+H33-H34</f>
        <v>507227.078970128</v>
      </c>
      <c r="I35" s="69" t="n">
        <f aca="false">I32+I33-I34</f>
        <v>524753.711866199</v>
      </c>
      <c r="J35" s="69" t="n">
        <f aca="false">J32+J33-J34</f>
        <v>517701.012438859</v>
      </c>
      <c r="K35" s="69" t="n">
        <f aca="false">K32+K33-K34</f>
        <v>516437.977828181</v>
      </c>
      <c r="L35" s="69" t="n">
        <f aca="false">L32+L33-L34</f>
        <v>501182.925760071</v>
      </c>
      <c r="M35" s="69" t="n">
        <f aca="false">M32+M33-M34</f>
        <v>506853.213489967</v>
      </c>
      <c r="N35" s="69" t="n">
        <f aca="false">N32+N33-N34</f>
        <v>512579.789378037</v>
      </c>
      <c r="O35" s="69" t="n">
        <f aca="false">O32+O33-O34</f>
        <v>553379.961444786</v>
      </c>
      <c r="P35" s="69" t="n">
        <f aca="false">P32+P33-P34</f>
        <v>583634.468966472</v>
      </c>
      <c r="Q35" s="69" t="n">
        <f aca="false">Q32+Q33-Q34</f>
        <v>581028.49216792</v>
      </c>
      <c r="R35" s="69" t="n">
        <f aca="false">R32+R33-R34</f>
        <v>561326.108172476</v>
      </c>
      <c r="S35" s="69" t="n">
        <f aca="false">S32+S33-S34</f>
        <v>553589.290936034</v>
      </c>
      <c r="T35" s="69" t="n">
        <f aca="false">T32+T33-T34</f>
        <v>550355.287875773</v>
      </c>
      <c r="U35" s="69" t="n">
        <f aca="false">U32+U33-U34</f>
        <v>555275.312834997</v>
      </c>
      <c r="V35" s="69" t="n">
        <f aca="false">V32+V33-V34</f>
        <v>559789.613686296</v>
      </c>
      <c r="W35" s="69" t="n">
        <f aca="false">W32+W33-W34</f>
        <v>562757.55512793</v>
      </c>
      <c r="X35" s="69" t="n">
        <f aca="false">X32+X33-X34</f>
        <v>564941.543806238</v>
      </c>
      <c r="Y35" s="69" t="n">
        <f aca="false">Y32+Y33-Y34</f>
        <v>579331.896785716</v>
      </c>
      <c r="Z35" s="69" t="n">
        <f aca="false">Z32+Z33-Z34</f>
        <v>603272.709277682</v>
      </c>
      <c r="AA35" s="69" t="n">
        <f aca="false">AA32+AA33-AA34</f>
        <v>665942.177658976</v>
      </c>
      <c r="AB35" s="69" t="n">
        <f aca="false">AB32+AB33-AB34</f>
        <v>724530.107121472</v>
      </c>
    </row>
    <row r="36" customFormat="false" ht="15" hidden="false" customHeight="true" outlineLevel="0" collapsed="false">
      <c r="A36" s="70" t="s">
        <v>393</v>
      </c>
      <c r="B36" s="71"/>
      <c r="C36" s="72" t="n">
        <f aca="false">P36</f>
        <v>833634.468966472</v>
      </c>
      <c r="D36" s="72" t="n">
        <f aca="false">AB36</f>
        <v>974530.107121472</v>
      </c>
      <c r="E36" s="72" t="n">
        <f aca="false">E31+E35</f>
        <v>767502.647337302</v>
      </c>
      <c r="F36" s="72" t="n">
        <f aca="false">F31+F35</f>
        <v>752624.824229858</v>
      </c>
      <c r="G36" s="72" t="n">
        <f aca="false">G31+G35</f>
        <v>749865.076667948</v>
      </c>
      <c r="H36" s="72" t="n">
        <f aca="false">H31+H35</f>
        <v>757227.078970128</v>
      </c>
      <c r="I36" s="72" t="n">
        <f aca="false">I31+I35</f>
        <v>774753.711866199</v>
      </c>
      <c r="J36" s="72" t="n">
        <f aca="false">J31+J35</f>
        <v>767701.012438859</v>
      </c>
      <c r="K36" s="72" t="n">
        <f aca="false">K31+K35</f>
        <v>766437.977828181</v>
      </c>
      <c r="L36" s="72" t="n">
        <f aca="false">L31+L35</f>
        <v>751182.925760071</v>
      </c>
      <c r="M36" s="72" t="n">
        <f aca="false">M31+M35</f>
        <v>756853.213489967</v>
      </c>
      <c r="N36" s="72" t="n">
        <f aca="false">N31+N35</f>
        <v>762579.789378037</v>
      </c>
      <c r="O36" s="72" t="n">
        <f aca="false">O31+O35</f>
        <v>803379.961444786</v>
      </c>
      <c r="P36" s="72" t="n">
        <f aca="false">P31+P35</f>
        <v>833634.468966472</v>
      </c>
      <c r="Q36" s="72" t="n">
        <f aca="false">Q31+Q35</f>
        <v>831028.49216792</v>
      </c>
      <c r="R36" s="72" t="n">
        <f aca="false">R31+R35</f>
        <v>811326.108172476</v>
      </c>
      <c r="S36" s="72" t="n">
        <f aca="false">S31+S35</f>
        <v>803589.290936034</v>
      </c>
      <c r="T36" s="72" t="n">
        <f aca="false">T31+T35</f>
        <v>800355.287875773</v>
      </c>
      <c r="U36" s="72" t="n">
        <f aca="false">U31+U35</f>
        <v>805275.312834997</v>
      </c>
      <c r="V36" s="72" t="n">
        <f aca="false">V31+V35</f>
        <v>809789.613686296</v>
      </c>
      <c r="W36" s="72" t="n">
        <f aca="false">W31+W35</f>
        <v>812757.55512793</v>
      </c>
      <c r="X36" s="72" t="n">
        <f aca="false">X31+X35</f>
        <v>814941.543806238</v>
      </c>
      <c r="Y36" s="72" t="n">
        <f aca="false">Y31+Y35</f>
        <v>829331.896785716</v>
      </c>
      <c r="Z36" s="72" t="n">
        <f aca="false">Z31+Z35</f>
        <v>853272.709277682</v>
      </c>
      <c r="AA36" s="72" t="n">
        <f aca="false">AA31+AA35</f>
        <v>915942.177658976</v>
      </c>
      <c r="AB36" s="72" t="n">
        <f aca="false">AB31+AB35</f>
        <v>974530.107121472</v>
      </c>
    </row>
    <row r="37" customFormat="false" ht="15" hidden="false" customHeight="true" outlineLevel="0" collapsed="false">
      <c r="A37" s="70" t="s">
        <v>394</v>
      </c>
      <c r="B37" s="71"/>
      <c r="C37" s="72" t="n">
        <f aca="false">P37</f>
        <v>1544681.61515681</v>
      </c>
      <c r="D37" s="72" t="n">
        <f aca="false">AB37</f>
        <v>1719381.91373332</v>
      </c>
      <c r="E37" s="72" t="n">
        <f aca="false">E29+E36</f>
        <v>1343224.63703252</v>
      </c>
      <c r="F37" s="72" t="n">
        <f aca="false">F29+F36</f>
        <v>1331352.0465268</v>
      </c>
      <c r="G37" s="72" t="n">
        <f aca="false">G29+G36</f>
        <v>1374817.63717923</v>
      </c>
      <c r="H37" s="72" t="n">
        <f aca="false">H29+H36</f>
        <v>1267914.4639196</v>
      </c>
      <c r="I37" s="72" t="n">
        <f aca="false">I29+I36</f>
        <v>1355100.24445023</v>
      </c>
      <c r="J37" s="72" t="n">
        <f aca="false">J29+J36</f>
        <v>1386120.26250466</v>
      </c>
      <c r="K37" s="72" t="n">
        <f aca="false">K29+K36</f>
        <v>1255571.50653061</v>
      </c>
      <c r="L37" s="72" t="n">
        <f aca="false">L29+L36</f>
        <v>1286784.09826505</v>
      </c>
      <c r="M37" s="72" t="n">
        <f aca="false">M29+M36</f>
        <v>1372295.75001792</v>
      </c>
      <c r="N37" s="72" t="n">
        <f aca="false">N29+N36</f>
        <v>1303279.16770367</v>
      </c>
      <c r="O37" s="72" t="n">
        <f aca="false">O29+O36</f>
        <v>1430687.75257206</v>
      </c>
      <c r="P37" s="72" t="n">
        <f aca="false">P29+P36</f>
        <v>1544681.61515681</v>
      </c>
      <c r="Q37" s="72" t="n">
        <f aca="false">Q29+Q36</f>
        <v>1333678.81401096</v>
      </c>
      <c r="R37" s="72" t="n">
        <f aca="false">R29+R36</f>
        <v>1320987.39462083</v>
      </c>
      <c r="S37" s="72" t="n">
        <f aca="false">S29+S36</f>
        <v>1374298.24101745</v>
      </c>
      <c r="T37" s="72" t="n">
        <f aca="false">T29+T36</f>
        <v>1264263.25504605</v>
      </c>
      <c r="U37" s="72" t="n">
        <f aca="false">U29+U36</f>
        <v>1329065.01409559</v>
      </c>
      <c r="V37" s="72" t="n">
        <f aca="false">V29+V36</f>
        <v>1388226.91334218</v>
      </c>
      <c r="W37" s="72" t="n">
        <f aca="false">W29+W36</f>
        <v>1257323.77321225</v>
      </c>
      <c r="X37" s="72" t="n">
        <f aca="false">X29+X36</f>
        <v>1324139.95833432</v>
      </c>
      <c r="Y37" s="72" t="n">
        <f aca="false">Y29+Y36</f>
        <v>1415765.24029669</v>
      </c>
      <c r="Z37" s="72" t="n">
        <f aca="false">Z29+Z36</f>
        <v>1363726.36700781</v>
      </c>
      <c r="AA37" s="72" t="n">
        <f aca="false">AA29+AA36</f>
        <v>1554280.05791342</v>
      </c>
      <c r="AB37" s="72" t="n">
        <f aca="false">AB29+AB36</f>
        <v>1719381.91373332</v>
      </c>
    </row>
    <row r="38" customFormat="false" ht="15" hidden="false" customHeight="true" outlineLevel="0" collapsed="false">
      <c r="A38" s="70" t="s">
        <v>395</v>
      </c>
      <c r="B38" s="71"/>
      <c r="C38" s="72" t="n">
        <f aca="false">P38</f>
        <v>0</v>
      </c>
      <c r="D38" s="72" t="n">
        <f aca="false">AB38</f>
        <v>0</v>
      </c>
      <c r="E38" s="72" t="n">
        <f aca="false">ROUND(E17-E37,2)</f>
        <v>0</v>
      </c>
      <c r="F38" s="72" t="n">
        <f aca="false">ROUND(F17-F37,2)</f>
        <v>0</v>
      </c>
      <c r="G38" s="72" t="n">
        <f aca="false">ROUND(G17-G37,2)</f>
        <v>0</v>
      </c>
      <c r="H38" s="72" t="n">
        <f aca="false">ROUND(H17-H37,2)</f>
        <v>0</v>
      </c>
      <c r="I38" s="72" t="n">
        <f aca="false">ROUND(I17-I37,2)</f>
        <v>0</v>
      </c>
      <c r="J38" s="72" t="n">
        <f aca="false">ROUND(J17-J37,2)</f>
        <v>0</v>
      </c>
      <c r="K38" s="72" t="n">
        <f aca="false">ROUND(K17-K37,2)</f>
        <v>0</v>
      </c>
      <c r="L38" s="72" t="n">
        <f aca="false">ROUND(L17-L37,2)</f>
        <v>0</v>
      </c>
      <c r="M38" s="72" t="n">
        <f aca="false">ROUND(M17-M37,2)</f>
        <v>0</v>
      </c>
      <c r="N38" s="72" t="n">
        <f aca="false">ROUND(N17-N37,2)</f>
        <v>0</v>
      </c>
      <c r="O38" s="72" t="n">
        <f aca="false">ROUND(O17-O37,2)</f>
        <v>0</v>
      </c>
      <c r="P38" s="72" t="n">
        <f aca="false">ROUND(P17-P37,2)</f>
        <v>0</v>
      </c>
      <c r="Q38" s="72" t="n">
        <f aca="false">ROUND(Q17-Q37,2)</f>
        <v>0</v>
      </c>
      <c r="R38" s="72" t="n">
        <f aca="false">ROUND(R17-R37,2)</f>
        <v>0</v>
      </c>
      <c r="S38" s="72" t="n">
        <f aca="false">ROUND(S17-S37,2)</f>
        <v>0</v>
      </c>
      <c r="T38" s="72" t="n">
        <f aca="false">ROUND(T17-T37,2)</f>
        <v>0</v>
      </c>
      <c r="U38" s="72" t="n">
        <f aca="false">ROUND(U17-U37,2)</f>
        <v>0</v>
      </c>
      <c r="V38" s="72" t="n">
        <f aca="false">ROUND(V17-V37,2)</f>
        <v>0</v>
      </c>
      <c r="W38" s="72" t="n">
        <f aca="false">ROUND(W17-W37,2)</f>
        <v>0</v>
      </c>
      <c r="X38" s="72" t="n">
        <f aca="false">ROUND(X17-X37,2)</f>
        <v>0</v>
      </c>
      <c r="Y38" s="72" t="n">
        <f aca="false">ROUND(Y17-Y37,2)</f>
        <v>0</v>
      </c>
      <c r="Z38" s="72" t="n">
        <f aca="false">ROUND(Z17-Z37,2)</f>
        <v>0</v>
      </c>
      <c r="AA38" s="72" t="n">
        <f aca="false">ROUND(AA17-AA37,2)</f>
        <v>0</v>
      </c>
      <c r="AB38" s="72" t="n">
        <f aca="false">ROUND(AB17-AB37,2)</f>
        <v>0</v>
      </c>
    </row>
    <row r="39" customFormat="false" ht="15" hidden="false" customHeight="true" outlineLevel="0" collapsed="false">
      <c r="A39" s="22" t="s">
        <v>396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row>
    <row r="40" customFormat="false" ht="15" hidden="false" customHeight="true" outlineLevel="0" collapsed="false">
      <c r="A40" s="28" t="s">
        <v>397</v>
      </c>
      <c r="B40" s="55"/>
      <c r="C40" s="56" t="n">
        <f aca="false">P40</f>
        <v>483698.841713906</v>
      </c>
      <c r="D40" s="56" t="n">
        <f aca="false">AB40</f>
        <v>808893.584445601</v>
      </c>
      <c r="E40" s="69" t="n">
        <f aca="false">E10+E11+E12+E13+E14-E19-E21-E22-E20</f>
        <v>705893.314003968</v>
      </c>
      <c r="F40" s="69" t="n">
        <f aca="false">F10+F11+F12+F13+F14-F19-F21-F22-F20</f>
        <v>704129.335308347</v>
      </c>
      <c r="G40" s="69" t="n">
        <f aca="false">G10+G11+G12+G13+G14-G19-G21-G22-G20</f>
        <v>594806.663097655</v>
      </c>
      <c r="H40" s="69" t="n">
        <f aca="false">H10+H11+H12+H13+H14-H19-H21-H22-H20</f>
        <v>724149.836717155</v>
      </c>
      <c r="I40" s="69" t="n">
        <f aca="false">I10+I11+I12+I13+I14-I19-I21-I22-I20</f>
        <v>611442.326392499</v>
      </c>
      <c r="J40" s="69" t="n">
        <f aca="false">J10+J11+J12+J13+J14-J19-J21-J22-J20</f>
        <v>557134.529755573</v>
      </c>
      <c r="K40" s="69" t="n">
        <f aca="false">K10+K11+K12+K13+K14-K19-K21-K22-K20</f>
        <v>710779.828364162</v>
      </c>
      <c r="L40" s="69" t="n">
        <f aca="false">L10+L11+L12+L13+L14-L19-L21-L22-L20</f>
        <v>631670.742592992</v>
      </c>
      <c r="M40" s="69" t="n">
        <f aca="false">M10+M11+M12+M13+M14-M19-M21-M22-M20</f>
        <v>709810.698011016</v>
      </c>
      <c r="N40" s="69" t="n">
        <f aca="false">N10+N11+N12+N13+N14-N19-N21-N22-N20</f>
        <v>733231.661475994</v>
      </c>
      <c r="O40" s="69" t="n">
        <f aca="false">O10+O11+O12+O13+O14-O19-O21-O22-O20</f>
        <v>664003.355088307</v>
      </c>
      <c r="P40" s="69" t="n">
        <f aca="false">P10+P11+P12+P13+P14-P19-P21-P22-P20</f>
        <v>483698.841713906</v>
      </c>
      <c r="Q40" s="69" t="n">
        <f aca="false">Q10+Q11+Q12+Q13+Q14-Q19-Q21-Q22-Q20</f>
        <v>598182.545039462</v>
      </c>
      <c r="R40" s="69" t="n">
        <f aca="false">R10+R11+R12+R13+R14-R19-R21-R22-R20</f>
        <v>589299.717820589</v>
      </c>
      <c r="S40" s="69" t="n">
        <f aca="false">S10+S11+S12+S13+S14-S19-S21-S22-S20</f>
        <v>513301.748510427</v>
      </c>
      <c r="T40" s="69" t="n">
        <f aca="false">T10+T11+T12+T13+T14-T19-T21-T22-T20</f>
        <v>607752.533374768</v>
      </c>
      <c r="U40" s="69" t="n">
        <f aca="false">U10+U11+U12+U13+U14-U19-U21-U22-U20</f>
        <v>534694.654084791</v>
      </c>
      <c r="V40" s="69" t="n">
        <f aca="false">V10+V11+V12+V13+V14-V19-V21-V22-V20</f>
        <v>486439.209251785</v>
      </c>
      <c r="W40" s="69" t="n">
        <f aca="false">W10+W11+W12+W13+W14-W19-W21-W22-W20</f>
        <v>729222.529874887</v>
      </c>
      <c r="X40" s="69" t="n">
        <f aca="false">X10+X11+X12+X13+X14-X19-X21-X22-X20</f>
        <v>727843.795419809</v>
      </c>
      <c r="Y40" s="69" t="n">
        <f aca="false">Y10+Y11+Y12+Y13+Y14-Y19-Y21-Y22-Y20</f>
        <v>875838.942830681</v>
      </c>
      <c r="Z40" s="69" t="n">
        <f aca="false">Z10+Z11+Z12+Z13+Z14-Z19-Z21-Z22-Z20</f>
        <v>1015152.86694182</v>
      </c>
      <c r="AA40" s="69" t="n">
        <f aca="false">AA10+AA11+AA12+AA13+AA14-AA19-AA21-AA22-AA20</f>
        <v>947991.005617708</v>
      </c>
      <c r="AB40" s="69" t="n">
        <f aca="false">AB10+AB11+AB12+AB13+AB14-AB19-AB21-AB22-AB20</f>
        <v>808893.584445601</v>
      </c>
    </row>
    <row r="41" customFormat="false" ht="15" hidden="false" customHeight="true" outlineLevel="0" collapsed="false">
      <c r="A41" s="28" t="s">
        <v>295</v>
      </c>
      <c r="B41" s="55" t="s">
        <v>398</v>
      </c>
      <c r="C41" s="56" t="n">
        <f aca="false">P41</f>
        <v>-300307.663182973</v>
      </c>
      <c r="D41" s="56" t="n">
        <f aca="false">AB41</f>
        <v>-131222.783477661</v>
      </c>
      <c r="E41" s="69" t="n">
        <f aca="false">E27+E28-E9</f>
        <v>-3616.00000000006</v>
      </c>
      <c r="F41" s="69" t="n">
        <f aca="false">F27+F28-F9</f>
        <v>6991.17774515558</v>
      </c>
      <c r="G41" s="69" t="n">
        <f aca="false">G27+G28-G9</f>
        <v>-95391.7469036258</v>
      </c>
      <c r="H41" s="69" t="n">
        <f aca="false">H27+H28-H9</f>
        <v>42369.4244136935</v>
      </c>
      <c r="I41" s="69" t="n">
        <f aca="false">I27+I28-I9</f>
        <v>-90198.5524546606</v>
      </c>
      <c r="J41" s="69" t="n">
        <f aca="false">J27+J28-J9</f>
        <v>-139226.482683286</v>
      </c>
      <c r="K41" s="69" t="n">
        <f aca="false">K27+K28-K9</f>
        <v>16470.1838693145</v>
      </c>
      <c r="L41" s="69" t="n">
        <f aca="false">L27+L28-L9</f>
        <v>-50095.5165004126</v>
      </c>
      <c r="M41" s="69" t="n">
        <f aca="false">M27+M28-M9</f>
        <v>21137.4845210494</v>
      </c>
      <c r="N41" s="69" t="n">
        <f aca="false">N27+N28-N9</f>
        <v>37570.205431291</v>
      </c>
      <c r="O41" s="69" t="n">
        <f aca="false">O27+O28-O9</f>
        <v>-81340.2392879726</v>
      </c>
      <c r="P41" s="69" t="n">
        <f aca="false">P27+P28-P9</f>
        <v>-300307.663182973</v>
      </c>
      <c r="Q41" s="69" t="n">
        <f aca="false">Q27+Q28-Q9</f>
        <v>-184554.649725532</v>
      </c>
      <c r="R41" s="69" t="n">
        <f aca="false">R27+R28-R9</f>
        <v>-145930.09294896</v>
      </c>
      <c r="S41" s="69" t="n">
        <f aca="false">S27+S28-S9</f>
        <v>-216411.245022681</v>
      </c>
      <c r="T41" s="69" t="n">
        <f aca="false">T27+T28-T9</f>
        <v>-106279.421167672</v>
      </c>
      <c r="U41" s="69" t="n">
        <f aca="false">U27+U28-U9</f>
        <v>-186527.325416873</v>
      </c>
      <c r="V41" s="69" t="n">
        <f aca="false">V27+V28-V9</f>
        <v>-241592.071101178</v>
      </c>
      <c r="W41" s="69" t="n">
        <f aca="false">W27+W28-W9</f>
        <v>-4096.69191971031</v>
      </c>
      <c r="X41" s="69" t="n">
        <f aca="false">X27+X28-X9</f>
        <v>-10004.4150530958</v>
      </c>
      <c r="Y41" s="69" t="n">
        <f aca="false">Y27+Y28-Y9</f>
        <v>121230.379378298</v>
      </c>
      <c r="Z41" s="69" t="n">
        <f aca="false">Z27+Z28-Z9</f>
        <v>229601.990183726</v>
      </c>
      <c r="AA41" s="69" t="n">
        <f aca="false">AA27+AA28-AA9</f>
        <v>82650.4148086384</v>
      </c>
      <c r="AB41" s="69" t="n">
        <f aca="false">AB27+AB28-AB9</f>
        <v>-131222.783477661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399</v>
      </c>
    </row>
    <row r="3" customFormat="false" ht="15" hidden="false" customHeight="true" outlineLevel="0" collapsed="false">
      <c r="A3" s="25" t="s">
        <v>400</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401</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402</v>
      </c>
      <c r="B9" s="55" t="s">
        <v>29</v>
      </c>
      <c r="C9" s="56" t="n">
        <f aca="false">SUM(E9:P9)</f>
        <v>62634.4689664724</v>
      </c>
      <c r="D9" s="56" t="n">
        <f aca="false">SUM(Q9:AB9)</f>
        <v>140895.638154999</v>
      </c>
      <c r="E9" s="57" t="n">
        <f aca="false">PL!E58</f>
        <v>-3497.35266269838</v>
      </c>
      <c r="F9" s="57" t="n">
        <f aca="false">PL!F58</f>
        <v>-14877.8231074433</v>
      </c>
      <c r="G9" s="57" t="n">
        <f aca="false">PL!G58</f>
        <v>-2759.74756191062</v>
      </c>
      <c r="H9" s="57" t="n">
        <f aca="false">PL!H58</f>
        <v>7362.0023021804</v>
      </c>
      <c r="I9" s="57" t="n">
        <f aca="false">PL!I58</f>
        <v>17526.6328960711</v>
      </c>
      <c r="J9" s="57" t="n">
        <f aca="false">PL!J58</f>
        <v>-7052.69942734003</v>
      </c>
      <c r="K9" s="57" t="n">
        <f aca="false">PL!K58</f>
        <v>-1263.03461067812</v>
      </c>
      <c r="L9" s="57" t="n">
        <f aca="false">PL!L58</f>
        <v>-15255.0520681101</v>
      </c>
      <c r="M9" s="57" t="n">
        <f aca="false">PL!M58</f>
        <v>5670.28772989574</v>
      </c>
      <c r="N9" s="57" t="n">
        <f aca="false">PL!N58</f>
        <v>5726.57588807005</v>
      </c>
      <c r="O9" s="57" t="n">
        <f aca="false">PL!O58</f>
        <v>40800.1720667495</v>
      </c>
      <c r="P9" s="57" t="n">
        <f aca="false">PL!P58</f>
        <v>30254.5075216862</v>
      </c>
      <c r="Q9" s="57" t="n">
        <f aca="false">PL!Q58</f>
        <v>-2605.97679855261</v>
      </c>
      <c r="R9" s="57" t="n">
        <f aca="false">PL!R58</f>
        <v>-19702.3839954439</v>
      </c>
      <c r="S9" s="57" t="n">
        <f aca="false">PL!S58</f>
        <v>-7736.81723644183</v>
      </c>
      <c r="T9" s="57" t="n">
        <f aca="false">PL!T58</f>
        <v>-3234.00306026091</v>
      </c>
      <c r="U9" s="57" t="n">
        <f aca="false">PL!U58</f>
        <v>4920.02495922381</v>
      </c>
      <c r="V9" s="57" t="n">
        <f aca="false">PL!V58</f>
        <v>4514.30085129945</v>
      </c>
      <c r="W9" s="57" t="n">
        <f aca="false">PL!W58</f>
        <v>2967.94144163391</v>
      </c>
      <c r="X9" s="57" t="n">
        <f aca="false">PL!X58</f>
        <v>2183.98867830775</v>
      </c>
      <c r="Y9" s="57" t="n">
        <f aca="false">PL!Y58</f>
        <v>14390.352979478</v>
      </c>
      <c r="Z9" s="57" t="n">
        <f aca="false">PL!Z58</f>
        <v>23940.8124919658</v>
      </c>
      <c r="AA9" s="57" t="n">
        <f aca="false">PL!AA58</f>
        <v>62669.4683812939</v>
      </c>
      <c r="AB9" s="57" t="n">
        <f aca="false">PL!AB58</f>
        <v>58587.9294624961</v>
      </c>
    </row>
    <row r="10" customFormat="false" ht="15" hidden="false" customHeight="true" outlineLevel="0" collapsed="false">
      <c r="A10" s="28" t="s">
        <v>403</v>
      </c>
      <c r="B10" s="55"/>
      <c r="C10" s="56" t="n">
        <f aca="false">SUM(E10:P10)</f>
        <v>32080</v>
      </c>
      <c r="D10" s="56" t="n">
        <f aca="false">SUM(Q10:AB10)</f>
        <v>44856.6666666667</v>
      </c>
      <c r="E10" s="57" t="n">
        <f aca="false">-PL!E51</f>
        <v>2506.66666666667</v>
      </c>
      <c r="F10" s="57" t="n">
        <f aca="false">-PL!F51</f>
        <v>2506.66666666667</v>
      </c>
      <c r="G10" s="57" t="n">
        <f aca="false">-PL!G51</f>
        <v>2620</v>
      </c>
      <c r="H10" s="57" t="n">
        <f aca="false">-PL!H51</f>
        <v>2620</v>
      </c>
      <c r="I10" s="57" t="n">
        <f aca="false">-PL!I51</f>
        <v>2653.33333333333</v>
      </c>
      <c r="J10" s="57" t="n">
        <f aca="false">-PL!J51</f>
        <v>2653.33333333333</v>
      </c>
      <c r="K10" s="57" t="n">
        <f aca="false">-PL!K51</f>
        <v>2711.66666666667</v>
      </c>
      <c r="L10" s="57" t="n">
        <f aca="false">-PL!L51</f>
        <v>2711.66666666667</v>
      </c>
      <c r="M10" s="57" t="n">
        <f aca="false">-PL!M51</f>
        <v>2736.66666666667</v>
      </c>
      <c r="N10" s="57" t="n">
        <f aca="false">-PL!N51</f>
        <v>2761.66666666667</v>
      </c>
      <c r="O10" s="57" t="n">
        <f aca="false">-PL!O51</f>
        <v>2786.66666666667</v>
      </c>
      <c r="P10" s="57" t="n">
        <f aca="false">-PL!P51</f>
        <v>2811.66666666667</v>
      </c>
      <c r="Q10" s="57" t="n">
        <f aca="false">-PL!Q51</f>
        <v>2836.66666666667</v>
      </c>
      <c r="R10" s="57" t="n">
        <f aca="false">-PL!R51</f>
        <v>3695</v>
      </c>
      <c r="S10" s="57" t="n">
        <f aca="false">-PL!S51</f>
        <v>3720</v>
      </c>
      <c r="T10" s="57" t="n">
        <f aca="false">-PL!T51</f>
        <v>3745</v>
      </c>
      <c r="U10" s="57" t="n">
        <f aca="false">-PL!U51</f>
        <v>3770</v>
      </c>
      <c r="V10" s="57" t="n">
        <f aca="false">-PL!V51</f>
        <v>3795</v>
      </c>
      <c r="W10" s="57" t="n">
        <f aca="false">-PL!W51</f>
        <v>3820</v>
      </c>
      <c r="X10" s="57" t="n">
        <f aca="false">-PL!X51</f>
        <v>3845</v>
      </c>
      <c r="Y10" s="57" t="n">
        <f aca="false">-PL!Y51</f>
        <v>3870</v>
      </c>
      <c r="Z10" s="57" t="n">
        <f aca="false">-PL!Z51</f>
        <v>3895</v>
      </c>
      <c r="AA10" s="57" t="n">
        <f aca="false">-PL!AA51</f>
        <v>3920</v>
      </c>
      <c r="AB10" s="57" t="n">
        <f aca="false">-PL!AB51</f>
        <v>3945</v>
      </c>
    </row>
    <row r="11" customFormat="false" ht="15" hidden="false" customHeight="true" outlineLevel="0" collapsed="false">
      <c r="A11" s="28" t="s">
        <v>404</v>
      </c>
      <c r="B11" s="55"/>
      <c r="C11" s="56" t="n">
        <f aca="false">SUM(E11:P11)</f>
        <v>26979.2251692066</v>
      </c>
      <c r="D11" s="56" t="n">
        <f aca="false">SUM(Q11:AB11)</f>
        <v>20063.7517586405</v>
      </c>
      <c r="E11" s="57" t="n">
        <f aca="false">-PL!E53</f>
        <v>2500</v>
      </c>
      <c r="F11" s="57" t="n">
        <f aca="false">-PL!F53</f>
        <v>2455.17774515567</v>
      </c>
      <c r="G11" s="57" t="n">
        <f aca="false">-PL!G53</f>
        <v>2410.07535121857</v>
      </c>
      <c r="H11" s="57" t="n">
        <f aca="false">-PL!H53</f>
        <v>2364.69106731935</v>
      </c>
      <c r="I11" s="57" t="n">
        <f aca="false">-PL!I53</f>
        <v>2319.02313164577</v>
      </c>
      <c r="J11" s="57" t="n">
        <f aca="false">-PL!J53</f>
        <v>2273.06977137423</v>
      </c>
      <c r="K11" s="57" t="n">
        <f aca="false">-PL!K53</f>
        <v>2226.82920260099</v>
      </c>
      <c r="L11" s="57" t="n">
        <f aca="false">-PL!L53</f>
        <v>2180.29963027292</v>
      </c>
      <c r="M11" s="57" t="n">
        <f aca="false">-PL!M53</f>
        <v>2133.4792481178</v>
      </c>
      <c r="N11" s="57" t="n">
        <f aca="false">-PL!N53</f>
        <v>2086.36623857421</v>
      </c>
      <c r="O11" s="57" t="n">
        <f aca="false">-PL!O53</f>
        <v>2038.95877272097</v>
      </c>
      <c r="P11" s="57" t="n">
        <f aca="false">-PL!P53</f>
        <v>1991.25501020614</v>
      </c>
      <c r="Q11" s="57" t="n">
        <f aca="false">-PL!Q53</f>
        <v>1943.2530991756</v>
      </c>
      <c r="R11" s="57" t="n">
        <f aca="false">-PL!R53</f>
        <v>1894.95117620112</v>
      </c>
      <c r="S11" s="57" t="n">
        <f aca="false">-PL!S53</f>
        <v>1846.34736620805</v>
      </c>
      <c r="T11" s="57" t="n">
        <f aca="false">-PL!T53</f>
        <v>1797.43978240253</v>
      </c>
      <c r="U11" s="57" t="n">
        <f aca="false">-PL!U53</f>
        <v>1748.22652619821</v>
      </c>
      <c r="V11" s="57" t="n">
        <f aca="false">-PL!V53</f>
        <v>1698.70568714262</v>
      </c>
      <c r="W11" s="57" t="n">
        <f aca="false">-PL!W53</f>
        <v>1648.87534284294</v>
      </c>
      <c r="X11" s="57" t="n">
        <f aca="false">-PL!X53</f>
        <v>1598.73355889138</v>
      </c>
      <c r="Y11" s="57" t="n">
        <f aca="false">-PL!Y53</f>
        <v>1548.27838879012</v>
      </c>
      <c r="Z11" s="57" t="n">
        <f aca="false">-PL!Z53</f>
        <v>1497.50787387573</v>
      </c>
      <c r="AA11" s="57" t="n">
        <f aca="false">-PL!AA53</f>
        <v>1446.42004324313</v>
      </c>
      <c r="AB11" s="57" t="n">
        <f aca="false">-PL!AB53</f>
        <v>1395.01291366907</v>
      </c>
    </row>
    <row r="12" customFormat="false" ht="15" hidden="false" customHeight="true" outlineLevel="0" collapsed="false">
      <c r="A12" s="28" t="s">
        <v>405</v>
      </c>
      <c r="B12" s="55"/>
      <c r="C12" s="56" t="n">
        <f aca="false">SUM(E12:P12)</f>
        <v>14692.0359304071</v>
      </c>
      <c r="D12" s="56" t="n">
        <f aca="false">SUM(Q12:AB12)</f>
        <v>33049.5941351233</v>
      </c>
      <c r="E12" s="57" t="n">
        <f aca="false">-PL!E57</f>
        <v>0</v>
      </c>
      <c r="F12" s="57" t="n">
        <f aca="false">-PL!F57</f>
        <v>0</v>
      </c>
      <c r="G12" s="57" t="n">
        <f aca="false">-PL!G57</f>
        <v>0</v>
      </c>
      <c r="H12" s="57" t="n">
        <f aca="false">-PL!H57</f>
        <v>0</v>
      </c>
      <c r="I12" s="57" t="n">
        <f aca="false">-PL!I57</f>
        <v>880.500314293628</v>
      </c>
      <c r="J12" s="57" t="n">
        <f aca="false">-PL!J57</f>
        <v>-880.500314293628</v>
      </c>
      <c r="K12" s="57" t="n">
        <f aca="false">-PL!K57</f>
        <v>0</v>
      </c>
      <c r="L12" s="57" t="n">
        <f aca="false">-PL!L57</f>
        <v>0</v>
      </c>
      <c r="M12" s="57" t="n">
        <f aca="false">-PL!M57</f>
        <v>0</v>
      </c>
      <c r="N12" s="57" t="n">
        <f aca="false">-PL!N57</f>
        <v>0</v>
      </c>
      <c r="O12" s="57" t="n">
        <f aca="false">-PL!O57</f>
        <v>7595.29959815972</v>
      </c>
      <c r="P12" s="57" t="n">
        <f aca="false">-PL!P57</f>
        <v>7096.73633224738</v>
      </c>
      <c r="Q12" s="57" t="n">
        <f aca="false">-PL!Q57</f>
        <v>0</v>
      </c>
      <c r="R12" s="57" t="n">
        <f aca="false">-PL!R57</f>
        <v>0</v>
      </c>
      <c r="S12" s="57" t="n">
        <f aca="false">-PL!S57</f>
        <v>0</v>
      </c>
      <c r="T12" s="57" t="n">
        <f aca="false">-PL!T57</f>
        <v>0</v>
      </c>
      <c r="U12" s="57" t="n">
        <f aca="false">-PL!U57</f>
        <v>0</v>
      </c>
      <c r="V12" s="57" t="n">
        <f aca="false">-PL!V57</f>
        <v>0</v>
      </c>
      <c r="W12" s="57" t="n">
        <f aca="false">-PL!W57</f>
        <v>0</v>
      </c>
      <c r="X12" s="57" t="n">
        <f aca="false">-PL!X57</f>
        <v>0</v>
      </c>
      <c r="Y12" s="57" t="n">
        <f aca="false">-PL!Y57</f>
        <v>0</v>
      </c>
      <c r="Z12" s="57" t="n">
        <f aca="false">-PL!Z57</f>
        <v>4606.50081374049</v>
      </c>
      <c r="AA12" s="57" t="n">
        <f aca="false">-PL!AA57</f>
        <v>14700.2456696862</v>
      </c>
      <c r="AB12" s="57" t="n">
        <f aca="false">-PL!AB57</f>
        <v>13742.8476516966</v>
      </c>
    </row>
    <row r="13" customFormat="false" ht="15" hidden="false" customHeight="true" outlineLevel="0" collapsed="false">
      <c r="A13" s="70" t="s">
        <v>406</v>
      </c>
      <c r="B13" s="71"/>
      <c r="C13" s="72" t="n">
        <f aca="false">SUM(E13:P13)</f>
        <v>136385.730066086</v>
      </c>
      <c r="D13" s="72" t="n">
        <f aca="false">SUM(Q13:AB13)</f>
        <v>238865.65071543</v>
      </c>
      <c r="E13" s="72" t="n">
        <f aca="false">E9+E10+E11+E12</f>
        <v>1509.31400396829</v>
      </c>
      <c r="F13" s="72" t="n">
        <f aca="false">F9+F10+F11+F12</f>
        <v>-9915.97869562101</v>
      </c>
      <c r="G13" s="72" t="n">
        <f aca="false">G9+G10+G11+G12</f>
        <v>2270.32778930795</v>
      </c>
      <c r="H13" s="72" t="n">
        <f aca="false">H9+H10+H11+H12</f>
        <v>12346.6933694998</v>
      </c>
      <c r="I13" s="72" t="n">
        <f aca="false">I9+I10+I11+I12</f>
        <v>23379.4896753438</v>
      </c>
      <c r="J13" s="72" t="n">
        <f aca="false">J9+J10+J11+J12</f>
        <v>-3006.7966369261</v>
      </c>
      <c r="K13" s="72" t="n">
        <f aca="false">K9+K10+K11+K12</f>
        <v>3675.46125858954</v>
      </c>
      <c r="L13" s="72" t="n">
        <f aca="false">L9+L10+L11+L12</f>
        <v>-10363.0857711705</v>
      </c>
      <c r="M13" s="72" t="n">
        <f aca="false">M9+M10+M11+M12</f>
        <v>10540.4336446802</v>
      </c>
      <c r="N13" s="72" t="n">
        <f aca="false">N9+N10+N11+N12</f>
        <v>10574.6087933109</v>
      </c>
      <c r="O13" s="72" t="n">
        <f aca="false">O9+O10+O11+O12</f>
        <v>53221.0971042968</v>
      </c>
      <c r="P13" s="72" t="n">
        <f aca="false">P9+P10+P11+P12</f>
        <v>42154.1655308064</v>
      </c>
      <c r="Q13" s="72" t="n">
        <f aca="false">Q9+Q10+Q11+Q12</f>
        <v>2173.94296728967</v>
      </c>
      <c r="R13" s="72" t="n">
        <f aca="false">R9+R10+R11+R12</f>
        <v>-14112.4328192428</v>
      </c>
      <c r="S13" s="72" t="n">
        <f aca="false">S9+S10+S11+S12</f>
        <v>-2170.46987023378</v>
      </c>
      <c r="T13" s="72" t="n">
        <f aca="false">T9+T10+T11+T12</f>
        <v>2308.43672214162</v>
      </c>
      <c r="U13" s="72" t="n">
        <f aca="false">U9+U10+U11+U12</f>
        <v>10438.251485422</v>
      </c>
      <c r="V13" s="72" t="n">
        <f aca="false">V9+V10+V11+V12</f>
        <v>10008.0065384421</v>
      </c>
      <c r="W13" s="72" t="n">
        <f aca="false">W9+W10+W11+W12</f>
        <v>8436.81678447685</v>
      </c>
      <c r="X13" s="72" t="n">
        <f aca="false">X9+X10+X11+X12</f>
        <v>7627.72223719912</v>
      </c>
      <c r="Y13" s="72" t="n">
        <f aca="false">Y9+Y10+Y11+Y12</f>
        <v>19808.6313682681</v>
      </c>
      <c r="Z13" s="72" t="n">
        <f aca="false">Z9+Z10+Z11+Z12</f>
        <v>33939.821179582</v>
      </c>
      <c r="AA13" s="72" t="n">
        <f aca="false">AA9+AA10+AA11+AA12</f>
        <v>82736.1340942233</v>
      </c>
      <c r="AB13" s="72" t="n">
        <f aca="false">AB9+AB10+AB11+AB12</f>
        <v>77670.7900278618</v>
      </c>
    </row>
    <row r="14" customFormat="false" ht="15" hidden="false" customHeight="true" outlineLevel="0" collapsed="false">
      <c r="A14" s="28" t="s">
        <v>407</v>
      </c>
      <c r="B14" s="55" t="s">
        <v>408</v>
      </c>
      <c r="C14" s="56" t="n">
        <f aca="false">SUM(E14:P14)</f>
        <v>-48742.7845038068</v>
      </c>
      <c r="D14" s="56" t="n">
        <f aca="false">SUM(Q14:AB14)</f>
        <v>-70118.5182577045</v>
      </c>
      <c r="E14" s="57" t="n">
        <f aca="false">-(BS!E10-(Inputs_Actuals!$C$113+Inputs_Actuals!$C$114+Inputs_Actuals!$C$115))</f>
        <v>48035.5692793436</v>
      </c>
      <c r="F14" s="57" t="n">
        <f aca="false">-(BS!F10-BS!E10)</f>
        <v>-10850.0010026897</v>
      </c>
      <c r="G14" s="57" t="n">
        <f aca="false">-(BS!G10-BS!F10)</f>
        <v>-11594.4583148289</v>
      </c>
      <c r="H14" s="57" t="n">
        <f aca="false">-(BS!H10-BS!G10)</f>
        <v>-7632.26727421151</v>
      </c>
      <c r="I14" s="57" t="n">
        <f aca="false">-(BS!I10-BS!H10)</f>
        <v>-13540.2797608776</v>
      </c>
      <c r="J14" s="57" t="n">
        <f aca="false">-(BS!J10-BS!I10)</f>
        <v>1433.18124241875</v>
      </c>
      <c r="K14" s="57" t="n">
        <f aca="false">-(BS!K10-BS!J10)</f>
        <v>25350.9440145406</v>
      </c>
      <c r="L14" s="57" t="n">
        <f aca="false">-(BS!L10-BS!K10)</f>
        <v>-2819.21174354838</v>
      </c>
      <c r="M14" s="57" t="n">
        <f aca="false">-(BS!M10-BS!L10)</f>
        <v>-21905.8570530463</v>
      </c>
      <c r="N14" s="57" t="n">
        <f aca="false">-(BS!N10-BS!M10)</f>
        <v>-13265.5318810513</v>
      </c>
      <c r="O14" s="57" t="n">
        <f aca="false">-(BS!O10-BS!N10)</f>
        <v>-69685.5257113968</v>
      </c>
      <c r="P14" s="57" t="n">
        <f aca="false">-(BS!P10-BS!O10)</f>
        <v>27730.6537015408</v>
      </c>
      <c r="Q14" s="57" t="n">
        <f aca="false">-(BS!Q10-BS!P10)</f>
        <v>63593.0719298744</v>
      </c>
      <c r="R14" s="57" t="n">
        <f aca="false">-(BS!R10-BS!Q10)</f>
        <v>-6838.44048659512</v>
      </c>
      <c r="S14" s="57" t="n">
        <f aca="false">-(BS!S10-BS!R10)</f>
        <v>-5470.3109829297</v>
      </c>
      <c r="T14" s="57" t="n">
        <f aca="false">-(BS!T10-BS!S10)</f>
        <v>-12669.2248025838</v>
      </c>
      <c r="U14" s="57" t="n">
        <f aca="false">-(BS!U10-BS!T10)</f>
        <v>-6827.40874081926</v>
      </c>
      <c r="V14" s="57" t="n">
        <f aca="false">-(BS!V10-BS!U10)</f>
        <v>-4374.44729625707</v>
      </c>
      <c r="W14" s="57" t="n">
        <f aca="false">-(BS!W10-BS!V10)</f>
        <v>8986.82025865815</v>
      </c>
      <c r="X14" s="57" t="n">
        <f aca="false">-(BS!X10-BS!W10)</f>
        <v>-685.5694844799</v>
      </c>
      <c r="Y14" s="57" t="n">
        <f aca="false">-(BS!Y10-BS!X10)</f>
        <v>-28519.1203049406</v>
      </c>
      <c r="Z14" s="57" t="n">
        <f aca="false">-(BS!Z10-BS!Y10)</f>
        <v>-18752.0445195801</v>
      </c>
      <c r="AA14" s="57" t="n">
        <f aca="false">-(BS!AA10-BS!Z10)</f>
        <v>-96611.6384330213</v>
      </c>
      <c r="AB14" s="57" t="n">
        <f aca="false">-(BS!AB10-BS!AA10)</f>
        <v>38049.7946049697</v>
      </c>
    </row>
    <row r="15" customFormat="false" ht="15" hidden="false" customHeight="true" outlineLevel="0" collapsed="false">
      <c r="A15" s="28" t="s">
        <v>409</v>
      </c>
      <c r="B15" s="55" t="s">
        <v>408</v>
      </c>
      <c r="C15" s="56" t="n">
        <f aca="false">SUM(E15:P15)</f>
        <v>189310.216760604</v>
      </c>
      <c r="D15" s="56" t="n">
        <f aca="false">SUM(Q15:AB15)</f>
        <v>-249558.292790558</v>
      </c>
      <c r="E15" s="57" t="n">
        <f aca="false">-((BS!E11+BS!E12)-((SUM(Inputs_Actuals!$C$116:$C$120)-Inputs_Actuals!$C$121)))</f>
        <v>-84122.4337536257</v>
      </c>
      <c r="F15" s="57" t="n">
        <f aca="false">-((BS!F11+BS!F12)-(BS!E11+BS!E12))</f>
        <v>45592.3640666554</v>
      </c>
      <c r="G15" s="57" t="n">
        <f aca="false">-((BS!G11+BS!G12)-(BS!F11+BS!F12))</f>
        <v>17430.3068873025</v>
      </c>
      <c r="H15" s="57" t="n">
        <f aca="false">-((BS!H11+BS!H12)-(BS!G11+BS!G12))</f>
        <v>105647.399508752</v>
      </c>
      <c r="I15" s="57" t="n">
        <f aca="false">-((BS!I11+BS!I12)-(BS!H11+BS!H12))</f>
        <v>-45683.3948781806</v>
      </c>
      <c r="J15" s="57" t="n">
        <f aca="false">-((BS!J11+BS!J12)-(BS!I11+BS!I12))</f>
        <v>63522.9065947299</v>
      </c>
      <c r="K15" s="57" t="n">
        <f aca="false">-((BS!K11+BS!K12)-(BS!J11+BS!J12))</f>
        <v>57244.7471677508</v>
      </c>
      <c r="L15" s="57" t="n">
        <f aca="false">-((BS!L11+BS!L12)-(BS!K11+BS!K12))</f>
        <v>82169.3925673433</v>
      </c>
      <c r="M15" s="57" t="n">
        <f aca="false">-((BS!M11+BS!M12)-(BS!L11+BS!L12))</f>
        <v>-131702.137378265</v>
      </c>
      <c r="N15" s="57" t="n">
        <f aca="false">-((BS!N11+BS!N12)-(BS!M11+BS!M12))</f>
        <v>-109486.818339761</v>
      </c>
      <c r="O15" s="57" t="n">
        <f aca="false">-((BS!O11+BS!O12)-(BS!N11+BS!N12))</f>
        <v>145832.81450393</v>
      </c>
      <c r="P15" s="57" t="n">
        <f aca="false">-((BS!P11+BS!P12)-(BS!O11+BS!O12))</f>
        <v>42865.0698139728</v>
      </c>
      <c r="Q15" s="57" t="n">
        <f aca="false">-((BS!Q11+BS!Q12)-(BS!P11+BS!P12))</f>
        <v>-117099.192032169</v>
      </c>
      <c r="R15" s="57" t="n">
        <f aca="false">-((BS!R11+BS!R12)-(BS!Q11+BS!Q12))</f>
        <v>74364.092577804</v>
      </c>
      <c r="S15" s="57" t="n">
        <f aca="false">-((BS!S11+BS!S12)-(BS!R11+BS!R12))</f>
        <v>9562.56198274926</v>
      </c>
      <c r="T15" s="57" t="n">
        <f aca="false">-((BS!T11+BS!T12)-(BS!S11+BS!S12))</f>
        <v>15476.6947928327</v>
      </c>
      <c r="U15" s="57" t="n">
        <f aca="false">-((BS!U11+BS!U12)-(BS!T11+BS!T12))</f>
        <v>14590.8306855912</v>
      </c>
      <c r="V15" s="57" t="n">
        <f aca="false">-((BS!V11+BS!V12)-(BS!U11+BS!U12))</f>
        <v>45161.3672634333</v>
      </c>
      <c r="W15" s="57" t="n">
        <f aca="false">-((BS!W11+BS!W12)-(BS!V11+BS!V12))</f>
        <v>-837.315224780468</v>
      </c>
      <c r="X15" s="57" t="n">
        <f aca="false">-((BS!X11+BS!X12)-(BS!W11+BS!W12))</f>
        <v>-75913.9948746935</v>
      </c>
      <c r="Y15" s="57" t="n">
        <f aca="false">-((BS!Y11+BS!Y12)-(BS!X11+BS!X12))</f>
        <v>-57918.2792490505</v>
      </c>
      <c r="Z15" s="57" t="n">
        <f aca="false">-((BS!Z11+BS!Z12)-(BS!Y11+BS!Y12))</f>
        <v>-261816.437712656</v>
      </c>
      <c r="AA15" s="57" t="n">
        <f aca="false">-((BS!AA11+BS!AA12)-(BS!Z11+BS!Z12))</f>
        <v>104871.37900038</v>
      </c>
      <c r="AB15" s="57" t="n">
        <f aca="false">-((BS!AB11+BS!AB12)-(BS!AA11+BS!AA12))</f>
        <v>-0</v>
      </c>
    </row>
    <row r="16" customFormat="false" ht="15" hidden="false" customHeight="true" outlineLevel="0" collapsed="false">
      <c r="A16" s="28" t="s">
        <v>410</v>
      </c>
      <c r="B16" s="55" t="s">
        <v>315</v>
      </c>
      <c r="C16" s="56" t="n">
        <f aca="false">SUM(E16:P16)</f>
        <v>18000</v>
      </c>
      <c r="D16" s="56" t="n">
        <f aca="false">SUM(Q16:AB16)</f>
        <v>0</v>
      </c>
      <c r="E16" s="57" t="n">
        <f aca="false">Inventory!E89</f>
        <v>-7509.73624637424</v>
      </c>
      <c r="F16" s="57" t="n">
        <f aca="false">Inventory!F89</f>
        <v>-4560.74406665535</v>
      </c>
      <c r="G16" s="57" t="n">
        <f aca="false">Inventory!G89</f>
        <v>5002.68311269741</v>
      </c>
      <c r="H16" s="57" t="n">
        <f aca="false">Inventory!H89</f>
        <v>9585.78049124776</v>
      </c>
      <c r="I16" s="57" t="n">
        <f aca="false">Inventory!I89</f>
        <v>10256.2148781805</v>
      </c>
      <c r="J16" s="57" t="n">
        <f aca="false">Inventory!J89</f>
        <v>-4662.42659472974</v>
      </c>
      <c r="K16" s="57" t="n">
        <f aca="false">Inventory!K89</f>
        <v>7402.08283224914</v>
      </c>
      <c r="L16" s="57" t="n">
        <f aca="false">Inventory!L89</f>
        <v>-4488.27256734321</v>
      </c>
      <c r="M16" s="57" t="n">
        <f aca="false">Inventory!M89</f>
        <v>3288.75940783834</v>
      </c>
      <c r="N16" s="57" t="n">
        <f aca="false">Inventory!N89</f>
        <v>-3359.07009760002</v>
      </c>
      <c r="O16" s="57" t="n">
        <f aca="false">Inventory!O89</f>
        <v>7044.72885048937</v>
      </c>
      <c r="P16" s="57" t="n">
        <f aca="false">Inventory!P89</f>
        <v>-0</v>
      </c>
      <c r="Q16" s="57" t="n">
        <f aca="false">Inventory!Q89</f>
        <v>-0</v>
      </c>
      <c r="R16" s="57" t="n">
        <f aca="false">Inventory!R89</f>
        <v>-0</v>
      </c>
      <c r="S16" s="57" t="n">
        <f aca="false">Inventory!S89</f>
        <v>-0</v>
      </c>
      <c r="T16" s="57" t="n">
        <f aca="false">Inventory!T89</f>
        <v>-0</v>
      </c>
      <c r="U16" s="57" t="n">
        <f aca="false">Inventory!U89</f>
        <v>-0</v>
      </c>
      <c r="V16" s="57" t="n">
        <f aca="false">Inventory!V89</f>
        <v>-0</v>
      </c>
      <c r="W16" s="57" t="n">
        <f aca="false">Inventory!W89</f>
        <v>-0</v>
      </c>
      <c r="X16" s="57" t="n">
        <f aca="false">Inventory!X89</f>
        <v>-0</v>
      </c>
      <c r="Y16" s="57" t="n">
        <f aca="false">Inventory!Y89</f>
        <v>-0</v>
      </c>
      <c r="Z16" s="57" t="n">
        <f aca="false">Inventory!Z89</f>
        <v>-0</v>
      </c>
      <c r="AA16" s="57" t="n">
        <f aca="false">Inventory!AA89</f>
        <v>-0</v>
      </c>
      <c r="AB16" s="57" t="n">
        <f aca="false">Inventory!AB89</f>
        <v>-0</v>
      </c>
    </row>
    <row r="17" customFormat="false" ht="15" hidden="false" customHeight="true" outlineLevel="0" collapsed="false">
      <c r="A17" s="28" t="s">
        <v>411</v>
      </c>
      <c r="B17" s="55" t="s">
        <v>408</v>
      </c>
      <c r="C17" s="56" t="n">
        <f aca="false">SUM(E17:P17)</f>
        <v>-50368.83192789</v>
      </c>
      <c r="D17" s="56" t="n">
        <f aca="false">SUM(Q17:AB17)</f>
        <v>-25731.7304503827</v>
      </c>
      <c r="E17" s="57" t="n">
        <f aca="false">-(BS!E13-Inputs_Actuals!$C$122)</f>
        <v>113000</v>
      </c>
      <c r="F17" s="57" t="n">
        <f aca="false">-(BS!F13-BS!E13)</f>
        <v>-36000</v>
      </c>
      <c r="G17" s="57" t="n">
        <f aca="false">-(BS!G13-BS!F13)</f>
        <v>77000</v>
      </c>
      <c r="H17" s="57" t="n">
        <f aca="false">-(BS!H13-BS!G13)</f>
        <v>-194000</v>
      </c>
      <c r="I17" s="57" t="n">
        <f aca="false">-(BS!I13-BS!H13)</f>
        <v>142000</v>
      </c>
      <c r="J17" s="57" t="n">
        <f aca="false">-(BS!J13-BS!I13)</f>
        <v>6000</v>
      </c>
      <c r="K17" s="57" t="n">
        <f aca="false">-(BS!K13-BS!J13)</f>
        <v>-108000</v>
      </c>
      <c r="L17" s="57" t="n">
        <f aca="false">-(BS!L13-BS!K13)</f>
        <v>-80000</v>
      </c>
      <c r="M17" s="57" t="n">
        <f aca="false">-(BS!M13-BS!L13)</f>
        <v>-46000</v>
      </c>
      <c r="N17" s="57" t="n">
        <f aca="false">-(BS!N13-BS!M13)</f>
        <v>190000</v>
      </c>
      <c r="O17" s="57" t="n">
        <f aca="false">-(BS!O13-BS!N13)</f>
        <v>-141704.688455532</v>
      </c>
      <c r="P17" s="57" t="n">
        <f aca="false">-(BS!P13-BS!O13)</f>
        <v>27335.8565276423</v>
      </c>
      <c r="Q17" s="57" t="n">
        <f aca="false">-(BS!Q13-BS!P13)</f>
        <v>161130.779621822</v>
      </c>
      <c r="R17" s="57" t="n">
        <f aca="false">-(BS!R13-BS!Q13)</f>
        <v>-69630.750170031</v>
      </c>
      <c r="S17" s="57" t="n">
        <f aca="false">-(BS!S13-BS!R13)</f>
        <v>-1835.40374230976</v>
      </c>
      <c r="T17" s="57" t="n">
        <f aca="false">-(BS!T13-BS!S13)</f>
        <v>-10830.0926127179</v>
      </c>
      <c r="U17" s="57" t="n">
        <f aca="false">-(BS!U13-BS!T13)</f>
        <v>27057.5759817494</v>
      </c>
      <c r="V17" s="57" t="n">
        <f aca="false">-(BS!V13-BS!U13)</f>
        <v>-34368.6968278613</v>
      </c>
      <c r="W17" s="57" t="n">
        <f aca="false">-(BS!W13-BS!V13)</f>
        <v>-64191.9264246518</v>
      </c>
      <c r="X17" s="57" t="n">
        <f aca="false">-(BS!X13-BS!W13)</f>
        <v>-5085.51287386508</v>
      </c>
      <c r="Y17" s="57" t="n">
        <f aca="false">-(BS!Y13-BS!X13)</f>
        <v>-197889.49743618</v>
      </c>
      <c r="Z17" s="57" t="n">
        <f aca="false">-(BS!Z13-BS!Y13)</f>
        <v>232418.790863389</v>
      </c>
      <c r="AA17" s="57" t="n">
        <f aca="false">-(BS!AA13-BS!Z13)</f>
        <v>-62506.9968297257</v>
      </c>
      <c r="AB17" s="57" t="n">
        <f aca="false">-(BS!AB13-BS!AA13)</f>
        <v>-0</v>
      </c>
    </row>
    <row r="18" customFormat="false" ht="15" hidden="false" customHeight="true" outlineLevel="0" collapsed="false">
      <c r="A18" s="28" t="s">
        <v>412</v>
      </c>
      <c r="B18" s="55" t="s">
        <v>408</v>
      </c>
      <c r="C18" s="56" t="n">
        <f aca="false">SUM(E18:P18)</f>
        <v>-23732.0564346499</v>
      </c>
      <c r="D18" s="56" t="n">
        <f aca="false">SUM(Q18:AB18)</f>
        <v>-91228.2809923136</v>
      </c>
      <c r="E18" s="57" t="n">
        <f aca="false">-(BS!E14-Inputs_Actuals!$C$123)</f>
        <v>-11700</v>
      </c>
      <c r="F18" s="57" t="n">
        <f aca="false">-(BS!F14-BS!E14)</f>
        <v>-7200</v>
      </c>
      <c r="G18" s="57" t="n">
        <f aca="false">-(BS!G14-BS!F14)</f>
        <v>-27000</v>
      </c>
      <c r="H18" s="57" t="n">
        <f aca="false">-(BS!H14-BS!G14)</f>
        <v>55200</v>
      </c>
      <c r="I18" s="57" t="n">
        <f aca="false">-(BS!I14-BS!H14)</f>
        <v>-46200</v>
      </c>
      <c r="J18" s="57" t="n">
        <f aca="false">-(BS!J14-BS!I14)</f>
        <v>-63000</v>
      </c>
      <c r="K18" s="57" t="n">
        <f aca="false">-(BS!K14-BS!J14)</f>
        <v>-6400</v>
      </c>
      <c r="L18" s="57" t="n">
        <f aca="false">-(BS!L14-BS!K14)</f>
        <v>25800</v>
      </c>
      <c r="M18" s="57" t="n">
        <f aca="false">-(BS!M14-BS!L14)</f>
        <v>34088.5934633403</v>
      </c>
      <c r="N18" s="57" t="n">
        <f aca="false">-(BS!N14-BS!M14)</f>
        <v>-23510.649578367</v>
      </c>
      <c r="O18" s="57" t="n">
        <f aca="false">-(BS!O14-BS!N14)</f>
        <v>48139.9908448394</v>
      </c>
      <c r="P18" s="57" t="n">
        <f aca="false">-(BS!P14-BS!O14)</f>
        <v>-1949.99116446258</v>
      </c>
      <c r="Q18" s="57" t="n">
        <f aca="false">-(BS!Q14-BS!P14)</f>
        <v>-21439.8461737022</v>
      </c>
      <c r="R18" s="57" t="n">
        <f aca="false">-(BS!R14-BS!Q14)</f>
        <v>-3799.6489065083</v>
      </c>
      <c r="S18" s="57" t="n">
        <f aca="false">-(BS!S14-BS!R14)</f>
        <v>4868.24501070946</v>
      </c>
      <c r="T18" s="57" t="n">
        <f aca="false">-(BS!T14-BS!S14)</f>
        <v>-2193.33625383355</v>
      </c>
      <c r="U18" s="57" t="n">
        <f aca="false">-(BS!U14-BS!T14)</f>
        <v>-29568.1869757539</v>
      </c>
      <c r="V18" s="57" t="n">
        <f aca="false">-(BS!V14-BS!U14)</f>
        <v>-20783.2317895551</v>
      </c>
      <c r="W18" s="57" t="n">
        <f aca="false">-(BS!W14-BS!V14)</f>
        <v>-60892.5030930137</v>
      </c>
      <c r="X18" s="57" t="n">
        <f aca="false">-(BS!X14-BS!W14)</f>
        <v>10358.7880281624</v>
      </c>
      <c r="Y18" s="57" t="n">
        <f aca="false">-(BS!Y14-BS!X14)</f>
        <v>50973.5382100989</v>
      </c>
      <c r="Z18" s="57" t="n">
        <f aca="false">-(BS!Z14-BS!Y14)</f>
        <v>-18752.0990489177</v>
      </c>
      <c r="AA18" s="57" t="n">
        <f aca="false">-(BS!AA14-BS!Z14)</f>
        <v>-0</v>
      </c>
      <c r="AB18" s="57" t="n">
        <f aca="false">-(BS!AB14-BS!AA14)</f>
        <v>-0</v>
      </c>
    </row>
    <row r="19" customFormat="false" ht="15" hidden="false" customHeight="true" outlineLevel="0" collapsed="false">
      <c r="A19" s="28" t="s">
        <v>413</v>
      </c>
      <c r="B19" s="55" t="s">
        <v>408</v>
      </c>
      <c r="C19" s="56" t="n">
        <f aca="false">SUM(E19:P19)</f>
        <v>0</v>
      </c>
      <c r="D19" s="56" t="n">
        <f aca="false">SUM(Q19:AB19)</f>
        <v>0</v>
      </c>
      <c r="E19" s="57" t="n">
        <f aca="false">-(BS!E15-Inputs_Actuals!$C$124)</f>
        <v>-0</v>
      </c>
      <c r="F19" s="57" t="n">
        <f aca="false">-(BS!F15-BS!E15)</f>
        <v>-0</v>
      </c>
      <c r="G19" s="57" t="n">
        <f aca="false">-(BS!G15-BS!F15)</f>
        <v>-0</v>
      </c>
      <c r="H19" s="57" t="n">
        <f aca="false">-(BS!H15-BS!G15)</f>
        <v>-0</v>
      </c>
      <c r="I19" s="57" t="n">
        <f aca="false">-(BS!I15-BS!H15)</f>
        <v>-0</v>
      </c>
      <c r="J19" s="57" t="n">
        <f aca="false">-(BS!J15-BS!I15)</f>
        <v>-0</v>
      </c>
      <c r="K19" s="57" t="n">
        <f aca="false">-(BS!K15-BS!J15)</f>
        <v>-0</v>
      </c>
      <c r="L19" s="57" t="n">
        <f aca="false">-(BS!L15-BS!K15)</f>
        <v>-0</v>
      </c>
      <c r="M19" s="57" t="n">
        <f aca="false">-(BS!M15-BS!L15)</f>
        <v>-0</v>
      </c>
      <c r="N19" s="57" t="n">
        <f aca="false">-(BS!N15-BS!M15)</f>
        <v>-0</v>
      </c>
      <c r="O19" s="57" t="n">
        <f aca="false">-(BS!O15-BS!N15)</f>
        <v>-0</v>
      </c>
      <c r="P19" s="57" t="n">
        <f aca="false">-(BS!P15-BS!O15)</f>
        <v>-0</v>
      </c>
      <c r="Q19" s="57" t="n">
        <f aca="false">-(BS!Q15-BS!P15)</f>
        <v>-0</v>
      </c>
      <c r="R19" s="57" t="n">
        <f aca="false">-(BS!R15-BS!Q15)</f>
        <v>-0</v>
      </c>
      <c r="S19" s="57" t="n">
        <f aca="false">-(BS!S15-BS!R15)</f>
        <v>-0</v>
      </c>
      <c r="T19" s="57" t="n">
        <f aca="false">-(BS!T15-BS!S15)</f>
        <v>-0</v>
      </c>
      <c r="U19" s="57" t="n">
        <f aca="false">-(BS!U15-BS!T15)</f>
        <v>-0</v>
      </c>
      <c r="V19" s="57" t="n">
        <f aca="false">-(BS!V15-BS!U15)</f>
        <v>-0</v>
      </c>
      <c r="W19" s="57" t="n">
        <f aca="false">-(BS!W15-BS!V15)</f>
        <v>-0</v>
      </c>
      <c r="X19" s="57" t="n">
        <f aca="false">-(BS!X15-BS!W15)</f>
        <v>-0</v>
      </c>
      <c r="Y19" s="57" t="n">
        <f aca="false">-(BS!Y15-BS!X15)</f>
        <v>-0</v>
      </c>
      <c r="Z19" s="57" t="n">
        <f aca="false">-(BS!Z15-BS!Y15)</f>
        <v>-0</v>
      </c>
      <c r="AA19" s="57" t="n">
        <f aca="false">-(BS!AA15-BS!Z15)</f>
        <v>-0</v>
      </c>
      <c r="AB19" s="57" t="n">
        <f aca="false">-(BS!AB15-BS!AA15)</f>
        <v>-0</v>
      </c>
    </row>
    <row r="20" customFormat="false" ht="15" hidden="false" customHeight="true" outlineLevel="0" collapsed="false">
      <c r="A20" s="28" t="s">
        <v>414</v>
      </c>
      <c r="B20" s="55" t="s">
        <v>408</v>
      </c>
      <c r="C20" s="56" t="n">
        <f aca="false">SUM(E20:P20)</f>
        <v>-22415.9628476067</v>
      </c>
      <c r="D20" s="56" t="n">
        <f aca="false">SUM(Q20:AB20)</f>
        <v>31399.9493756118</v>
      </c>
      <c r="E20" s="57" t="n">
        <f aca="false">(BS!E19-(Inputs_Actuals!$C$129+Inputs_Actuals!$C$130+Inputs_Actuals!$C$131))</f>
        <v>-32311.5635</v>
      </c>
      <c r="F20" s="57" t="n">
        <f aca="false">(BS!F19-BS!E19)</f>
        <v>-31856.823</v>
      </c>
      <c r="G20" s="57" t="n">
        <f aca="false">(BS!G19-BS!F19)</f>
        <v>5793.536</v>
      </c>
      <c r="H20" s="57" t="n">
        <f aca="false">(BS!H19-BS!G19)</f>
        <v>-7791.87849999999</v>
      </c>
      <c r="I20" s="57" t="n">
        <f aca="false">(BS!I19-BS!H19)</f>
        <v>17945.0235</v>
      </c>
      <c r="J20" s="57" t="n">
        <f aca="false">(BS!J19-BS!I19)</f>
        <v>-6589.8755</v>
      </c>
      <c r="K20" s="57" t="n">
        <f aca="false">(BS!K19-BS!J19)</f>
        <v>-6391.24549999999</v>
      </c>
      <c r="L20" s="57" t="n">
        <f aca="false">(BS!L19-BS!K19)</f>
        <v>4502.11200000001</v>
      </c>
      <c r="M20" s="57" t="n">
        <f aca="false">(BS!M19-BS!L19)</f>
        <v>30760.5276900787</v>
      </c>
      <c r="N20" s="57" t="n">
        <f aca="false">(BS!N19-BS!M19)</f>
        <v>15949.2621226171</v>
      </c>
      <c r="O20" s="57" t="n">
        <f aca="false">(BS!O19-BS!N19)</f>
        <v>-16220.4254029909</v>
      </c>
      <c r="P20" s="57" t="n">
        <f aca="false">(BS!P19-BS!O19)</f>
        <v>3795.38724268835</v>
      </c>
      <c r="Q20" s="57" t="n">
        <f aca="false">(BS!Q19-BS!P19)</f>
        <v>-4056.72393842321</v>
      </c>
      <c r="R20" s="57" t="n">
        <f aca="false">(BS!R19-BS!Q19)</f>
        <v>-30090.3664441986</v>
      </c>
      <c r="S20" s="57" t="n">
        <f aca="false">(BS!S19-BS!R19)</f>
        <v>11541.4455854948</v>
      </c>
      <c r="T20" s="57" t="n">
        <f aca="false">(BS!T19-BS!S19)</f>
        <v>5556.60582895024</v>
      </c>
      <c r="U20" s="57" t="n">
        <f aca="false">(BS!U19-BS!T19)</f>
        <v>2179.87080018455</v>
      </c>
      <c r="V20" s="57" t="n">
        <f aca="false">(BS!V19-BS!U19)</f>
        <v>-2042.42860218792</v>
      </c>
      <c r="W20" s="57" t="n">
        <f aca="false">(BS!W19-BS!V19)</f>
        <v>2372.2515059196</v>
      </c>
      <c r="X20" s="57" t="n">
        <f aca="false">(BS!X19-BS!W19)</f>
        <v>10761.0728750668</v>
      </c>
      <c r="Y20" s="57" t="n">
        <f aca="false">(BS!Y19-BS!X19)</f>
        <v>10797.1292831197</v>
      </c>
      <c r="Z20" s="57" t="n">
        <f aca="false">(BS!Z19-BS!Y19)</f>
        <v>37586.9553652923</v>
      </c>
      <c r="AA20" s="57" t="n">
        <f aca="false">(BS!AA19-BS!Z19)</f>
        <v>-10264.3868775244</v>
      </c>
      <c r="AB20" s="57" t="n">
        <f aca="false">(BS!AB19-BS!AA19)</f>
        <v>-2941.47600608208</v>
      </c>
    </row>
    <row r="21" customFormat="false" ht="15" hidden="false" customHeight="true" outlineLevel="0" collapsed="false">
      <c r="A21" s="28" t="s">
        <v>415</v>
      </c>
      <c r="B21" s="55" t="s">
        <v>408</v>
      </c>
      <c r="C21" s="56" t="n">
        <f aca="false">SUM(E21:P21)</f>
        <v>1924</v>
      </c>
      <c r="D21" s="56" t="n">
        <f aca="false">SUM(Q21:AB21)</f>
        <v>2050.88</v>
      </c>
      <c r="E21" s="57" t="n">
        <f aca="false">(BS!E20-Inputs_Actuals!$C$132)</f>
        <v>-1884</v>
      </c>
      <c r="F21" s="57" t="n">
        <f aca="false">(BS!F20-BS!E20)</f>
        <v>32</v>
      </c>
      <c r="G21" s="57" t="n">
        <f aca="false">(BS!G20-BS!F20)</f>
        <v>64</v>
      </c>
      <c r="H21" s="57" t="n">
        <f aca="false">(BS!H20-BS!G20)</f>
        <v>992</v>
      </c>
      <c r="I21" s="57" t="n">
        <f aca="false">(BS!I20-BS!H20)</f>
        <v>32</v>
      </c>
      <c r="J21" s="57" t="n">
        <f aca="false">(BS!J20-BS!I20)</f>
        <v>96</v>
      </c>
      <c r="K21" s="57" t="n">
        <f aca="false">(BS!K20-BS!J20)</f>
        <v>-32</v>
      </c>
      <c r="L21" s="57" t="n">
        <f aca="false">(BS!L20-BS!K20)</f>
        <v>128</v>
      </c>
      <c r="M21" s="57" t="n">
        <f aca="false">(BS!M20-BS!L20)</f>
        <v>288</v>
      </c>
      <c r="N21" s="57" t="n">
        <f aca="false">(BS!N20-BS!M20)</f>
        <v>864</v>
      </c>
      <c r="O21" s="57" t="n">
        <f aca="false">(BS!O20-BS!N20)</f>
        <v>1344</v>
      </c>
      <c r="P21" s="57" t="n">
        <f aca="false">(BS!P20-BS!O20)</f>
        <v>0</v>
      </c>
      <c r="Q21" s="57" t="n">
        <f aca="false">(BS!Q20-BS!P20)</f>
        <v>534.720000000001</v>
      </c>
      <c r="R21" s="57" t="n">
        <f aca="false">(BS!R20-BS!Q20)</f>
        <v>1516.16</v>
      </c>
      <c r="S21" s="57" t="n">
        <f aca="false">(BS!S20-BS!R20)</f>
        <v>0</v>
      </c>
      <c r="T21" s="57" t="n">
        <f aca="false">(BS!T20-BS!S20)</f>
        <v>0</v>
      </c>
      <c r="U21" s="57" t="n">
        <f aca="false">(BS!U20-BS!T20)</f>
        <v>0</v>
      </c>
      <c r="V21" s="57" t="n">
        <f aca="false">(BS!V20-BS!U20)</f>
        <v>0</v>
      </c>
      <c r="W21" s="57" t="n">
        <f aca="false">(BS!W20-BS!V20)</f>
        <v>0</v>
      </c>
      <c r="X21" s="57" t="n">
        <f aca="false">(BS!X20-BS!W20)</f>
        <v>0</v>
      </c>
      <c r="Y21" s="57" t="n">
        <f aca="false">(BS!Y20-BS!X20)</f>
        <v>0</v>
      </c>
      <c r="Z21" s="57" t="n">
        <f aca="false">(BS!Z20-BS!Y20)</f>
        <v>0</v>
      </c>
      <c r="AA21" s="57" t="n">
        <f aca="false">(BS!AA20-BS!Z20)</f>
        <v>0</v>
      </c>
      <c r="AB21" s="57" t="n">
        <f aca="false">(BS!AB20-BS!AA20)</f>
        <v>0</v>
      </c>
    </row>
    <row r="22" customFormat="false" ht="15" hidden="false" customHeight="true" outlineLevel="0" collapsed="false">
      <c r="A22" s="28" t="s">
        <v>416</v>
      </c>
      <c r="B22" s="55" t="s">
        <v>408</v>
      </c>
      <c r="C22" s="56" t="n">
        <f aca="false">SUM(E22:P22)</f>
        <v>56.0556255328411</v>
      </c>
      <c r="D22" s="56" t="n">
        <f aca="false">SUM(Q22:AB22)</f>
        <v>6961.26599269172</v>
      </c>
      <c r="E22" s="57" t="n">
        <f aca="false">(BS!E21-Inputs_Actuals!$C$133)</f>
        <v>-10030.6538796861</v>
      </c>
      <c r="F22" s="57" t="n">
        <f aca="false">(BS!F21-BS!E21)</f>
        <v>283.203831655395</v>
      </c>
      <c r="G22" s="57" t="n">
        <f aca="false">(BS!G21-BS!F21)</f>
        <v>470.810038218404</v>
      </c>
      <c r="H22" s="57" t="n">
        <f aca="false">(BS!H21-BS!G21)</f>
        <v>868.387195959522</v>
      </c>
      <c r="I22" s="57" t="n">
        <f aca="false">(BS!I21-BS!H21)</f>
        <v>923.12136371423</v>
      </c>
      <c r="J22" s="57" t="n">
        <f aca="false">(BS!J21-BS!I21)</f>
        <v>290.452749777574</v>
      </c>
      <c r="K22" s="57" t="n">
        <f aca="false">(BS!K21-BS!J21)</f>
        <v>-1722.58814088097</v>
      </c>
      <c r="L22" s="57" t="n">
        <f aca="false">(BS!L21-BS!K21)</f>
        <v>1729.57739737564</v>
      </c>
      <c r="M22" s="57" t="n">
        <f aca="false">(BS!M21-BS!L21)</f>
        <v>1177.46566806146</v>
      </c>
      <c r="N22" s="57" t="n">
        <f aca="false">(BS!N21-BS!M21)</f>
        <v>1635.99146781462</v>
      </c>
      <c r="O22" s="57" t="n">
        <f aca="false">(BS!O21-BS!N21)</f>
        <v>7427.28042488824</v>
      </c>
      <c r="P22" s="57" t="n">
        <f aca="false">(BS!P21-BS!O21)</f>
        <v>-2996.99249136513</v>
      </c>
      <c r="Q22" s="57" t="n">
        <f aca="false">(BS!Q21-BS!P21)</f>
        <v>-7024.89938202709</v>
      </c>
      <c r="R22" s="57" t="n">
        <f aca="false">(BS!R21-BS!Q21)</f>
        <v>696.407854077765</v>
      </c>
      <c r="S22" s="57" t="n">
        <f aca="false">(BS!S21-BS!R21)</f>
        <v>551.334576962132</v>
      </c>
      <c r="T22" s="57" t="n">
        <f aca="false">(BS!T21-BS!S21)</f>
        <v>1300.39989648416</v>
      </c>
      <c r="U22" s="57" t="n">
        <f aca="false">(BS!U21-BS!T21)</f>
        <v>688.05399227013</v>
      </c>
      <c r="V22" s="57" t="n">
        <f aca="false">(BS!V21-BS!U21)</f>
        <v>430.860328989029</v>
      </c>
      <c r="W22" s="57" t="n">
        <f aca="false">(BS!W21-BS!V21)</f>
        <v>-957.598792980743</v>
      </c>
      <c r="X22" s="57" t="n">
        <f aca="false">(BS!X21-BS!W21)</f>
        <v>47.8877633949414</v>
      </c>
      <c r="Y22" s="57" t="n">
        <f aca="false">(BS!Y21-BS!X21)</f>
        <v>2928.3929685184</v>
      </c>
      <c r="Z22" s="57" t="n">
        <f aca="false">(BS!Z21-BS!Y21)</f>
        <v>2236.98675981212</v>
      </c>
      <c r="AA22" s="57" t="n">
        <f aca="false">(BS!AA21-BS!Z21)</f>
        <v>10096.5686815883</v>
      </c>
      <c r="AB22" s="57" t="n">
        <f aca="false">(BS!AB21-BS!AA21)</f>
        <v>-4033.12865439741</v>
      </c>
    </row>
    <row r="23" customFormat="false" ht="15" hidden="false" customHeight="true" outlineLevel="0" collapsed="false">
      <c r="A23" s="28" t="s">
        <v>417</v>
      </c>
      <c r="B23" s="55" t="s">
        <v>408</v>
      </c>
      <c r="C23" s="56" t="n">
        <f aca="false">SUM(E23:P23)</f>
        <v>203170.52161391</v>
      </c>
      <c r="D23" s="56" t="n">
        <f aca="false">SUM(Q23:AB23)</f>
        <v>71029.9843909608</v>
      </c>
      <c r="E23" s="57" t="n">
        <f aca="false">(BS!E22-Inputs_Actuals!$C$134)</f>
        <v>6019.76785</v>
      </c>
      <c r="F23" s="57" t="n">
        <f aca="false">(BS!F22-BS!E22)</f>
        <v>41763.2348</v>
      </c>
      <c r="G23" s="57" t="n">
        <f aca="false">(BS!G22-BS!F22)</f>
        <v>47158.4776</v>
      </c>
      <c r="H23" s="57" t="n">
        <f aca="false">(BS!H22-BS!G22)</f>
        <v>-82626.81455</v>
      </c>
      <c r="I23" s="57" t="n">
        <f aca="false">(BS!I22-BS!H22)</f>
        <v>57231.0401</v>
      </c>
      <c r="J23" s="57" t="n">
        <f aca="false">(BS!J22-BS!I22)</f>
        <v>52555.13155</v>
      </c>
      <c r="K23" s="57" t="n">
        <f aca="false">(BS!K22-BS!J22)</f>
        <v>-113695.15615</v>
      </c>
      <c r="L23" s="57" t="n">
        <f aca="false">(BS!L22-BS!K22)</f>
        <v>47599.21555</v>
      </c>
      <c r="M23" s="57" t="n">
        <f aca="false">(BS!M22-BS!L22)</f>
        <v>55153.4521918066</v>
      </c>
      <c r="N23" s="57" t="n">
        <f aca="false">(BS!N22-BS!M22)</f>
        <v>-85607.2172562311</v>
      </c>
      <c r="O23" s="57" t="n">
        <f aca="false">(BS!O22-BS!N22)</f>
        <v>94094.8601839505</v>
      </c>
      <c r="P23" s="57" t="n">
        <f aca="false">(BS!P22-BS!O22)</f>
        <v>83524.529744384</v>
      </c>
      <c r="Q23" s="57" t="n">
        <f aca="false">(BS!Q22-BS!P22)</f>
        <v>-190121.61335093</v>
      </c>
      <c r="R23" s="57" t="n">
        <f aca="false">(BS!R22-BS!Q22)</f>
        <v>42665.3727943232</v>
      </c>
      <c r="S23" s="57" t="n">
        <f aca="false">(BS!S22-BS!R22)</f>
        <v>56780.0968794862</v>
      </c>
      <c r="T23" s="57" t="n">
        <f aca="false">(BS!T22-BS!S22)</f>
        <v>-91091.8317134724</v>
      </c>
      <c r="U23" s="57" t="n">
        <f aca="false">(BS!U22-BS!T22)</f>
        <v>64937.1435467548</v>
      </c>
      <c r="V23" s="57" t="n">
        <f aca="false">(BS!V22-BS!U22)</f>
        <v>64232.0217564449</v>
      </c>
      <c r="W23" s="57" t="n">
        <f aca="false">(BS!W22-BS!V22)</f>
        <v>-127263.048852253</v>
      </c>
      <c r="X23" s="57" t="n">
        <f aca="false">(BS!X22-BS!W22)</f>
        <v>61896.063021492</v>
      </c>
      <c r="Y23" s="57" t="n">
        <f aca="false">(BS!Y22-BS!X22)</f>
        <v>71632.6891175627</v>
      </c>
      <c r="Z23" s="57" t="n">
        <f aca="false">(BS!Z22-BS!Y22)</f>
        <v>-112236.075818474</v>
      </c>
      <c r="AA23" s="57" t="n">
        <f aca="false">(BS!AA22-BS!Z22)</f>
        <v>121576.93578241</v>
      </c>
      <c r="AB23" s="57" t="n">
        <f aca="false">(BS!AB22-BS!AA22)</f>
        <v>108022.231227616</v>
      </c>
    </row>
    <row r="24" customFormat="false" ht="15" hidden="false" customHeight="true" outlineLevel="0" collapsed="false">
      <c r="A24" s="70" t="s">
        <v>418</v>
      </c>
      <c r="B24" s="71"/>
      <c r="C24" s="72" t="n">
        <f aca="false">SUM(E24:P24)</f>
        <v>385586.88835218</v>
      </c>
      <c r="D24" s="72" t="n">
        <f aca="false">SUM(Q24:AB24)</f>
        <v>-86329.092016265</v>
      </c>
      <c r="E24" s="72" t="n">
        <f aca="false">E13+E14+E15+E17+E18+E19+E20+E21+E22+E23</f>
        <v>28516</v>
      </c>
      <c r="F24" s="72" t="n">
        <f aca="false">F13+F14+F15+F17+F18+F19+F20+F21+F22+F23</f>
        <v>-8151.99999999994</v>
      </c>
      <c r="G24" s="72" t="n">
        <f aca="false">G13+G14+G15+G17+G18+G19+G20+G21+G22+G23</f>
        <v>111593</v>
      </c>
      <c r="H24" s="72" t="n">
        <f aca="false">H13+H14+H15+H17+H18+H19+H20+H21+H22+H23</f>
        <v>-116996.48025</v>
      </c>
      <c r="I24" s="72" t="n">
        <f aca="false">I13+I14+I15+I17+I18+I19+I20+I21+I22+I23</f>
        <v>136087</v>
      </c>
      <c r="J24" s="72" t="n">
        <f aca="false">J13+J14+J15+J17+J18+J19+J20+J21+J22+J23</f>
        <v>51301.0000000001</v>
      </c>
      <c r="K24" s="72" t="n">
        <f aca="false">K13+K14+K15+K17+K18+K19+K20+K21+K22+K23</f>
        <v>-149969.83735</v>
      </c>
      <c r="L24" s="72" t="n">
        <f aca="false">L13+L14+L15+L17+L18+L19+L20+L21+L22+L23</f>
        <v>68746</v>
      </c>
      <c r="M24" s="72" t="n">
        <f aca="false">M13+M14+M15+M17+M18+M19+M20+M21+M22+M23</f>
        <v>-67599.5217733442</v>
      </c>
      <c r="N24" s="72" t="n">
        <f aca="false">N13+N14+N15+N17+N18+N19+N20+N21+N22+N23</f>
        <v>-12846.3546716675</v>
      </c>
      <c r="O24" s="72" t="n">
        <f aca="false">O13+O14+O15+O17+O18+O19+O20+O21+O22+O23</f>
        <v>122449.403491985</v>
      </c>
      <c r="P24" s="72" t="n">
        <f aca="false">P13+P14+P15+P17+P18+P19+P20+P21+P22+P23</f>
        <v>222458.678905207</v>
      </c>
      <c r="Q24" s="72" t="n">
        <f aca="false">Q13+Q14+Q15+Q17+Q18+Q19+Q20+Q21+Q22+Q23</f>
        <v>-112309.760358265</v>
      </c>
      <c r="R24" s="72" t="n">
        <f aca="false">R13+R14+R15+R17+R18+R19+R20+R21+R22+R23</f>
        <v>-5229.60560037076</v>
      </c>
      <c r="S24" s="72" t="n">
        <f aca="false">S13+S14+S15+S17+S18+S19+S20+S21+S22+S23</f>
        <v>73827.4994399287</v>
      </c>
      <c r="T24" s="72" t="n">
        <f aca="false">T13+T14+T15+T17+T18+T19+T20+T21+T22+T23</f>
        <v>-92142.3481421991</v>
      </c>
      <c r="U24" s="72" t="n">
        <f aca="false">U13+U14+U15+U17+U18+U19+U20+U21+U22+U23</f>
        <v>83496.130775399</v>
      </c>
      <c r="V24" s="72" t="n">
        <f aca="false">V13+V14+V15+V17+V18+V19+V20+V21+V22+V23</f>
        <v>58263.4513714479</v>
      </c>
      <c r="W24" s="72" t="n">
        <f aca="false">W13+W14+W15+W17+W18+W19+W20+W21+W22+W23</f>
        <v>-234346.503838625</v>
      </c>
      <c r="X24" s="72" t="n">
        <f aca="false">X13+X14+X15+X17+X18+X19+X20+X21+X22+X23</f>
        <v>9006.45669227687</v>
      </c>
      <c r="Y24" s="72" t="n">
        <f aca="false">Y13+Y14+Y15+Y17+Y18+Y19+Y20+Y21+Y22+Y23</f>
        <v>-128186.516042604</v>
      </c>
      <c r="Z24" s="72" t="n">
        <f aca="false">Z13+Z14+Z15+Z17+Z18+Z19+Z20+Z21+Z22+Z23</f>
        <v>-105374.102931552</v>
      </c>
      <c r="AA24" s="72" t="n">
        <f aca="false">AA13+AA14+AA15+AA17+AA18+AA19+AA20+AA21+AA22+AA23</f>
        <v>149897.995418331</v>
      </c>
      <c r="AB24" s="72" t="n">
        <f aca="false">AB13+AB14+AB15+AB17+AB18+AB19+AB20+AB21+AB22+AB23</f>
        <v>216768.211199968</v>
      </c>
    </row>
    <row r="25" customFormat="false" ht="15" hidden="false" customHeight="true" outlineLevel="0" collapsed="false">
      <c r="A25" s="28" t="s">
        <v>419</v>
      </c>
      <c r="B25" s="55" t="s">
        <v>66</v>
      </c>
      <c r="C25" s="56" t="n">
        <f aca="false">SUM(E25:P25)</f>
        <v>-26979.2251692066</v>
      </c>
      <c r="D25" s="56" t="n">
        <f aca="false">SUM(Q25:AB25)</f>
        <v>-20063.7517586405</v>
      </c>
      <c r="E25" s="57" t="n">
        <f aca="false">-Debt!E12</f>
        <v>-2500</v>
      </c>
      <c r="F25" s="57" t="n">
        <f aca="false">-Debt!F12</f>
        <v>-2455.17774515567</v>
      </c>
      <c r="G25" s="57" t="n">
        <f aca="false">-Debt!G12</f>
        <v>-2410.07535121857</v>
      </c>
      <c r="H25" s="57" t="n">
        <f aca="false">-Debt!H12</f>
        <v>-2364.69106731935</v>
      </c>
      <c r="I25" s="57" t="n">
        <f aca="false">-Debt!I12</f>
        <v>-2319.02313164577</v>
      </c>
      <c r="J25" s="57" t="n">
        <f aca="false">-Debt!J12</f>
        <v>-2273.06977137423</v>
      </c>
      <c r="K25" s="57" t="n">
        <f aca="false">-Debt!K12</f>
        <v>-2226.82920260099</v>
      </c>
      <c r="L25" s="57" t="n">
        <f aca="false">-Debt!L12</f>
        <v>-2180.29963027292</v>
      </c>
      <c r="M25" s="57" t="n">
        <f aca="false">-Debt!M12</f>
        <v>-2133.4792481178</v>
      </c>
      <c r="N25" s="57" t="n">
        <f aca="false">-Debt!N12</f>
        <v>-2086.36623857421</v>
      </c>
      <c r="O25" s="57" t="n">
        <f aca="false">-Debt!O12</f>
        <v>-2038.95877272097</v>
      </c>
      <c r="P25" s="57" t="n">
        <f aca="false">-Debt!P12</f>
        <v>-1991.25501020614</v>
      </c>
      <c r="Q25" s="57" t="n">
        <f aca="false">-Debt!Q12</f>
        <v>-1943.2530991756</v>
      </c>
      <c r="R25" s="57" t="n">
        <f aca="false">-Debt!R12</f>
        <v>-1894.95117620112</v>
      </c>
      <c r="S25" s="57" t="n">
        <f aca="false">-Debt!S12</f>
        <v>-1846.34736620805</v>
      </c>
      <c r="T25" s="57" t="n">
        <f aca="false">-Debt!T12</f>
        <v>-1797.43978240253</v>
      </c>
      <c r="U25" s="57" t="n">
        <f aca="false">-Debt!U12</f>
        <v>-1748.22652619821</v>
      </c>
      <c r="V25" s="57" t="n">
        <f aca="false">-Debt!V12</f>
        <v>-1698.70568714262</v>
      </c>
      <c r="W25" s="57" t="n">
        <f aca="false">-Debt!W12</f>
        <v>-1648.87534284294</v>
      </c>
      <c r="X25" s="57" t="n">
        <f aca="false">-Debt!X12</f>
        <v>-1598.73355889138</v>
      </c>
      <c r="Y25" s="57" t="n">
        <f aca="false">-Debt!Y12</f>
        <v>-1548.27838879012</v>
      </c>
      <c r="Z25" s="57" t="n">
        <f aca="false">-Debt!Z12</f>
        <v>-1497.50787387573</v>
      </c>
      <c r="AA25" s="57" t="n">
        <f aca="false">-Debt!AA12</f>
        <v>-1446.42004324313</v>
      </c>
      <c r="AB25" s="57" t="n">
        <f aca="false">-Debt!AB12</f>
        <v>-1395.01291366907</v>
      </c>
    </row>
    <row r="26" customFormat="false" ht="15" hidden="false" customHeight="true" outlineLevel="0" collapsed="false">
      <c r="A26" s="28" t="s">
        <v>420</v>
      </c>
      <c r="B26" s="55" t="s">
        <v>32</v>
      </c>
      <c r="C26" s="56" t="n">
        <f aca="false">SUM(E26:P26)</f>
        <v>-18400</v>
      </c>
      <c r="D26" s="56" t="n">
        <f aca="false">SUM(Q26:AB26)</f>
        <v>-14692.0359304071</v>
      </c>
      <c r="E26" s="57" t="n">
        <f aca="false">BS!E25</f>
        <v>0</v>
      </c>
      <c r="F26" s="57" t="n">
        <f aca="false">BS!F25</f>
        <v>0</v>
      </c>
      <c r="G26" s="57" t="n">
        <f aca="false">BS!G25</f>
        <v>0</v>
      </c>
      <c r="H26" s="57" t="n">
        <f aca="false">BS!H25</f>
        <v>-18400</v>
      </c>
      <c r="I26" s="57" t="n">
        <f aca="false">BS!I25</f>
        <v>0</v>
      </c>
      <c r="J26" s="57" t="n">
        <f aca="false">BS!J25</f>
        <v>0</v>
      </c>
      <c r="K26" s="57" t="n">
        <f aca="false">BS!K25</f>
        <v>0</v>
      </c>
      <c r="L26" s="57" t="n">
        <f aca="false">BS!L25</f>
        <v>0</v>
      </c>
      <c r="M26" s="57" t="n">
        <f aca="false">BS!M25</f>
        <v>0</v>
      </c>
      <c r="N26" s="57" t="n">
        <f aca="false">BS!N25</f>
        <v>0</v>
      </c>
      <c r="O26" s="57" t="n">
        <f aca="false">BS!O25</f>
        <v>0</v>
      </c>
      <c r="P26" s="57" t="n">
        <f aca="false">BS!P25</f>
        <v>0</v>
      </c>
      <c r="Q26" s="57" t="n">
        <f aca="false">BS!Q25</f>
        <v>0</v>
      </c>
      <c r="R26" s="57" t="n">
        <f aca="false">BS!R25</f>
        <v>0</v>
      </c>
      <c r="S26" s="57" t="n">
        <f aca="false">BS!S25</f>
        <v>0</v>
      </c>
      <c r="T26" s="57" t="n">
        <f aca="false">BS!T25</f>
        <v>-14692.0359304071</v>
      </c>
      <c r="U26" s="57" t="n">
        <f aca="false">BS!U25</f>
        <v>0</v>
      </c>
      <c r="V26" s="57" t="n">
        <f aca="false">BS!V25</f>
        <v>0</v>
      </c>
      <c r="W26" s="57" t="n">
        <f aca="false">BS!W25</f>
        <v>0</v>
      </c>
      <c r="X26" s="57" t="n">
        <f aca="false">BS!X25</f>
        <v>0</v>
      </c>
      <c r="Y26" s="57" t="n">
        <f aca="false">BS!Y25</f>
        <v>0</v>
      </c>
      <c r="Z26" s="57" t="n">
        <f aca="false">BS!Z25</f>
        <v>0</v>
      </c>
      <c r="AA26" s="57" t="n">
        <f aca="false">BS!AA25</f>
        <v>0</v>
      </c>
      <c r="AB26" s="57" t="n">
        <f aca="false">BS!AB25</f>
        <v>0</v>
      </c>
    </row>
    <row r="27" customFormat="false" ht="15" hidden="false" customHeight="true" outlineLevel="0" collapsed="false">
      <c r="A27" s="70" t="s">
        <v>421</v>
      </c>
      <c r="B27" s="71"/>
      <c r="C27" s="72" t="n">
        <f aca="false">SUM(E27:P27)</f>
        <v>340207.663182973</v>
      </c>
      <c r="D27" s="72" t="n">
        <f aca="false">SUM(Q27:AB27)</f>
        <v>-121084.879705313</v>
      </c>
      <c r="E27" s="72" t="n">
        <f aca="false">E24+E25+E26</f>
        <v>26016</v>
      </c>
      <c r="F27" s="72" t="n">
        <f aca="false">F24+F25+F26</f>
        <v>-10607.1777451556</v>
      </c>
      <c r="G27" s="72" t="n">
        <f aca="false">G24+G25+G26</f>
        <v>109182.924648781</v>
      </c>
      <c r="H27" s="72" t="n">
        <f aca="false">H24+H25+H26</f>
        <v>-137761.171317319</v>
      </c>
      <c r="I27" s="72" t="n">
        <f aca="false">I24+I25+I26</f>
        <v>133767.976868354</v>
      </c>
      <c r="J27" s="72" t="n">
        <f aca="false">J24+J25+J26</f>
        <v>49027.9302286259</v>
      </c>
      <c r="K27" s="72" t="n">
        <f aca="false">K24+K25+K26</f>
        <v>-152196.666552601</v>
      </c>
      <c r="L27" s="72" t="n">
        <f aca="false">L24+L25+L26</f>
        <v>66565.7003697271</v>
      </c>
      <c r="M27" s="72" t="n">
        <f aca="false">M24+M25+M26</f>
        <v>-69733.001021462</v>
      </c>
      <c r="N27" s="72" t="n">
        <f aca="false">N24+N25+N26</f>
        <v>-14932.7209102417</v>
      </c>
      <c r="O27" s="72" t="n">
        <f aca="false">O24+O25+O26</f>
        <v>120410.444719264</v>
      </c>
      <c r="P27" s="72" t="n">
        <f aca="false">P24+P25+P26</f>
        <v>220467.423895001</v>
      </c>
      <c r="Q27" s="72" t="n">
        <f aca="false">Q24+Q25+Q26</f>
        <v>-114253.013457441</v>
      </c>
      <c r="R27" s="72" t="n">
        <f aca="false">R24+R25+R26</f>
        <v>-7124.55677657188</v>
      </c>
      <c r="S27" s="72" t="n">
        <f aca="false">S24+S25+S26</f>
        <v>71981.1520737206</v>
      </c>
      <c r="T27" s="72" t="n">
        <f aca="false">T24+T25+T26</f>
        <v>-108631.823855009</v>
      </c>
      <c r="U27" s="72" t="n">
        <f aca="false">U24+U25+U26</f>
        <v>81747.9042492007</v>
      </c>
      <c r="V27" s="72" t="n">
        <f aca="false">V24+V25+V26</f>
        <v>56564.7456843052</v>
      </c>
      <c r="W27" s="72" t="n">
        <f aca="false">W24+W25+W26</f>
        <v>-235995.379181468</v>
      </c>
      <c r="X27" s="72" t="n">
        <f aca="false">X24+X25+X26</f>
        <v>7407.7231333855</v>
      </c>
      <c r="Y27" s="72" t="n">
        <f aca="false">Y24+Y25+Y26</f>
        <v>-129734.794431394</v>
      </c>
      <c r="Z27" s="72" t="n">
        <f aca="false">Z24+Z25+Z26</f>
        <v>-106871.610805428</v>
      </c>
      <c r="AA27" s="72" t="n">
        <f aca="false">AA24+AA25+AA26</f>
        <v>148451.575375088</v>
      </c>
      <c r="AB27" s="72" t="n">
        <f aca="false">AB24+AB25+AB26</f>
        <v>215373.198286299</v>
      </c>
    </row>
    <row r="28" customFormat="false" ht="15" hidden="false" customHeight="true" outlineLevel="0" collapsed="false">
      <c r="A28" s="22" t="s">
        <v>422</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row>
    <row r="29" customFormat="false" ht="15" hidden="false" customHeight="true" outlineLevel="0" collapsed="false">
      <c r="A29" s="28" t="s">
        <v>423</v>
      </c>
      <c r="B29" s="55" t="s">
        <v>64</v>
      </c>
      <c r="C29" s="56" t="n">
        <f aca="false">SUM(E29:P29)</f>
        <v>-19900</v>
      </c>
      <c r="D29" s="56" t="n">
        <f aca="false">SUM(Q29:AB29)</f>
        <v>-48000</v>
      </c>
      <c r="E29" s="57" t="n">
        <f aca="false">-Fixed_Assets!E27</f>
        <v>-2400</v>
      </c>
      <c r="F29" s="57" t="n">
        <f aca="false">-Fixed_Assets!F27</f>
        <v>-0</v>
      </c>
      <c r="G29" s="57" t="n">
        <f aca="false">-Fixed_Assets!G27</f>
        <v>-6800</v>
      </c>
      <c r="H29" s="57" t="n">
        <f aca="false">-Fixed_Assets!H27</f>
        <v>-0</v>
      </c>
      <c r="I29" s="57" t="n">
        <f aca="false">-Fixed_Assets!I27</f>
        <v>-1200</v>
      </c>
      <c r="J29" s="57" t="n">
        <f aca="false">-Fixed_Assets!J27</f>
        <v>-0</v>
      </c>
      <c r="K29" s="57" t="n">
        <f aca="false">-Fixed_Assets!K27</f>
        <v>-3500</v>
      </c>
      <c r="L29" s="57" t="n">
        <f aca="false">-Fixed_Assets!L27</f>
        <v>-0</v>
      </c>
      <c r="M29" s="57" t="n">
        <f aca="false">-Fixed_Assets!M27</f>
        <v>-1500</v>
      </c>
      <c r="N29" s="57" t="n">
        <f aca="false">-Fixed_Assets!N27</f>
        <v>-1500</v>
      </c>
      <c r="O29" s="57" t="n">
        <f aca="false">-Fixed_Assets!O27</f>
        <v>-1500</v>
      </c>
      <c r="P29" s="57" t="n">
        <f aca="false">-Fixed_Assets!P27</f>
        <v>-1500</v>
      </c>
      <c r="Q29" s="57" t="n">
        <f aca="false">-Fixed_Assets!Q27</f>
        <v>-1500</v>
      </c>
      <c r="R29" s="57" t="n">
        <f aca="false">-Fixed_Assets!R27</f>
        <v>-31500</v>
      </c>
      <c r="S29" s="57" t="n">
        <f aca="false">-Fixed_Assets!S27</f>
        <v>-1500</v>
      </c>
      <c r="T29" s="57" t="n">
        <f aca="false">-Fixed_Assets!T27</f>
        <v>-1500</v>
      </c>
      <c r="U29" s="57" t="n">
        <f aca="false">-Fixed_Assets!U27</f>
        <v>-1500</v>
      </c>
      <c r="V29" s="57" t="n">
        <f aca="false">-Fixed_Assets!V27</f>
        <v>-1500</v>
      </c>
      <c r="W29" s="57" t="n">
        <f aca="false">-Fixed_Assets!W27</f>
        <v>-1500</v>
      </c>
      <c r="X29" s="57" t="n">
        <f aca="false">-Fixed_Assets!X27</f>
        <v>-1500</v>
      </c>
      <c r="Y29" s="57" t="n">
        <f aca="false">-Fixed_Assets!Y27</f>
        <v>-1500</v>
      </c>
      <c r="Z29" s="57" t="n">
        <f aca="false">-Fixed_Assets!Z27</f>
        <v>-1500</v>
      </c>
      <c r="AA29" s="57" t="n">
        <f aca="false">-Fixed_Assets!AA27</f>
        <v>-1500</v>
      </c>
      <c r="AB29" s="57" t="n">
        <f aca="false">-Fixed_Assets!AB27</f>
        <v>-1500</v>
      </c>
    </row>
    <row r="30" customFormat="false" ht="15" hidden="false" customHeight="true" outlineLevel="0" collapsed="false">
      <c r="A30" s="70" t="s">
        <v>424</v>
      </c>
      <c r="B30" s="71"/>
      <c r="C30" s="72" t="n">
        <f aca="false">SUM(E30:P30)</f>
        <v>-19900</v>
      </c>
      <c r="D30" s="72" t="n">
        <f aca="false">SUM(Q30:AB30)</f>
        <v>-48000</v>
      </c>
      <c r="E30" s="72" t="n">
        <f aca="false">E29</f>
        <v>-2400</v>
      </c>
      <c r="F30" s="72" t="n">
        <f aca="false">F29</f>
        <v>-0</v>
      </c>
      <c r="G30" s="72" t="n">
        <f aca="false">G29</f>
        <v>-6800</v>
      </c>
      <c r="H30" s="72" t="n">
        <f aca="false">H29</f>
        <v>-0</v>
      </c>
      <c r="I30" s="72" t="n">
        <f aca="false">I29</f>
        <v>-1200</v>
      </c>
      <c r="J30" s="72" t="n">
        <f aca="false">J29</f>
        <v>-0</v>
      </c>
      <c r="K30" s="72" t="n">
        <f aca="false">K29</f>
        <v>-3500</v>
      </c>
      <c r="L30" s="72" t="n">
        <f aca="false">L29</f>
        <v>-0</v>
      </c>
      <c r="M30" s="72" t="n">
        <f aca="false">M29</f>
        <v>-1500</v>
      </c>
      <c r="N30" s="72" t="n">
        <f aca="false">N29</f>
        <v>-1500</v>
      </c>
      <c r="O30" s="72" t="n">
        <f aca="false">O29</f>
        <v>-1500</v>
      </c>
      <c r="P30" s="72" t="n">
        <f aca="false">P29</f>
        <v>-1500</v>
      </c>
      <c r="Q30" s="72" t="n">
        <f aca="false">Q29</f>
        <v>-1500</v>
      </c>
      <c r="R30" s="72" t="n">
        <f aca="false">R29</f>
        <v>-31500</v>
      </c>
      <c r="S30" s="72" t="n">
        <f aca="false">S29</f>
        <v>-1500</v>
      </c>
      <c r="T30" s="72" t="n">
        <f aca="false">T29</f>
        <v>-1500</v>
      </c>
      <c r="U30" s="72" t="n">
        <f aca="false">U29</f>
        <v>-1500</v>
      </c>
      <c r="V30" s="72" t="n">
        <f aca="false">V29</f>
        <v>-1500</v>
      </c>
      <c r="W30" s="72" t="n">
        <f aca="false">W29</f>
        <v>-1500</v>
      </c>
      <c r="X30" s="72" t="n">
        <f aca="false">X29</f>
        <v>-1500</v>
      </c>
      <c r="Y30" s="72" t="n">
        <f aca="false">Y29</f>
        <v>-1500</v>
      </c>
      <c r="Z30" s="72" t="n">
        <f aca="false">Z29</f>
        <v>-1500</v>
      </c>
      <c r="AA30" s="72" t="n">
        <f aca="false">AA29</f>
        <v>-1500</v>
      </c>
      <c r="AB30" s="72" t="n">
        <f aca="false">AB29</f>
        <v>-1500</v>
      </c>
    </row>
    <row r="31" customFormat="false" ht="15" hidden="false" customHeight="true" outlineLevel="0" collapsed="false">
      <c r="A31" s="22" t="s">
        <v>425</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row>
    <row r="32" customFormat="false" ht="15" hidden="false" customHeight="true" outlineLevel="0" collapsed="false">
      <c r="A32" s="28" t="s">
        <v>426</v>
      </c>
      <c r="B32" s="55" t="s">
        <v>66</v>
      </c>
      <c r="C32" s="56" t="n">
        <f aca="false">SUM(E32:P32)</f>
        <v>0</v>
      </c>
      <c r="D32" s="56" t="n">
        <f aca="false">SUM(Q32:AB32)</f>
        <v>0</v>
      </c>
      <c r="E32" s="57" t="n">
        <f aca="false">Debt!E11</f>
        <v>0</v>
      </c>
      <c r="F32" s="57" t="n">
        <f aca="false">Debt!F11</f>
        <v>0</v>
      </c>
      <c r="G32" s="57" t="n">
        <f aca="false">Debt!G11</f>
        <v>0</v>
      </c>
      <c r="H32" s="57" t="n">
        <f aca="false">Debt!H11</f>
        <v>0</v>
      </c>
      <c r="I32" s="57" t="n">
        <f aca="false">Debt!I11</f>
        <v>0</v>
      </c>
      <c r="J32" s="57" t="n">
        <f aca="false">Debt!J11</f>
        <v>0</v>
      </c>
      <c r="K32" s="57" t="n">
        <f aca="false">Debt!K11</f>
        <v>0</v>
      </c>
      <c r="L32" s="57" t="n">
        <f aca="false">Debt!L11</f>
        <v>0</v>
      </c>
      <c r="M32" s="57" t="n">
        <f aca="false">Debt!M11</f>
        <v>0</v>
      </c>
      <c r="N32" s="57" t="n">
        <f aca="false">Debt!N11</f>
        <v>0</v>
      </c>
      <c r="O32" s="57" t="n">
        <f aca="false">Debt!O11</f>
        <v>0</v>
      </c>
      <c r="P32" s="57" t="n">
        <f aca="false">Debt!P11</f>
        <v>0</v>
      </c>
      <c r="Q32" s="57" t="n">
        <f aca="false">Debt!Q11</f>
        <v>0</v>
      </c>
      <c r="R32" s="57" t="n">
        <f aca="false">Debt!R11</f>
        <v>0</v>
      </c>
      <c r="S32" s="57" t="n">
        <f aca="false">Debt!S11</f>
        <v>0</v>
      </c>
      <c r="T32" s="57" t="n">
        <f aca="false">Debt!T11</f>
        <v>0</v>
      </c>
      <c r="U32" s="57" t="n">
        <f aca="false">Debt!U11</f>
        <v>0</v>
      </c>
      <c r="V32" s="57" t="n">
        <f aca="false">Debt!V11</f>
        <v>0</v>
      </c>
      <c r="W32" s="57" t="n">
        <f aca="false">Debt!W11</f>
        <v>0</v>
      </c>
      <c r="X32" s="57" t="n">
        <f aca="false">Debt!X11</f>
        <v>0</v>
      </c>
      <c r="Y32" s="57" t="n">
        <f aca="false">Debt!Y11</f>
        <v>0</v>
      </c>
      <c r="Z32" s="57" t="n">
        <f aca="false">Debt!Z11</f>
        <v>0</v>
      </c>
      <c r="AA32" s="57" t="n">
        <f aca="false">Debt!AA11</f>
        <v>0</v>
      </c>
      <c r="AB32" s="57" t="n">
        <f aca="false">Debt!AB11</f>
        <v>0</v>
      </c>
    </row>
    <row r="33" customFormat="false" ht="15" hidden="false" customHeight="true" outlineLevel="0" collapsed="false">
      <c r="A33" s="28" t="s">
        <v>427</v>
      </c>
      <c r="B33" s="55" t="s">
        <v>66</v>
      </c>
      <c r="C33" s="56" t="n">
        <f aca="false">SUM(E33:P33)</f>
        <v>-89079.5041319033</v>
      </c>
      <c r="D33" s="56" t="n">
        <f aca="false">SUM(Q33:AB33)</f>
        <v>-95994.9775424694</v>
      </c>
      <c r="E33" s="57" t="n">
        <f aca="false">Debt!E13</f>
        <v>-7171.56077509249</v>
      </c>
      <c r="F33" s="57" t="n">
        <f aca="false">Debt!F13</f>
        <v>-7216.38302993682</v>
      </c>
      <c r="G33" s="57" t="n">
        <f aca="false">Debt!G13</f>
        <v>-7261.48542387393</v>
      </c>
      <c r="H33" s="57" t="n">
        <f aca="false">Debt!H13</f>
        <v>-7306.86970777314</v>
      </c>
      <c r="I33" s="57" t="n">
        <f aca="false">Debt!I13</f>
        <v>-7352.53764344672</v>
      </c>
      <c r="J33" s="57" t="n">
        <f aca="false">Debt!J13</f>
        <v>-7398.49100371826</v>
      </c>
      <c r="K33" s="57" t="n">
        <f aca="false">Debt!K13</f>
        <v>-7444.7315724915</v>
      </c>
      <c r="L33" s="57" t="n">
        <f aca="false">Debt!L13</f>
        <v>-7491.26114481957</v>
      </c>
      <c r="M33" s="57" t="n">
        <f aca="false">Debt!M13</f>
        <v>-7538.08152697469</v>
      </c>
      <c r="N33" s="57" t="n">
        <f aca="false">Debt!N13</f>
        <v>-7585.19453651829</v>
      </c>
      <c r="O33" s="57" t="n">
        <f aca="false">Debt!O13</f>
        <v>-7632.60200237153</v>
      </c>
      <c r="P33" s="57" t="n">
        <f aca="false">Debt!P13</f>
        <v>-7680.30576488635</v>
      </c>
      <c r="Q33" s="57" t="n">
        <f aca="false">Debt!Q13</f>
        <v>-7728.30767591689</v>
      </c>
      <c r="R33" s="57" t="n">
        <f aca="false">Debt!R13</f>
        <v>-7776.60959889137</v>
      </c>
      <c r="S33" s="57" t="n">
        <f aca="false">Debt!S13</f>
        <v>-7825.21340888444</v>
      </c>
      <c r="T33" s="57" t="n">
        <f aca="false">Debt!T13</f>
        <v>-7874.12099268997</v>
      </c>
      <c r="U33" s="57" t="n">
        <f aca="false">Debt!U13</f>
        <v>-7923.33424889428</v>
      </c>
      <c r="V33" s="57" t="n">
        <f aca="false">Debt!V13</f>
        <v>-7972.85508794987</v>
      </c>
      <c r="W33" s="57" t="n">
        <f aca="false">Debt!W13</f>
        <v>-8022.68543224956</v>
      </c>
      <c r="X33" s="57" t="n">
        <f aca="false">Debt!X13</f>
        <v>-8072.82721620112</v>
      </c>
      <c r="Y33" s="57" t="n">
        <f aca="false">Debt!Y13</f>
        <v>-8123.28238630237</v>
      </c>
      <c r="Z33" s="57" t="n">
        <f aca="false">Debt!Z13</f>
        <v>-8174.05290121676</v>
      </c>
      <c r="AA33" s="57" t="n">
        <f aca="false">Debt!AA13</f>
        <v>-8225.14073184937</v>
      </c>
      <c r="AB33" s="57" t="n">
        <f aca="false">Debt!AB13</f>
        <v>-8276.54786142343</v>
      </c>
    </row>
    <row r="34" customFormat="false" ht="15" hidden="false" customHeight="true" outlineLevel="0" collapsed="false">
      <c r="A34" s="28" t="s">
        <v>389</v>
      </c>
      <c r="B34" s="55" t="s">
        <v>32</v>
      </c>
      <c r="C34" s="56" t="n">
        <f aca="false">SUM(E34:P34)</f>
        <v>0</v>
      </c>
      <c r="D34" s="56" t="n">
        <f aca="false">SUM(Q34:AB34)</f>
        <v>0</v>
      </c>
      <c r="E34" s="57" t="n">
        <f aca="false">-BS!E34</f>
        <v>-0</v>
      </c>
      <c r="F34" s="57" t="n">
        <f aca="false">-BS!F34</f>
        <v>-0</v>
      </c>
      <c r="G34" s="57" t="n">
        <f aca="false">-BS!G34</f>
        <v>-0</v>
      </c>
      <c r="H34" s="57" t="n">
        <f aca="false">-BS!H34</f>
        <v>-0</v>
      </c>
      <c r="I34" s="57" t="n">
        <f aca="false">-BS!I34</f>
        <v>-0</v>
      </c>
      <c r="J34" s="57" t="n">
        <f aca="false">-BS!J34</f>
        <v>-0</v>
      </c>
      <c r="K34" s="57" t="n">
        <f aca="false">-BS!K34</f>
        <v>-0</v>
      </c>
      <c r="L34" s="57" t="n">
        <f aca="false">-BS!L34</f>
        <v>-0</v>
      </c>
      <c r="M34" s="57" t="n">
        <f aca="false">-BS!M34</f>
        <v>-0</v>
      </c>
      <c r="N34" s="57" t="n">
        <f aca="false">-BS!N34</f>
        <v>-0</v>
      </c>
      <c r="O34" s="57" t="n">
        <f aca="false">-BS!O34</f>
        <v>-0</v>
      </c>
      <c r="P34" s="57" t="n">
        <f aca="false">-BS!P34</f>
        <v>-0</v>
      </c>
      <c r="Q34" s="57" t="n">
        <f aca="false">-BS!Q34</f>
        <v>-0</v>
      </c>
      <c r="R34" s="57" t="n">
        <f aca="false">-BS!R34</f>
        <v>-0</v>
      </c>
      <c r="S34" s="57" t="n">
        <f aca="false">-BS!S34</f>
        <v>-0</v>
      </c>
      <c r="T34" s="57" t="n">
        <f aca="false">-BS!T34</f>
        <v>-0</v>
      </c>
      <c r="U34" s="57" t="n">
        <f aca="false">-BS!U34</f>
        <v>-0</v>
      </c>
      <c r="V34" s="57" t="n">
        <f aca="false">-BS!V34</f>
        <v>-0</v>
      </c>
      <c r="W34" s="57" t="n">
        <f aca="false">-BS!W34</f>
        <v>-0</v>
      </c>
      <c r="X34" s="57" t="n">
        <f aca="false">-BS!X34</f>
        <v>-0</v>
      </c>
      <c r="Y34" s="57" t="n">
        <f aca="false">-BS!Y34</f>
        <v>-0</v>
      </c>
      <c r="Z34" s="57" t="n">
        <f aca="false">-BS!Z34</f>
        <v>-0</v>
      </c>
      <c r="AA34" s="57" t="n">
        <f aca="false">-BS!AA34</f>
        <v>-0</v>
      </c>
      <c r="AB34" s="57" t="n">
        <f aca="false">-BS!AB34</f>
        <v>-0</v>
      </c>
    </row>
    <row r="35" customFormat="false" ht="15" hidden="false" customHeight="true" outlineLevel="0" collapsed="false">
      <c r="A35" s="70" t="s">
        <v>428</v>
      </c>
      <c r="B35" s="71"/>
      <c r="C35" s="72" t="n">
        <f aca="false">SUM(E35:P35)</f>
        <v>-89079.5041319033</v>
      </c>
      <c r="D35" s="72" t="n">
        <f aca="false">SUM(Q35:AB35)</f>
        <v>-95994.9775424694</v>
      </c>
      <c r="E35" s="72" t="n">
        <f aca="false">E32+E33+E34</f>
        <v>-7171.56077509249</v>
      </c>
      <c r="F35" s="72" t="n">
        <f aca="false">F32+F33+F34</f>
        <v>-7216.38302993682</v>
      </c>
      <c r="G35" s="72" t="n">
        <f aca="false">G32+G33+G34</f>
        <v>-7261.48542387393</v>
      </c>
      <c r="H35" s="72" t="n">
        <f aca="false">H32+H33+H34</f>
        <v>-7306.86970777314</v>
      </c>
      <c r="I35" s="72" t="n">
        <f aca="false">I32+I33+I34</f>
        <v>-7352.53764344672</v>
      </c>
      <c r="J35" s="72" t="n">
        <f aca="false">J32+J33+J34</f>
        <v>-7398.49100371826</v>
      </c>
      <c r="K35" s="72" t="n">
        <f aca="false">K32+K33+K34</f>
        <v>-7444.7315724915</v>
      </c>
      <c r="L35" s="72" t="n">
        <f aca="false">L32+L33+L34</f>
        <v>-7491.26114481957</v>
      </c>
      <c r="M35" s="72" t="n">
        <f aca="false">M32+M33+M34</f>
        <v>-7538.08152697469</v>
      </c>
      <c r="N35" s="72" t="n">
        <f aca="false">N32+N33+N34</f>
        <v>-7585.19453651829</v>
      </c>
      <c r="O35" s="72" t="n">
        <f aca="false">O32+O33+O34</f>
        <v>-7632.60200237153</v>
      </c>
      <c r="P35" s="72" t="n">
        <f aca="false">P32+P33+P34</f>
        <v>-7680.30576488635</v>
      </c>
      <c r="Q35" s="72" t="n">
        <f aca="false">Q32+Q33+Q34</f>
        <v>-7728.30767591689</v>
      </c>
      <c r="R35" s="72" t="n">
        <f aca="false">R32+R33+R34</f>
        <v>-7776.60959889137</v>
      </c>
      <c r="S35" s="72" t="n">
        <f aca="false">S32+S33+S34</f>
        <v>-7825.21340888444</v>
      </c>
      <c r="T35" s="72" t="n">
        <f aca="false">T32+T33+T34</f>
        <v>-7874.12099268997</v>
      </c>
      <c r="U35" s="72" t="n">
        <f aca="false">U32+U33+U34</f>
        <v>-7923.33424889428</v>
      </c>
      <c r="V35" s="72" t="n">
        <f aca="false">V32+V33+V34</f>
        <v>-7972.85508794987</v>
      </c>
      <c r="W35" s="72" t="n">
        <f aca="false">W32+W33+W34</f>
        <v>-8022.68543224956</v>
      </c>
      <c r="X35" s="72" t="n">
        <f aca="false">X32+X33+X34</f>
        <v>-8072.82721620112</v>
      </c>
      <c r="Y35" s="72" t="n">
        <f aca="false">Y32+Y33+Y34</f>
        <v>-8123.28238630237</v>
      </c>
      <c r="Z35" s="72" t="n">
        <f aca="false">Z32+Z33+Z34</f>
        <v>-8174.05290121676</v>
      </c>
      <c r="AA35" s="72" t="n">
        <f aca="false">AA32+AA33+AA34</f>
        <v>-8225.14073184937</v>
      </c>
      <c r="AB35" s="72" t="n">
        <f aca="false">AB32+AB33+AB34</f>
        <v>-8276.54786142343</v>
      </c>
    </row>
    <row r="36" customFormat="false" ht="15" hidden="false" customHeight="true" outlineLevel="0" collapsed="false">
      <c r="A36" s="22" t="s">
        <v>429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row>
    <row r="37" customFormat="false" ht="15" hidden="false" customHeight="true" outlineLevel="0" collapsed="false">
      <c r="A37" s="70" t="s">
        <v>430</v>
      </c>
      <c r="B37" s="71"/>
      <c r="C37" s="72" t="n">
        <f aca="false">SUM(E37:P37)</f>
        <v>231228.15905107</v>
      </c>
      <c r="D37" s="72" t="n">
        <f aca="false">SUM(Q37:AB37)</f>
        <v>-265079.857247782</v>
      </c>
      <c r="E37" s="72" t="n">
        <f aca="false">E27+E30+E35</f>
        <v>16444.4392249075</v>
      </c>
      <c r="F37" s="72" t="n">
        <f aca="false">F27+F30+F35</f>
        <v>-17823.5607750924</v>
      </c>
      <c r="G37" s="72" t="n">
        <f aca="false">G27+G30+G35</f>
        <v>95121.4392249075</v>
      </c>
      <c r="H37" s="72" t="n">
        <f aca="false">H27+H30+H35</f>
        <v>-145068.041025092</v>
      </c>
      <c r="I37" s="72" t="n">
        <f aca="false">I27+I30+I35</f>
        <v>125215.439224907</v>
      </c>
      <c r="J37" s="72" t="n">
        <f aca="false">J27+J30+J35</f>
        <v>41629.4392249076</v>
      </c>
      <c r="K37" s="72" t="n">
        <f aca="false">K27+K30+K35</f>
        <v>-163141.398125093</v>
      </c>
      <c r="L37" s="72" t="n">
        <f aca="false">L27+L30+L35</f>
        <v>59074.4392249075</v>
      </c>
      <c r="M37" s="72" t="n">
        <f aca="false">M27+M30+M35</f>
        <v>-78771.0825484367</v>
      </c>
      <c r="N37" s="72" t="n">
        <f aca="false">N27+N30+N35</f>
        <v>-24017.91544676</v>
      </c>
      <c r="O37" s="72" t="n">
        <f aca="false">O27+O30+O35</f>
        <v>111277.842716892</v>
      </c>
      <c r="P37" s="72" t="n">
        <f aca="false">P27+P30+P35</f>
        <v>211287.118130114</v>
      </c>
      <c r="Q37" s="72" t="n">
        <f aca="false">Q27+Q30+Q35</f>
        <v>-123481.321133358</v>
      </c>
      <c r="R37" s="72" t="n">
        <f aca="false">R27+R30+R35</f>
        <v>-46401.1663754633</v>
      </c>
      <c r="S37" s="72" t="n">
        <f aca="false">S27+S30+S35</f>
        <v>62655.9386648362</v>
      </c>
      <c r="T37" s="72" t="n">
        <f aca="false">T27+T30+T35</f>
        <v>-118005.944847699</v>
      </c>
      <c r="U37" s="72" t="n">
        <f aca="false">U27+U30+U35</f>
        <v>72324.5700003065</v>
      </c>
      <c r="V37" s="72" t="n">
        <f aca="false">V27+V30+V35</f>
        <v>47091.8905963554</v>
      </c>
      <c r="W37" s="72" t="n">
        <f aca="false">W27+W30+W35</f>
        <v>-245518.064613718</v>
      </c>
      <c r="X37" s="72" t="n">
        <f aca="false">X27+X30+X35</f>
        <v>-2165.10408281562</v>
      </c>
      <c r="Y37" s="72" t="n">
        <f aca="false">Y27+Y30+Y35</f>
        <v>-139358.076817696</v>
      </c>
      <c r="Z37" s="72" t="n">
        <f aca="false">Z27+Z30+Z35</f>
        <v>-116545.663706645</v>
      </c>
      <c r="AA37" s="72" t="n">
        <f aca="false">AA27+AA30+AA35</f>
        <v>138726.434643238</v>
      </c>
      <c r="AB37" s="72" t="n">
        <f aca="false">AB27+AB30+AB35</f>
        <v>205596.650424876</v>
      </c>
    </row>
    <row r="38" customFormat="false" ht="15" hidden="false" customHeight="true" outlineLevel="0" collapsed="false">
      <c r="A38" s="28" t="s">
        <v>431</v>
      </c>
      <c r="B38" s="55"/>
      <c r="E38" s="57" t="n">
        <f aca="false">Inputs_Actuals!$C$112</f>
        <v>380000</v>
      </c>
      <c r="F38" s="69" t="n">
        <f aca="false">E39</f>
        <v>396444.439224908</v>
      </c>
      <c r="G38" s="69" t="n">
        <f aca="false">F39</f>
        <v>378620.878449815</v>
      </c>
      <c r="H38" s="69" t="n">
        <f aca="false">G39</f>
        <v>473742.317674723</v>
      </c>
      <c r="I38" s="69" t="n">
        <f aca="false">H39</f>
        <v>328674.27664963</v>
      </c>
      <c r="J38" s="69" t="n">
        <f aca="false">I39</f>
        <v>453889.715874538</v>
      </c>
      <c r="K38" s="69" t="n">
        <f aca="false">J39</f>
        <v>495519.155099445</v>
      </c>
      <c r="L38" s="69" t="n">
        <f aca="false">K39</f>
        <v>332377.756974353</v>
      </c>
      <c r="M38" s="69" t="n">
        <f aca="false">L39</f>
        <v>391452.19619926</v>
      </c>
      <c r="N38" s="69" t="n">
        <f aca="false">M39</f>
        <v>312681.113650824</v>
      </c>
      <c r="O38" s="69" t="n">
        <f aca="false">N39</f>
        <v>288663.198204064</v>
      </c>
      <c r="P38" s="69" t="n">
        <f aca="false">O39</f>
        <v>399941.040920956</v>
      </c>
      <c r="Q38" s="69" t="n">
        <f aca="false">P39</f>
        <v>611228.15905107</v>
      </c>
      <c r="R38" s="69" t="n">
        <f aca="false">Q39</f>
        <v>487746.837917712</v>
      </c>
      <c r="S38" s="69" t="n">
        <f aca="false">R39</f>
        <v>441345.671542249</v>
      </c>
      <c r="T38" s="69" t="n">
        <f aca="false">S39</f>
        <v>504001.610207085</v>
      </c>
      <c r="U38" s="69" t="n">
        <f aca="false">T39</f>
        <v>385995.665359386</v>
      </c>
      <c r="V38" s="69" t="n">
        <f aca="false">U39</f>
        <v>458320.235359693</v>
      </c>
      <c r="W38" s="69" t="n">
        <f aca="false">V39</f>
        <v>505412.125956048</v>
      </c>
      <c r="X38" s="69" t="n">
        <f aca="false">W39</f>
        <v>259894.061342331</v>
      </c>
      <c r="Y38" s="69" t="n">
        <f aca="false">X39</f>
        <v>257728.957259515</v>
      </c>
      <c r="Z38" s="69" t="n">
        <f aca="false">Y39</f>
        <v>118370.880441819</v>
      </c>
      <c r="AA38" s="69" t="n">
        <f aca="false">Z39</f>
        <v>1825.21673517399</v>
      </c>
      <c r="AB38" s="69" t="n">
        <f aca="false">AA39</f>
        <v>140551.651378412</v>
      </c>
    </row>
    <row r="39" customFormat="false" ht="15" hidden="false" customHeight="true" outlineLevel="0" collapsed="false">
      <c r="A39" s="70" t="s">
        <v>432</v>
      </c>
      <c r="B39" s="71"/>
      <c r="C39" s="72" t="n">
        <f aca="false">P39</f>
        <v>611228.15905107</v>
      </c>
      <c r="D39" s="72" t="n">
        <f aca="false">AB39</f>
        <v>346148.301803288</v>
      </c>
      <c r="E39" s="72" t="n">
        <f aca="false">E38+E37</f>
        <v>396444.439224908</v>
      </c>
      <c r="F39" s="72" t="n">
        <f aca="false">F38+F37</f>
        <v>378620.878449815</v>
      </c>
      <c r="G39" s="72" t="n">
        <f aca="false">G38+G37</f>
        <v>473742.317674723</v>
      </c>
      <c r="H39" s="72" t="n">
        <f aca="false">H38+H37</f>
        <v>328674.27664963</v>
      </c>
      <c r="I39" s="72" t="n">
        <f aca="false">I38+I37</f>
        <v>453889.715874538</v>
      </c>
      <c r="J39" s="72" t="n">
        <f aca="false">J38+J37</f>
        <v>495519.155099445</v>
      </c>
      <c r="K39" s="72" t="n">
        <f aca="false">K38+K37</f>
        <v>332377.756974353</v>
      </c>
      <c r="L39" s="72" t="n">
        <f aca="false">L38+L37</f>
        <v>391452.19619926</v>
      </c>
      <c r="M39" s="72" t="n">
        <f aca="false">M38+M37</f>
        <v>312681.113650824</v>
      </c>
      <c r="N39" s="72" t="n">
        <f aca="false">N38+N37</f>
        <v>288663.198204064</v>
      </c>
      <c r="O39" s="72" t="n">
        <f aca="false">O38+O37</f>
        <v>399941.040920956</v>
      </c>
      <c r="P39" s="72" t="n">
        <f aca="false">P38+P37</f>
        <v>611228.15905107</v>
      </c>
      <c r="Q39" s="72" t="n">
        <f aca="false">Q38+Q37</f>
        <v>487746.837917712</v>
      </c>
      <c r="R39" s="72" t="n">
        <f aca="false">R38+R37</f>
        <v>441345.671542249</v>
      </c>
      <c r="S39" s="72" t="n">
        <f aca="false">S38+S37</f>
        <v>504001.610207085</v>
      </c>
      <c r="T39" s="72" t="n">
        <f aca="false">T38+T37</f>
        <v>385995.665359386</v>
      </c>
      <c r="U39" s="72" t="n">
        <f aca="false">U38+U37</f>
        <v>458320.235359693</v>
      </c>
      <c r="V39" s="72" t="n">
        <f aca="false">V38+V37</f>
        <v>505412.125956048</v>
      </c>
      <c r="W39" s="72" t="n">
        <f aca="false">W38+W37</f>
        <v>259894.061342331</v>
      </c>
      <c r="X39" s="72" t="n">
        <f aca="false">X38+X37</f>
        <v>257728.957259515</v>
      </c>
      <c r="Y39" s="72" t="n">
        <f aca="false">Y38+Y37</f>
        <v>118370.880441819</v>
      </c>
      <c r="Z39" s="72" t="n">
        <f aca="false">Z38+Z37</f>
        <v>1825.21673517399</v>
      </c>
      <c r="AA39" s="72" t="n">
        <f aca="false">AA38+AA37</f>
        <v>140551.651378412</v>
      </c>
      <c r="AB39" s="72" t="n">
        <f aca="false">AB38+AB37</f>
        <v>346148.301803288</v>
      </c>
    </row>
    <row r="40" customFormat="false" ht="15" hidden="false" customHeight="true" outlineLevel="0" collapsed="false">
      <c r="A40" s="28" t="s">
        <v>433</v>
      </c>
      <c r="B40" s="55" t="s">
        <v>315</v>
      </c>
      <c r="C40" s="56" t="n">
        <f aca="false">SUM(E40:P40)</f>
        <v>320307.663182973</v>
      </c>
      <c r="D40" s="56" t="n">
        <f aca="false">SUM(Q40:AB40)</f>
        <v>-169084.879705313</v>
      </c>
      <c r="E40" s="69" t="n">
        <f aca="false">E27+E30</f>
        <v>23616</v>
      </c>
      <c r="F40" s="69" t="n">
        <f aca="false">F27+F30</f>
        <v>-10607.1777451556</v>
      </c>
      <c r="G40" s="69" t="n">
        <f aca="false">G27+G30</f>
        <v>102382.924648781</v>
      </c>
      <c r="H40" s="69" t="n">
        <f aca="false">H27+H30</f>
        <v>-137761.171317319</v>
      </c>
      <c r="I40" s="69" t="n">
        <f aca="false">I27+I30</f>
        <v>132567.976868354</v>
      </c>
      <c r="J40" s="69" t="n">
        <f aca="false">J27+J30</f>
        <v>49027.9302286259</v>
      </c>
      <c r="K40" s="69" t="n">
        <f aca="false">K27+K30</f>
        <v>-155696.666552601</v>
      </c>
      <c r="L40" s="69" t="n">
        <f aca="false">L27+L30</f>
        <v>66565.7003697271</v>
      </c>
      <c r="M40" s="69" t="n">
        <f aca="false">M27+M30</f>
        <v>-71233.001021462</v>
      </c>
      <c r="N40" s="69" t="n">
        <f aca="false">N27+N30</f>
        <v>-16432.7209102417</v>
      </c>
      <c r="O40" s="69" t="n">
        <f aca="false">O27+O30</f>
        <v>118910.444719264</v>
      </c>
      <c r="P40" s="69" t="n">
        <f aca="false">P27+P30</f>
        <v>218967.423895001</v>
      </c>
      <c r="Q40" s="69" t="n">
        <f aca="false">Q27+Q30</f>
        <v>-115753.013457441</v>
      </c>
      <c r="R40" s="69" t="n">
        <f aca="false">R27+R30</f>
        <v>-38624.5567765719</v>
      </c>
      <c r="S40" s="69" t="n">
        <f aca="false">S27+S30</f>
        <v>70481.1520737206</v>
      </c>
      <c r="T40" s="69" t="n">
        <f aca="false">T27+T30</f>
        <v>-110131.823855009</v>
      </c>
      <c r="U40" s="69" t="n">
        <f aca="false">U27+U30</f>
        <v>80247.9042492007</v>
      </c>
      <c r="V40" s="69" t="n">
        <f aca="false">V27+V30</f>
        <v>55064.7456843052</v>
      </c>
      <c r="W40" s="69" t="n">
        <f aca="false">W27+W30</f>
        <v>-237495.379181468</v>
      </c>
      <c r="X40" s="69" t="n">
        <f aca="false">X27+X30</f>
        <v>5907.7231333855</v>
      </c>
      <c r="Y40" s="69" t="n">
        <f aca="false">Y27+Y30</f>
        <v>-131234.794431394</v>
      </c>
      <c r="Z40" s="69" t="n">
        <f aca="false">Z27+Z30</f>
        <v>-108371.610805428</v>
      </c>
      <c r="AA40" s="69" t="n">
        <f aca="false">AA27+AA30</f>
        <v>146951.575375088</v>
      </c>
      <c r="AB40" s="69" t="n">
        <f aca="false">AB27+AB30</f>
        <v>213873.198286299</v>
      </c>
    </row>
    <row r="41" customFormat="false" ht="15" hidden="false" customHeight="true" outlineLevel="0" collapsed="false">
      <c r="A41" s="22" t="s">
        <v>434</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row>
    <row r="42" customFormat="false" ht="15" hidden="false" customHeight="true" outlineLevel="0" collapsed="false">
      <c r="A42" s="28" t="s">
        <v>435</v>
      </c>
      <c r="B42" s="55" t="s">
        <v>436</v>
      </c>
      <c r="C42" s="56" t="n">
        <f aca="false">SUM(E42:P42)</f>
        <v>4108548.59482977</v>
      </c>
      <c r="D42" s="56" t="n">
        <f aca="false">SUM(Q42:AB42)</f>
        <v>5230864.98611389</v>
      </c>
      <c r="E42" s="57" t="n">
        <f aca="false">-Settlements!E46</f>
        <v>312453</v>
      </c>
      <c r="F42" s="57" t="n">
        <f aca="false">-Settlements!F46</f>
        <v>239161</v>
      </c>
      <c r="G42" s="57" t="n">
        <f aca="false">-Settlements!G46</f>
        <v>279131</v>
      </c>
      <c r="H42" s="57" t="n">
        <f aca="false">-Settlements!H46</f>
        <v>294398</v>
      </c>
      <c r="I42" s="57" t="n">
        <f aca="false">-Settlements!I46</f>
        <v>326785</v>
      </c>
      <c r="J42" s="57" t="n">
        <f aca="false">-Settlements!J46</f>
        <v>319701</v>
      </c>
      <c r="K42" s="57" t="n">
        <f aca="false">-Settlements!K46</f>
        <v>321425</v>
      </c>
      <c r="L42" s="57" t="n">
        <f aca="false">-Settlements!L46</f>
        <v>298658</v>
      </c>
      <c r="M42" s="57" t="n">
        <f aca="false">-Settlements!M46</f>
        <v>317984.332652714</v>
      </c>
      <c r="N42" s="57" t="n">
        <f aca="false">-Settlements!N46</f>
        <v>376355.819265247</v>
      </c>
      <c r="O42" s="57" t="n">
        <f aca="false">-Settlements!O46</f>
        <v>492503.983917874</v>
      </c>
      <c r="P42" s="57" t="n">
        <f aca="false">-Settlements!P46</f>
        <v>529992.458993937</v>
      </c>
      <c r="Q42" s="57" t="n">
        <f aca="false">-Settlements!Q46</f>
        <v>386757.079297827</v>
      </c>
      <c r="R42" s="57" t="n">
        <f aca="false">-Settlements!R46</f>
        <v>300687.480376202</v>
      </c>
      <c r="S42" s="57" t="n">
        <f aca="false">-Settlements!S46</f>
        <v>348467.716026904</v>
      </c>
      <c r="T42" s="57" t="n">
        <f aca="false">-Settlements!T46</f>
        <v>361516.245806379</v>
      </c>
      <c r="U42" s="57" t="n">
        <f aca="false">-Settlements!U46</f>
        <v>396609.940129115</v>
      </c>
      <c r="V42" s="57" t="n">
        <f aca="false">-Settlements!V46</f>
        <v>395797.840324885</v>
      </c>
      <c r="W42" s="57" t="n">
        <f aca="false">-Settlements!W46</f>
        <v>396929.134584093</v>
      </c>
      <c r="X42" s="57" t="n">
        <f aca="false">-Settlements!X46</f>
        <v>387497.82536718</v>
      </c>
      <c r="Y42" s="57" t="n">
        <f aca="false">-Settlements!Y46</f>
        <v>418419.685909912</v>
      </c>
      <c r="Z42" s="57" t="n">
        <f aca="false">-Settlements!Z46</f>
        <v>494088.283309979</v>
      </c>
      <c r="AA42" s="57" t="n">
        <f aca="false">-Settlements!AA46</f>
        <v>643931.162043794</v>
      </c>
      <c r="AB42" s="57" t="n">
        <f aca="false">-Settlements!AB46</f>
        <v>700162.592937619</v>
      </c>
    </row>
    <row r="43" customFormat="false" ht="15" hidden="false" customHeight="true" outlineLevel="0" collapsed="false">
      <c r="A43" s="28" t="s">
        <v>437</v>
      </c>
      <c r="B43" s="55" t="s">
        <v>436</v>
      </c>
      <c r="C43" s="56" t="n">
        <f aca="false">SUM(E43:P43)</f>
        <v>-1266805.57681807</v>
      </c>
      <c r="D43" s="56" t="n">
        <f aca="false">SUM(Q43:AB43)</f>
        <v>-2145863.0351453</v>
      </c>
      <c r="E43" s="57" t="n">
        <f aca="false">-Inventory!E112</f>
        <v>-52700</v>
      </c>
      <c r="F43" s="57" t="n">
        <f aca="false">-Inventory!F112</f>
        <v>-91200</v>
      </c>
      <c r="G43" s="57" t="n">
        <f aca="false">-Inventory!G112</f>
        <v>-27000</v>
      </c>
      <c r="H43" s="57" t="n">
        <f aca="false">-Inventory!H112</f>
        <v>-138800</v>
      </c>
      <c r="I43" s="57" t="n">
        <f aca="false">-Inventory!I112</f>
        <v>-46200</v>
      </c>
      <c r="J43" s="57" t="n">
        <f aca="false">-Inventory!J112</f>
        <v>-109000</v>
      </c>
      <c r="K43" s="57" t="n">
        <f aca="false">-Inventory!K112</f>
        <v>-160400</v>
      </c>
      <c r="L43" s="57" t="n">
        <f aca="false">-Inventory!L112</f>
        <v>-88200</v>
      </c>
      <c r="M43" s="57" t="n">
        <f aca="false">-Inventory!M112</f>
        <v>-237911.40653666</v>
      </c>
      <c r="N43" s="57" t="n">
        <f aca="false">-Inventory!N112</f>
        <v>-51510.649578367</v>
      </c>
      <c r="O43" s="57" t="n">
        <f aca="false">-Inventory!O112</f>
        <v>-155564.697610693</v>
      </c>
      <c r="P43" s="57" t="n">
        <f aca="false">-Inventory!P112</f>
        <v>-108318.823092353</v>
      </c>
      <c r="Q43" s="57" t="n">
        <f aca="false">-Inventory!Q112</f>
        <v>-64677.89847977</v>
      </c>
      <c r="R43" s="57" t="n">
        <f aca="false">-Inventory!R112</f>
        <v>-116668.451382607</v>
      </c>
      <c r="S43" s="57" t="n">
        <f aca="false">-Inventory!S112</f>
        <v>-109835.961207699</v>
      </c>
      <c r="T43" s="57" t="n">
        <f aca="false">-Inventory!T112</f>
        <v>-127727.63508496</v>
      </c>
      <c r="U43" s="57" t="n">
        <f aca="false">-Inventory!U112</f>
        <v>-128044.909825131</v>
      </c>
      <c r="V43" s="57" t="n">
        <f aca="false">-Inventory!V112</f>
        <v>-153628.651466793</v>
      </c>
      <c r="W43" s="57" t="n">
        <f aca="false">-Inventory!W112</f>
        <v>-257929.849194904</v>
      </c>
      <c r="X43" s="57" t="n">
        <f aca="false">-Inventory!X112</f>
        <v>-191764.070947593</v>
      </c>
      <c r="Y43" s="57" t="n">
        <f aca="false">-Inventory!Y112</f>
        <v>-349038.818201837</v>
      </c>
      <c r="Z43" s="57" t="n">
        <f aca="false">-Inventory!Z112</f>
        <v>-186345.664597465</v>
      </c>
      <c r="AA43" s="57" t="n">
        <f aca="false">-Inventory!AA112</f>
        <v>-230100.562378273</v>
      </c>
      <c r="AB43" s="57" t="n">
        <f aca="false">-Inventory!AB112</f>
        <v>-230100.562378273</v>
      </c>
    </row>
    <row r="44" customFormat="false" ht="15" hidden="false" customHeight="true" outlineLevel="0" collapsed="false">
      <c r="A44" s="28" t="s">
        <v>438</v>
      </c>
      <c r="B44" s="55" t="s">
        <v>436</v>
      </c>
      <c r="C44" s="56" t="n">
        <f aca="false">SUM(E44:P44)</f>
        <v>-1383354.19316061</v>
      </c>
      <c r="D44" s="56" t="n">
        <f aca="false">SUM(Q44:AB44)</f>
        <v>-1636431.55708246</v>
      </c>
      <c r="E44" s="57" t="n">
        <f aca="false">AP_Schedule!E34</f>
        <v>-145951</v>
      </c>
      <c r="F44" s="57" t="n">
        <f aca="false">AP_Schedule!F34</f>
        <v>-111846</v>
      </c>
      <c r="G44" s="57" t="n">
        <f aca="false">AP_Schedule!G34</f>
        <v>-94598</v>
      </c>
      <c r="H44" s="57" t="n">
        <f aca="false">AP_Schedule!H34</f>
        <v>-92282</v>
      </c>
      <c r="I44" s="57" t="n">
        <f aca="false">AP_Schedule!I34</f>
        <v>-96450</v>
      </c>
      <c r="J44" s="57" t="n">
        <f aca="false">AP_Schedule!J34</f>
        <v>-111411</v>
      </c>
      <c r="K44" s="57" t="n">
        <f aca="false">AP_Schedule!K34</f>
        <v>-101453</v>
      </c>
      <c r="L44" s="57" t="n">
        <f aca="false">AP_Schedule!L34</f>
        <v>-93444</v>
      </c>
      <c r="M44" s="57" t="n">
        <f aca="false">AP_Schedule!M34</f>
        <v>-98315.0236923962</v>
      </c>
      <c r="N44" s="57" t="n">
        <f aca="false">AP_Schedule!N34</f>
        <v>-136267.626048227</v>
      </c>
      <c r="O44" s="57" t="n">
        <f aca="false">AP_Schedule!O34</f>
        <v>-158930.950638378</v>
      </c>
      <c r="P44" s="57" t="n">
        <f aca="false">AP_Schedule!P34</f>
        <v>-142405.592781606</v>
      </c>
      <c r="Q44" s="57" t="n">
        <f aca="false">AP_Schedule!Q34</f>
        <v>-134860.042100271</v>
      </c>
      <c r="R44" s="57" t="n">
        <f aca="false">AP_Schedule!R34</f>
        <v>-121557.546109667</v>
      </c>
      <c r="S44" s="57" t="n">
        <f aca="false">AP_Schedule!S34</f>
        <v>-101823.266803996</v>
      </c>
      <c r="T44" s="57" t="n">
        <f aca="false">AP_Schedule!T34</f>
        <v>-111722.860268462</v>
      </c>
      <c r="U44" s="57" t="n">
        <f aca="false">AP_Schedule!U34</f>
        <v>-122008.12445418</v>
      </c>
      <c r="V44" s="57" t="n">
        <f aca="false">AP_Schedule!V34</f>
        <v>-120849.154121922</v>
      </c>
      <c r="W44" s="57" t="n">
        <f aca="false">AP_Schedule!W34</f>
        <v>-121035.878739426</v>
      </c>
      <c r="X44" s="57" t="n">
        <f aca="false">AP_Schedule!X34</f>
        <v>-123687.751737529</v>
      </c>
      <c r="Y44" s="57" t="n">
        <f aca="false">AP_Schedule!Y34</f>
        <v>-134433.53832103</v>
      </c>
      <c r="Z44" s="57" t="n">
        <f aca="false">AP_Schedule!Z34</f>
        <v>-154332.04587657</v>
      </c>
      <c r="AA44" s="57" t="n">
        <f aca="false">AP_Schedule!AA34</f>
        <v>-200317.888040561</v>
      </c>
      <c r="AB44" s="57" t="n">
        <f aca="false">AP_Schedule!AB34</f>
        <v>-189803.460508844</v>
      </c>
    </row>
    <row r="45" customFormat="false" ht="15" hidden="false" customHeight="true" outlineLevel="0" collapsed="false">
      <c r="A45" s="28" t="s">
        <v>439</v>
      </c>
      <c r="B45" s="55" t="s">
        <v>436</v>
      </c>
      <c r="C45" s="56" t="n">
        <f aca="false">SUM(E45:P45)</f>
        <v>-395080</v>
      </c>
      <c r="D45" s="56" t="n">
        <f aca="false">SUM(Q45:AB45)</f>
        <v>-503587.6</v>
      </c>
      <c r="E45" s="57" t="n">
        <f aca="false">-Opex!E58</f>
        <v>-29784</v>
      </c>
      <c r="F45" s="57" t="n">
        <f aca="false">-Opex!F58</f>
        <v>-29852</v>
      </c>
      <c r="G45" s="57" t="n">
        <f aca="false">-Opex!G58</f>
        <v>-29988</v>
      </c>
      <c r="H45" s="57" t="n">
        <f aca="false">-Opex!H58</f>
        <v>-32096</v>
      </c>
      <c r="I45" s="57" t="n">
        <f aca="false">-Opex!I58</f>
        <v>-32164</v>
      </c>
      <c r="J45" s="57" t="n">
        <f aca="false">-Opex!J58</f>
        <v>-32368</v>
      </c>
      <c r="K45" s="57" t="n">
        <f aca="false">-Opex!K58</f>
        <v>-32300</v>
      </c>
      <c r="L45" s="57" t="n">
        <f aca="false">-Opex!L58</f>
        <v>-32572</v>
      </c>
      <c r="M45" s="57" t="n">
        <f aca="false">-Opex!M58</f>
        <v>-33184</v>
      </c>
      <c r="N45" s="57" t="n">
        <f aca="false">-Opex!N58</f>
        <v>-35020</v>
      </c>
      <c r="O45" s="57" t="n">
        <f aca="false">-Opex!O58</f>
        <v>-37876</v>
      </c>
      <c r="P45" s="57" t="n">
        <f aca="false">-Opex!P58</f>
        <v>-37876</v>
      </c>
      <c r="Q45" s="57" t="n">
        <f aca="false">-Opex!Q58</f>
        <v>-39012.28</v>
      </c>
      <c r="R45" s="57" t="n">
        <f aca="false">-Opex!R58</f>
        <v>-42234.12</v>
      </c>
      <c r="S45" s="57" t="n">
        <f aca="false">-Opex!S58</f>
        <v>-42234.12</v>
      </c>
      <c r="T45" s="57" t="n">
        <f aca="false">-Opex!T58</f>
        <v>-42234.12</v>
      </c>
      <c r="U45" s="57" t="n">
        <f aca="false">-Opex!U58</f>
        <v>-42234.12</v>
      </c>
      <c r="V45" s="57" t="n">
        <f aca="false">-Opex!V58</f>
        <v>-42234.12</v>
      </c>
      <c r="W45" s="57" t="n">
        <f aca="false">-Opex!W58</f>
        <v>-42234.12</v>
      </c>
      <c r="X45" s="57" t="n">
        <f aca="false">-Opex!X58</f>
        <v>-42234.12</v>
      </c>
      <c r="Y45" s="57" t="n">
        <f aca="false">-Opex!Y58</f>
        <v>-42234.12</v>
      </c>
      <c r="Z45" s="57" t="n">
        <f aca="false">-Opex!Z58</f>
        <v>-42234.12</v>
      </c>
      <c r="AA45" s="57" t="n">
        <f aca="false">-Opex!AA58</f>
        <v>-42234.12</v>
      </c>
      <c r="AB45" s="57" t="n">
        <f aca="false">-Opex!AB58</f>
        <v>-42234.12</v>
      </c>
    </row>
    <row r="46" customFormat="false" ht="15" hidden="false" customHeight="true" outlineLevel="0" collapsed="false">
      <c r="A46" s="28" t="s">
        <v>440</v>
      </c>
      <c r="B46" s="55" t="s">
        <v>436</v>
      </c>
      <c r="C46" s="56" t="n">
        <f aca="false">SUM(E46:P46)</f>
        <v>-183996</v>
      </c>
      <c r="D46" s="56" t="n">
        <f aca="false">SUM(Q46:AB46)</f>
        <v>-234931.52</v>
      </c>
      <c r="E46" s="57" t="n">
        <f aca="false">Opex!E56</f>
        <v>-15900</v>
      </c>
      <c r="F46" s="57" t="n">
        <f aca="false">Opex!F56</f>
        <v>-14016</v>
      </c>
      <c r="G46" s="57" t="n">
        <f aca="false">Opex!G56</f>
        <v>-14048</v>
      </c>
      <c r="H46" s="57" t="n">
        <f aca="false">Opex!H56</f>
        <v>-14112</v>
      </c>
      <c r="I46" s="57" t="n">
        <f aca="false">Opex!I56</f>
        <v>-15104</v>
      </c>
      <c r="J46" s="57" t="n">
        <f aca="false">Opex!J56</f>
        <v>-15136</v>
      </c>
      <c r="K46" s="57" t="n">
        <f aca="false">Opex!K56</f>
        <v>-15232</v>
      </c>
      <c r="L46" s="57" t="n">
        <f aca="false">Opex!L56</f>
        <v>-15200</v>
      </c>
      <c r="M46" s="57" t="n">
        <f aca="false">Opex!M56</f>
        <v>-15328</v>
      </c>
      <c r="N46" s="57" t="n">
        <f aca="false">Opex!N56</f>
        <v>-15616</v>
      </c>
      <c r="O46" s="57" t="n">
        <f aca="false">Opex!O56</f>
        <v>-16480</v>
      </c>
      <c r="P46" s="57" t="n">
        <f aca="false">Opex!P56</f>
        <v>-17824</v>
      </c>
      <c r="Q46" s="57" t="n">
        <f aca="false">Opex!Q56</f>
        <v>-17824</v>
      </c>
      <c r="R46" s="57" t="n">
        <f aca="false">Opex!R56</f>
        <v>-18358.72</v>
      </c>
      <c r="S46" s="57" t="n">
        <f aca="false">Opex!S56</f>
        <v>-19874.88</v>
      </c>
      <c r="T46" s="57" t="n">
        <f aca="false">Opex!T56</f>
        <v>-19874.88</v>
      </c>
      <c r="U46" s="57" t="n">
        <f aca="false">Opex!U56</f>
        <v>-19874.88</v>
      </c>
      <c r="V46" s="57" t="n">
        <f aca="false">Opex!V56</f>
        <v>-19874.88</v>
      </c>
      <c r="W46" s="57" t="n">
        <f aca="false">Opex!W56</f>
        <v>-19874.88</v>
      </c>
      <c r="X46" s="57" t="n">
        <f aca="false">Opex!X56</f>
        <v>-19874.88</v>
      </c>
      <c r="Y46" s="57" t="n">
        <f aca="false">Opex!Y56</f>
        <v>-19874.88</v>
      </c>
      <c r="Z46" s="57" t="n">
        <f aca="false">Opex!Z56</f>
        <v>-19874.88</v>
      </c>
      <c r="AA46" s="57" t="n">
        <f aca="false">Opex!AA56</f>
        <v>-19874.88</v>
      </c>
      <c r="AB46" s="57" t="n">
        <f aca="false">Opex!AB56</f>
        <v>-19874.88</v>
      </c>
    </row>
    <row r="47" customFormat="false" ht="15" hidden="false" customHeight="true" outlineLevel="0" collapsed="false">
      <c r="A47" s="28" t="s">
        <v>441</v>
      </c>
      <c r="B47" s="55" t="s">
        <v>436</v>
      </c>
      <c r="C47" s="56" t="n">
        <f aca="false">SUM(E47:P47)</f>
        <v>-483000.666541807</v>
      </c>
      <c r="D47" s="56" t="n">
        <f aca="false">SUM(Q47:AB47)</f>
        <v>-777874.025890533</v>
      </c>
      <c r="E47" s="57" t="n">
        <f aca="false">VAT!E21</f>
        <v>-38700</v>
      </c>
      <c r="F47" s="57" t="n">
        <f aca="false">VAT!F21</f>
        <v>0</v>
      </c>
      <c r="G47" s="57" t="n">
        <f aca="false">VAT!G21</f>
        <v>0</v>
      </c>
      <c r="H47" s="57" t="n">
        <f aca="false">VAT!H21</f>
        <v>-133641.48025</v>
      </c>
      <c r="I47" s="57" t="n">
        <f aca="false">VAT!I21</f>
        <v>0</v>
      </c>
      <c r="J47" s="57" t="n">
        <f aca="false">VAT!J21</f>
        <v>0</v>
      </c>
      <c r="K47" s="57" t="n">
        <f aca="false">VAT!K21</f>
        <v>-160800.83735</v>
      </c>
      <c r="L47" s="57" t="n">
        <f aca="false">VAT!L21</f>
        <v>0</v>
      </c>
      <c r="M47" s="57" t="n">
        <f aca="false">VAT!M21</f>
        <v>0</v>
      </c>
      <c r="N47" s="57" t="n">
        <f aca="false">VAT!N21</f>
        <v>-149858.348941807</v>
      </c>
      <c r="O47" s="57" t="n">
        <f aca="false">VAT!O21</f>
        <v>0</v>
      </c>
      <c r="P47" s="57" t="n">
        <f aca="false">VAT!P21</f>
        <v>0</v>
      </c>
      <c r="Q47" s="57" t="n">
        <f aca="false">VAT!Q21</f>
        <v>-241870.52161391</v>
      </c>
      <c r="R47" s="57" t="n">
        <f aca="false">VAT!R21</f>
        <v>0</v>
      </c>
      <c r="S47" s="57" t="n">
        <f aca="false">VAT!S21</f>
        <v>0</v>
      </c>
      <c r="T47" s="57" t="n">
        <f aca="false">VAT!T21</f>
        <v>-151194.377936789</v>
      </c>
      <c r="U47" s="57" t="n">
        <f aca="false">VAT!U21</f>
        <v>0</v>
      </c>
      <c r="V47" s="57" t="n">
        <f aca="false">VAT!V21</f>
        <v>0</v>
      </c>
      <c r="W47" s="57" t="n">
        <f aca="false">VAT!W21</f>
        <v>-189271.711526516</v>
      </c>
      <c r="X47" s="57" t="n">
        <f aca="false">VAT!X21</f>
        <v>0</v>
      </c>
      <c r="Y47" s="57" t="n">
        <f aca="false">VAT!Y21</f>
        <v>0</v>
      </c>
      <c r="Z47" s="57" t="n">
        <f aca="false">VAT!Z21</f>
        <v>-195537.414813318</v>
      </c>
      <c r="AA47" s="57" t="n">
        <f aca="false">VAT!AA21</f>
        <v>0</v>
      </c>
      <c r="AB47" s="57" t="n">
        <f aca="false">VAT!AB21</f>
        <v>0</v>
      </c>
    </row>
    <row r="48" customFormat="false" ht="15" hidden="false" customHeight="true" outlineLevel="0" collapsed="false">
      <c r="A48" s="28" t="s">
        <v>420</v>
      </c>
      <c r="B48" s="55" t="s">
        <v>436</v>
      </c>
      <c r="C48" s="56" t="n">
        <f aca="false">SUM(E48:P48)</f>
        <v>-18400</v>
      </c>
      <c r="D48" s="56" t="n">
        <f aca="false">SUM(Q48:AB48)</f>
        <v>-14692.0359304071</v>
      </c>
      <c r="E48" s="57" t="n">
        <f aca="false">BS!E25</f>
        <v>0</v>
      </c>
      <c r="F48" s="57" t="n">
        <f aca="false">BS!F25</f>
        <v>0</v>
      </c>
      <c r="G48" s="57" t="n">
        <f aca="false">BS!G25</f>
        <v>0</v>
      </c>
      <c r="H48" s="57" t="n">
        <f aca="false">BS!H25</f>
        <v>-18400</v>
      </c>
      <c r="I48" s="57" t="n">
        <f aca="false">BS!I25</f>
        <v>0</v>
      </c>
      <c r="J48" s="57" t="n">
        <f aca="false">BS!J25</f>
        <v>0</v>
      </c>
      <c r="K48" s="57" t="n">
        <f aca="false">BS!K25</f>
        <v>0</v>
      </c>
      <c r="L48" s="57" t="n">
        <f aca="false">BS!L25</f>
        <v>0</v>
      </c>
      <c r="M48" s="57" t="n">
        <f aca="false">BS!M25</f>
        <v>0</v>
      </c>
      <c r="N48" s="57" t="n">
        <f aca="false">BS!N25</f>
        <v>0</v>
      </c>
      <c r="O48" s="57" t="n">
        <f aca="false">BS!O25</f>
        <v>0</v>
      </c>
      <c r="P48" s="57" t="n">
        <f aca="false">BS!P25</f>
        <v>0</v>
      </c>
      <c r="Q48" s="57" t="n">
        <f aca="false">BS!Q25</f>
        <v>0</v>
      </c>
      <c r="R48" s="57" t="n">
        <f aca="false">BS!R25</f>
        <v>0</v>
      </c>
      <c r="S48" s="57" t="n">
        <f aca="false">BS!S25</f>
        <v>0</v>
      </c>
      <c r="T48" s="57" t="n">
        <f aca="false">BS!T25</f>
        <v>-14692.0359304071</v>
      </c>
      <c r="U48" s="57" t="n">
        <f aca="false">BS!U25</f>
        <v>0</v>
      </c>
      <c r="V48" s="57" t="n">
        <f aca="false">BS!V25</f>
        <v>0</v>
      </c>
      <c r="W48" s="57" t="n">
        <f aca="false">BS!W25</f>
        <v>0</v>
      </c>
      <c r="X48" s="57" t="n">
        <f aca="false">BS!X25</f>
        <v>0</v>
      </c>
      <c r="Y48" s="57" t="n">
        <f aca="false">BS!Y25</f>
        <v>0</v>
      </c>
      <c r="Z48" s="57" t="n">
        <f aca="false">BS!Z25</f>
        <v>0</v>
      </c>
      <c r="AA48" s="57" t="n">
        <f aca="false">BS!AA25</f>
        <v>0</v>
      </c>
      <c r="AB48" s="57" t="n">
        <f aca="false">BS!AB25</f>
        <v>0</v>
      </c>
    </row>
    <row r="49" customFormat="false" ht="15" hidden="false" customHeight="true" outlineLevel="0" collapsed="false">
      <c r="A49" s="28" t="s">
        <v>419</v>
      </c>
      <c r="B49" s="55" t="s">
        <v>436</v>
      </c>
      <c r="C49" s="56" t="n">
        <f aca="false">SUM(E49:P49)</f>
        <v>-26979.2251692066</v>
      </c>
      <c r="D49" s="56" t="n">
        <f aca="false">SUM(Q49:AB49)</f>
        <v>-20063.7517586405</v>
      </c>
      <c r="E49" s="57" t="n">
        <f aca="false">-Debt!E12</f>
        <v>-2500</v>
      </c>
      <c r="F49" s="57" t="n">
        <f aca="false">-Debt!F12</f>
        <v>-2455.17774515567</v>
      </c>
      <c r="G49" s="57" t="n">
        <f aca="false">-Debt!G12</f>
        <v>-2410.07535121857</v>
      </c>
      <c r="H49" s="57" t="n">
        <f aca="false">-Debt!H12</f>
        <v>-2364.69106731935</v>
      </c>
      <c r="I49" s="57" t="n">
        <f aca="false">-Debt!I12</f>
        <v>-2319.02313164577</v>
      </c>
      <c r="J49" s="57" t="n">
        <f aca="false">-Debt!J12</f>
        <v>-2273.06977137423</v>
      </c>
      <c r="K49" s="57" t="n">
        <f aca="false">-Debt!K12</f>
        <v>-2226.82920260099</v>
      </c>
      <c r="L49" s="57" t="n">
        <f aca="false">-Debt!L12</f>
        <v>-2180.29963027292</v>
      </c>
      <c r="M49" s="57" t="n">
        <f aca="false">-Debt!M12</f>
        <v>-2133.4792481178</v>
      </c>
      <c r="N49" s="57" t="n">
        <f aca="false">-Debt!N12</f>
        <v>-2086.36623857421</v>
      </c>
      <c r="O49" s="57" t="n">
        <f aca="false">-Debt!O12</f>
        <v>-2038.95877272097</v>
      </c>
      <c r="P49" s="57" t="n">
        <f aca="false">-Debt!P12</f>
        <v>-1991.25501020614</v>
      </c>
      <c r="Q49" s="57" t="n">
        <f aca="false">-Debt!Q12</f>
        <v>-1943.2530991756</v>
      </c>
      <c r="R49" s="57" t="n">
        <f aca="false">-Debt!R12</f>
        <v>-1894.95117620112</v>
      </c>
      <c r="S49" s="57" t="n">
        <f aca="false">-Debt!S12</f>
        <v>-1846.34736620805</v>
      </c>
      <c r="T49" s="57" t="n">
        <f aca="false">-Debt!T12</f>
        <v>-1797.43978240253</v>
      </c>
      <c r="U49" s="57" t="n">
        <f aca="false">-Debt!U12</f>
        <v>-1748.22652619821</v>
      </c>
      <c r="V49" s="57" t="n">
        <f aca="false">-Debt!V12</f>
        <v>-1698.70568714262</v>
      </c>
      <c r="W49" s="57" t="n">
        <f aca="false">-Debt!W12</f>
        <v>-1648.87534284294</v>
      </c>
      <c r="X49" s="57" t="n">
        <f aca="false">-Debt!X12</f>
        <v>-1598.73355889138</v>
      </c>
      <c r="Y49" s="57" t="n">
        <f aca="false">-Debt!Y12</f>
        <v>-1548.27838879012</v>
      </c>
      <c r="Z49" s="57" t="n">
        <f aca="false">-Debt!Z12</f>
        <v>-1497.50787387573</v>
      </c>
      <c r="AA49" s="57" t="n">
        <f aca="false">-Debt!AA12</f>
        <v>-1446.42004324313</v>
      </c>
      <c r="AB49" s="57" t="n">
        <f aca="false">-Debt!AB12</f>
        <v>-1395.01291366907</v>
      </c>
    </row>
    <row r="50" customFormat="false" ht="15" hidden="false" customHeight="true" outlineLevel="0" collapsed="false">
      <c r="A50" s="28" t="s">
        <v>442</v>
      </c>
      <c r="B50" s="55" t="s">
        <v>436</v>
      </c>
      <c r="C50" s="56" t="n">
        <f aca="false">SUM(E50:P50)</f>
        <v>-6546.26995710496</v>
      </c>
      <c r="D50" s="56" t="n">
        <f aca="false">SUM(Q50:AB50)</f>
        <v>-8426.34001186206</v>
      </c>
      <c r="E50" s="57" t="n">
        <f aca="false">-Opex!E49</f>
        <v>-398</v>
      </c>
      <c r="F50" s="57" t="n">
        <f aca="false">-Opex!F49</f>
        <v>-399</v>
      </c>
      <c r="G50" s="57" t="n">
        <f aca="false">-Opex!G49</f>
        <v>-476</v>
      </c>
      <c r="H50" s="57" t="n">
        <f aca="false">-Opex!H49</f>
        <v>-463</v>
      </c>
      <c r="I50" s="57" t="n">
        <f aca="false">-Opex!I49</f>
        <v>-528</v>
      </c>
      <c r="J50" s="57" t="n">
        <f aca="false">-Opex!J49</f>
        <v>-485</v>
      </c>
      <c r="K50" s="57" t="n">
        <f aca="false">-Opex!K49</f>
        <v>-474</v>
      </c>
      <c r="L50" s="57" t="n">
        <f aca="false">-Opex!L49</f>
        <v>-496</v>
      </c>
      <c r="M50" s="57" t="n">
        <f aca="false">-Opex!M49</f>
        <v>-530.424197002129</v>
      </c>
      <c r="N50" s="57" t="n">
        <f aca="false">-Opex!N49</f>
        <v>-614.549368513455</v>
      </c>
      <c r="O50" s="57" t="n">
        <f aca="false">-Opex!O49</f>
        <v>-887.932176817908</v>
      </c>
      <c r="P50" s="57" t="n">
        <f aca="false">-Opex!P49</f>
        <v>-794.364214771471</v>
      </c>
      <c r="Q50" s="57" t="n">
        <f aca="false">-Opex!Q49</f>
        <v>-507.097462141708</v>
      </c>
      <c r="R50" s="57" t="n">
        <f aca="false">-Opex!R49</f>
        <v>-483.248484299349</v>
      </c>
      <c r="S50" s="57" t="n">
        <f aca="false">-Opex!S49</f>
        <v>-556.988575279522</v>
      </c>
      <c r="T50" s="57" t="n">
        <f aca="false">-Opex!T49</f>
        <v>-589.720658367503</v>
      </c>
      <c r="U50" s="57" t="n">
        <f aca="false">-Opex!U49</f>
        <v>-636.775074405699</v>
      </c>
      <c r="V50" s="57" t="n">
        <f aca="false">-Opex!V49</f>
        <v>-632.583364721798</v>
      </c>
      <c r="W50" s="57" t="n">
        <f aca="false">-Opex!W49</f>
        <v>-614.198961871584</v>
      </c>
      <c r="X50" s="57" t="n">
        <f aca="false">-Opex!X49</f>
        <v>-615.545989782134</v>
      </c>
      <c r="Y50" s="57" t="n">
        <f aca="false">-Opex!Y49</f>
        <v>-709.845429648678</v>
      </c>
      <c r="Z50" s="57" t="n">
        <f aca="false">-Opex!Z49</f>
        <v>-823.260954179467</v>
      </c>
      <c r="AA50" s="57" t="n">
        <f aca="false">-Opex!AA49</f>
        <v>-1190.71620662969</v>
      </c>
      <c r="AB50" s="57" t="n">
        <f aca="false">-Opex!AB49</f>
        <v>-1066.35885053493</v>
      </c>
    </row>
    <row r="51" customFormat="false" ht="15" hidden="false" customHeight="true" outlineLevel="0" collapsed="false">
      <c r="A51" s="28" t="s">
        <v>443</v>
      </c>
      <c r="B51" s="55" t="s">
        <v>436</v>
      </c>
      <c r="C51" s="56" t="n">
        <f aca="false">SUM(E51:P51)</f>
        <v>-24079</v>
      </c>
      <c r="D51" s="56" t="n">
        <f aca="false">SUM(Q51:AB51)</f>
        <v>-58080</v>
      </c>
      <c r="E51" s="57" t="n">
        <f aca="false">-Fixed_Assets!E27*(1+Assumptions!$C$19*Assumptions!$C$25)</f>
        <v>-2904</v>
      </c>
      <c r="F51" s="57" t="n">
        <f aca="false">-Fixed_Assets!F27*(1+Assumptions!$C$19*Assumptions!$C$25)</f>
        <v>-0</v>
      </c>
      <c r="G51" s="57" t="n">
        <f aca="false">-Fixed_Assets!G27*(1+Assumptions!$C$19*Assumptions!$C$25)</f>
        <v>-8228</v>
      </c>
      <c r="H51" s="57" t="n">
        <f aca="false">-Fixed_Assets!H27*(1+Assumptions!$C$19*Assumptions!$C$25)</f>
        <v>-0</v>
      </c>
      <c r="I51" s="57" t="n">
        <f aca="false">-Fixed_Assets!I27*(1+Assumptions!$C$19*Assumptions!$C$25)</f>
        <v>-1452</v>
      </c>
      <c r="J51" s="57" t="n">
        <f aca="false">-Fixed_Assets!J27*(1+Assumptions!$C$19*Assumptions!$C$25)</f>
        <v>-0</v>
      </c>
      <c r="K51" s="57" t="n">
        <f aca="false">-Fixed_Assets!K27*(1+Assumptions!$C$19*Assumptions!$C$25)</f>
        <v>-4235</v>
      </c>
      <c r="L51" s="57" t="n">
        <f aca="false">-Fixed_Assets!L27*(1+Assumptions!$C$19*Assumptions!$C$25)</f>
        <v>-0</v>
      </c>
      <c r="M51" s="57" t="n">
        <f aca="false">-Fixed_Assets!M27*(1+Assumptions!$C$19*Assumptions!$C$25)</f>
        <v>-1815</v>
      </c>
      <c r="N51" s="57" t="n">
        <f aca="false">-Fixed_Assets!N27*(1+Assumptions!$C$19*Assumptions!$C$25)</f>
        <v>-1815</v>
      </c>
      <c r="O51" s="57" t="n">
        <f aca="false">-Fixed_Assets!O27*(1+Assumptions!$C$19*Assumptions!$C$25)</f>
        <v>-1815</v>
      </c>
      <c r="P51" s="57" t="n">
        <f aca="false">-Fixed_Assets!P27*(1+Assumptions!$C$19*Assumptions!$C$25)</f>
        <v>-1815</v>
      </c>
      <c r="Q51" s="57" t="n">
        <f aca="false">-Fixed_Assets!Q27*(1+Assumptions!$C$19*Assumptions!$C$25)</f>
        <v>-1815</v>
      </c>
      <c r="R51" s="57" t="n">
        <f aca="false">-Fixed_Assets!R27*(1+Assumptions!$C$19*Assumptions!$C$25)</f>
        <v>-38115</v>
      </c>
      <c r="S51" s="57" t="n">
        <f aca="false">-Fixed_Assets!S27*(1+Assumptions!$C$19*Assumptions!$C$25)</f>
        <v>-1815</v>
      </c>
      <c r="T51" s="57" t="n">
        <f aca="false">-Fixed_Assets!T27*(1+Assumptions!$C$19*Assumptions!$C$25)</f>
        <v>-1815</v>
      </c>
      <c r="U51" s="57" t="n">
        <f aca="false">-Fixed_Assets!U27*(1+Assumptions!$C$19*Assumptions!$C$25)</f>
        <v>-1815</v>
      </c>
      <c r="V51" s="57" t="n">
        <f aca="false">-Fixed_Assets!V27*(1+Assumptions!$C$19*Assumptions!$C$25)</f>
        <v>-1815</v>
      </c>
      <c r="W51" s="57" t="n">
        <f aca="false">-Fixed_Assets!W27*(1+Assumptions!$C$19*Assumptions!$C$25)</f>
        <v>-1815</v>
      </c>
      <c r="X51" s="57" t="n">
        <f aca="false">-Fixed_Assets!X27*(1+Assumptions!$C$19*Assumptions!$C$25)</f>
        <v>-1815</v>
      </c>
      <c r="Y51" s="57" t="n">
        <f aca="false">-Fixed_Assets!Y27*(1+Assumptions!$C$19*Assumptions!$C$25)</f>
        <v>-1815</v>
      </c>
      <c r="Z51" s="57" t="n">
        <f aca="false">-Fixed_Assets!Z27*(1+Assumptions!$C$19*Assumptions!$C$25)</f>
        <v>-1815</v>
      </c>
      <c r="AA51" s="57" t="n">
        <f aca="false">-Fixed_Assets!AA27*(1+Assumptions!$C$19*Assumptions!$C$25)</f>
        <v>-1815</v>
      </c>
      <c r="AB51" s="57" t="n">
        <f aca="false">-Fixed_Assets!AB27*(1+Assumptions!$C$19*Assumptions!$C$25)</f>
        <v>-1815</v>
      </c>
    </row>
    <row r="52" customFormat="false" ht="15" hidden="false" customHeight="true" outlineLevel="0" collapsed="false">
      <c r="A52" s="28" t="s">
        <v>444</v>
      </c>
      <c r="B52" s="55" t="s">
        <v>436</v>
      </c>
      <c r="C52" s="56" t="n">
        <f aca="false">SUM(E52:P52)</f>
        <v>-89079.5041319033</v>
      </c>
      <c r="D52" s="56" t="n">
        <f aca="false">SUM(Q52:AB52)</f>
        <v>-95994.9775424694</v>
      </c>
      <c r="E52" s="57" t="n">
        <f aca="false">Debt!E13+Debt!E11</f>
        <v>-7171.56077509249</v>
      </c>
      <c r="F52" s="57" t="n">
        <f aca="false">Debt!F13+Debt!F11</f>
        <v>-7216.38302993682</v>
      </c>
      <c r="G52" s="57" t="n">
        <f aca="false">Debt!G13+Debt!G11</f>
        <v>-7261.48542387393</v>
      </c>
      <c r="H52" s="57" t="n">
        <f aca="false">Debt!H13+Debt!H11</f>
        <v>-7306.86970777314</v>
      </c>
      <c r="I52" s="57" t="n">
        <f aca="false">Debt!I13+Debt!I11</f>
        <v>-7352.53764344672</v>
      </c>
      <c r="J52" s="57" t="n">
        <f aca="false">Debt!J13+Debt!J11</f>
        <v>-7398.49100371826</v>
      </c>
      <c r="K52" s="57" t="n">
        <f aca="false">Debt!K13+Debt!K11</f>
        <v>-7444.7315724915</v>
      </c>
      <c r="L52" s="57" t="n">
        <f aca="false">Debt!L13+Debt!L11</f>
        <v>-7491.26114481957</v>
      </c>
      <c r="M52" s="57" t="n">
        <f aca="false">Debt!M13+Debt!M11</f>
        <v>-7538.08152697469</v>
      </c>
      <c r="N52" s="57" t="n">
        <f aca="false">Debt!N13+Debt!N11</f>
        <v>-7585.19453651829</v>
      </c>
      <c r="O52" s="57" t="n">
        <f aca="false">Debt!O13+Debt!O11</f>
        <v>-7632.60200237153</v>
      </c>
      <c r="P52" s="57" t="n">
        <f aca="false">Debt!P13+Debt!P11</f>
        <v>-7680.30576488635</v>
      </c>
      <c r="Q52" s="57" t="n">
        <f aca="false">Debt!Q13+Debt!Q11</f>
        <v>-7728.30767591689</v>
      </c>
      <c r="R52" s="57" t="n">
        <f aca="false">Debt!R13+Debt!R11</f>
        <v>-7776.60959889137</v>
      </c>
      <c r="S52" s="57" t="n">
        <f aca="false">Debt!S13+Debt!S11</f>
        <v>-7825.21340888444</v>
      </c>
      <c r="T52" s="57" t="n">
        <f aca="false">Debt!T13+Debt!T11</f>
        <v>-7874.12099268997</v>
      </c>
      <c r="U52" s="57" t="n">
        <f aca="false">Debt!U13+Debt!U11</f>
        <v>-7923.33424889428</v>
      </c>
      <c r="V52" s="57" t="n">
        <f aca="false">Debt!V13+Debt!V11</f>
        <v>-7972.85508794987</v>
      </c>
      <c r="W52" s="57" t="n">
        <f aca="false">Debt!W13+Debt!W11</f>
        <v>-8022.68543224956</v>
      </c>
      <c r="X52" s="57" t="n">
        <f aca="false">Debt!X13+Debt!X11</f>
        <v>-8072.82721620112</v>
      </c>
      <c r="Y52" s="57" t="n">
        <f aca="false">Debt!Y13+Debt!Y11</f>
        <v>-8123.28238630237</v>
      </c>
      <c r="Z52" s="57" t="n">
        <f aca="false">Debt!Z13+Debt!Z11</f>
        <v>-8174.05290121676</v>
      </c>
      <c r="AA52" s="57" t="n">
        <f aca="false">Debt!AA13+Debt!AA11</f>
        <v>-8225.14073184937</v>
      </c>
      <c r="AB52" s="57" t="n">
        <f aca="false">Debt!AB13+Debt!AB11</f>
        <v>-8276.54786142343</v>
      </c>
    </row>
    <row r="53" customFormat="false" ht="15" hidden="false" customHeight="true" outlineLevel="0" collapsed="false">
      <c r="A53" s="28" t="s">
        <v>389</v>
      </c>
      <c r="B53" s="55" t="s">
        <v>436</v>
      </c>
      <c r="C53" s="56" t="n">
        <f aca="false">SUM(E53:P53)</f>
        <v>0</v>
      </c>
      <c r="D53" s="56" t="n">
        <f aca="false">SUM(Q53:AB53)</f>
        <v>0</v>
      </c>
      <c r="E53" s="57" t="n">
        <f aca="false">-BS!E34</f>
        <v>-0</v>
      </c>
      <c r="F53" s="57" t="n">
        <f aca="false">-BS!F34</f>
        <v>-0</v>
      </c>
      <c r="G53" s="57" t="n">
        <f aca="false">-BS!G34</f>
        <v>-0</v>
      </c>
      <c r="H53" s="57" t="n">
        <f aca="false">-BS!H34</f>
        <v>-0</v>
      </c>
      <c r="I53" s="57" t="n">
        <f aca="false">-BS!I34</f>
        <v>-0</v>
      </c>
      <c r="J53" s="57" t="n">
        <f aca="false">-BS!J34</f>
        <v>-0</v>
      </c>
      <c r="K53" s="57" t="n">
        <f aca="false">-BS!K34</f>
        <v>-0</v>
      </c>
      <c r="L53" s="57" t="n">
        <f aca="false">-BS!L34</f>
        <v>-0</v>
      </c>
      <c r="M53" s="57" t="n">
        <f aca="false">-BS!M34</f>
        <v>-0</v>
      </c>
      <c r="N53" s="57" t="n">
        <f aca="false">-BS!N34</f>
        <v>-0</v>
      </c>
      <c r="O53" s="57" t="n">
        <f aca="false">-BS!O34</f>
        <v>-0</v>
      </c>
      <c r="P53" s="57" t="n">
        <f aca="false">-BS!P34</f>
        <v>-0</v>
      </c>
      <c r="Q53" s="57" t="n">
        <f aca="false">-BS!Q34</f>
        <v>-0</v>
      </c>
      <c r="R53" s="57" t="n">
        <f aca="false">-BS!R34</f>
        <v>-0</v>
      </c>
      <c r="S53" s="57" t="n">
        <f aca="false">-BS!S34</f>
        <v>-0</v>
      </c>
      <c r="T53" s="57" t="n">
        <f aca="false">-BS!T34</f>
        <v>-0</v>
      </c>
      <c r="U53" s="57" t="n">
        <f aca="false">-BS!U34</f>
        <v>-0</v>
      </c>
      <c r="V53" s="57" t="n">
        <f aca="false">-BS!V34</f>
        <v>-0</v>
      </c>
      <c r="W53" s="57" t="n">
        <f aca="false">-BS!W34</f>
        <v>-0</v>
      </c>
      <c r="X53" s="57" t="n">
        <f aca="false">-BS!X34</f>
        <v>-0</v>
      </c>
      <c r="Y53" s="57" t="n">
        <f aca="false">-BS!Y34</f>
        <v>-0</v>
      </c>
      <c r="Z53" s="57" t="n">
        <f aca="false">-BS!Z34</f>
        <v>-0</v>
      </c>
      <c r="AA53" s="57" t="n">
        <f aca="false">-BS!AA34</f>
        <v>-0</v>
      </c>
      <c r="AB53" s="57" t="n">
        <f aca="false">-BS!AB34</f>
        <v>-0</v>
      </c>
    </row>
    <row r="54" customFormat="false" ht="15" hidden="false" customHeight="true" outlineLevel="0" collapsed="false">
      <c r="A54" s="70" t="s">
        <v>445</v>
      </c>
      <c r="B54" s="71"/>
      <c r="C54" s="72" t="n">
        <f aca="false">SUM(E54:P54)</f>
        <v>231228.15905107</v>
      </c>
      <c r="D54" s="72" t="n">
        <f aca="false">SUM(Q54:AB54)</f>
        <v>-265079.857247782</v>
      </c>
      <c r="E54" s="72" t="n">
        <f aca="false">E42+E43+E44+E45+E46+E47+E48+E49+E50+E51+E52+E53</f>
        <v>16444.4392249075</v>
      </c>
      <c r="F54" s="72" t="n">
        <f aca="false">F42+F43+F44+F45+F46+F47+F48+F49+F50+F51+F52+F53</f>
        <v>-17823.5607750925</v>
      </c>
      <c r="G54" s="72" t="n">
        <f aca="false">G42+G43+G44+G45+G46+G47+G48+G49+G50+G51+G52+G53</f>
        <v>95121.4392249075</v>
      </c>
      <c r="H54" s="72" t="n">
        <f aca="false">H42+H43+H44+H45+H46+H47+H48+H49+H50+H51+H52+H53</f>
        <v>-145068.041025093</v>
      </c>
      <c r="I54" s="72" t="n">
        <f aca="false">I42+I43+I44+I45+I46+I47+I48+I49+I50+I51+I52+I53</f>
        <v>125215.439224908</v>
      </c>
      <c r="J54" s="72" t="n">
        <f aca="false">J42+J43+J44+J45+J46+J47+J48+J49+J50+J51+J52+J53</f>
        <v>41629.4392249075</v>
      </c>
      <c r="K54" s="72" t="n">
        <f aca="false">K42+K43+K44+K45+K46+K47+K48+K49+K50+K51+K52+K53</f>
        <v>-163141.398125092</v>
      </c>
      <c r="L54" s="72" t="n">
        <f aca="false">L42+L43+L44+L45+L46+L47+L48+L49+L50+L51+L52+L53</f>
        <v>59074.4392249075</v>
      </c>
      <c r="M54" s="72" t="n">
        <f aca="false">M42+M43+M44+M45+M46+M47+M48+M49+M50+M51+M52+M53</f>
        <v>-78771.0825484366</v>
      </c>
      <c r="N54" s="72" t="n">
        <f aca="false">N42+N43+N44+N45+N46+N47+N48+N49+N50+N51+N52+N53</f>
        <v>-24017.91544676</v>
      </c>
      <c r="O54" s="72" t="n">
        <f aca="false">O42+O43+O44+O45+O46+O47+O48+O49+O50+O51+O52+O53</f>
        <v>111277.842716892</v>
      </c>
      <c r="P54" s="72" t="n">
        <f aca="false">P42+P43+P44+P45+P46+P47+P48+P49+P50+P51+P52+P53</f>
        <v>211287.118130114</v>
      </c>
      <c r="Q54" s="72" t="n">
        <f aca="false">Q42+Q43+Q44+Q45+Q46+Q47+Q48+Q49+Q50+Q51+Q52+Q53</f>
        <v>-123481.321133358</v>
      </c>
      <c r="R54" s="72" t="n">
        <f aca="false">R42+R43+R44+R45+R46+R47+R48+R49+R50+R51+R52+R53</f>
        <v>-46401.1663754633</v>
      </c>
      <c r="S54" s="72" t="n">
        <f aca="false">S42+S43+S44+S45+S46+S47+S48+S49+S50+S51+S52+S53</f>
        <v>62655.9386648362</v>
      </c>
      <c r="T54" s="72" t="n">
        <f aca="false">T42+T43+T44+T45+T46+T47+T48+T49+T50+T51+T52+T53</f>
        <v>-118005.944847699</v>
      </c>
      <c r="U54" s="72" t="n">
        <f aca="false">U42+U43+U44+U45+U46+U47+U48+U49+U50+U51+U52+U53</f>
        <v>72324.5700003065</v>
      </c>
      <c r="V54" s="72" t="n">
        <f aca="false">V42+V43+V44+V45+V46+V47+V48+V49+V50+V51+V52+V53</f>
        <v>47091.8905963553</v>
      </c>
      <c r="W54" s="72" t="n">
        <f aca="false">W42+W43+W44+W45+W46+W47+W48+W49+W50+W51+W52+W53</f>
        <v>-245518.064613717</v>
      </c>
      <c r="X54" s="72" t="n">
        <f aca="false">X42+X43+X44+X45+X46+X47+X48+X49+X50+X51+X52+X53</f>
        <v>-2165.10408281556</v>
      </c>
      <c r="Y54" s="72" t="n">
        <f aca="false">Y42+Y43+Y44+Y45+Y46+Y47+Y48+Y49+Y50+Y51+Y52+Y53</f>
        <v>-139358.076817696</v>
      </c>
      <c r="Z54" s="72" t="n">
        <f aca="false">Z42+Z43+Z44+Z45+Z46+Z47+Z48+Z49+Z50+Z51+Z52+Z53</f>
        <v>-116545.663706645</v>
      </c>
      <c r="AA54" s="72" t="n">
        <f aca="false">AA42+AA43+AA44+AA45+AA46+AA47+AA48+AA49+AA50+AA51+AA52+AA53</f>
        <v>138726.434643239</v>
      </c>
      <c r="AB54" s="72" t="n">
        <f aca="false">AB42+AB43+AB44+AB45+AB46+AB47+AB48+AB49+AB50+AB51+AB52+AB53</f>
        <v>205596.650424876</v>
      </c>
    </row>
    <row r="55" customFormat="false" ht="15" hidden="false" customHeight="true" outlineLevel="0" collapsed="false">
      <c r="A55" s="70" t="s">
        <v>446</v>
      </c>
      <c r="B55" s="71"/>
      <c r="C55" s="72" t="n">
        <f aca="false">SUM(E55:P55)</f>
        <v>0</v>
      </c>
      <c r="D55" s="72" t="n">
        <f aca="false">SUM(Q55:AB55)</f>
        <v>0</v>
      </c>
      <c r="E55" s="72" t="n">
        <f aca="false">ROUND(E37-E54,2)</f>
        <v>0</v>
      </c>
      <c r="F55" s="72" t="n">
        <f aca="false">ROUND(F37-F54,2)</f>
        <v>0</v>
      </c>
      <c r="G55" s="72" t="n">
        <f aca="false">ROUND(G37-G54,2)</f>
        <v>0</v>
      </c>
      <c r="H55" s="72" t="n">
        <f aca="false">ROUND(H37-H54,2)</f>
        <v>0</v>
      </c>
      <c r="I55" s="72" t="n">
        <f aca="false">ROUND(I37-I54,2)</f>
        <v>0</v>
      </c>
      <c r="J55" s="72" t="n">
        <f aca="false">ROUND(J37-J54,2)</f>
        <v>0</v>
      </c>
      <c r="K55" s="72" t="n">
        <f aca="false">ROUND(K37-K54,2)</f>
        <v>0</v>
      </c>
      <c r="L55" s="72" t="n">
        <f aca="false">ROUND(L37-L54,2)</f>
        <v>0</v>
      </c>
      <c r="M55" s="72" t="n">
        <f aca="false">ROUND(M37-M54,2)</f>
        <v>0</v>
      </c>
      <c r="N55" s="72" t="n">
        <f aca="false">ROUND(N37-N54,2)</f>
        <v>0</v>
      </c>
      <c r="O55" s="72" t="n">
        <f aca="false">ROUND(O37-O54,2)</f>
        <v>0</v>
      </c>
      <c r="P55" s="72" t="n">
        <f aca="false">ROUND(P37-P54,2)</f>
        <v>0</v>
      </c>
      <c r="Q55" s="72" t="n">
        <f aca="false">ROUND(Q37-Q54,2)</f>
        <v>0</v>
      </c>
      <c r="R55" s="72" t="n">
        <f aca="false">ROUND(R37-R54,2)</f>
        <v>0</v>
      </c>
      <c r="S55" s="72" t="n">
        <f aca="false">ROUND(S37-S54,2)</f>
        <v>0</v>
      </c>
      <c r="T55" s="72" t="n">
        <f aca="false">ROUND(T37-T54,2)</f>
        <v>0</v>
      </c>
      <c r="U55" s="72" t="n">
        <f aca="false">ROUND(U37-U54,2)</f>
        <v>0</v>
      </c>
      <c r="V55" s="72" t="n">
        <f aca="false">ROUND(V37-V54,2)</f>
        <v>0</v>
      </c>
      <c r="W55" s="72" t="n">
        <f aca="false">ROUND(W37-W54,2)</f>
        <v>0</v>
      </c>
      <c r="X55" s="72" t="n">
        <f aca="false">ROUND(X37-X54,2)</f>
        <v>-0</v>
      </c>
      <c r="Y55" s="72" t="n">
        <f aca="false">ROUND(Y37-Y54,2)</f>
        <v>0</v>
      </c>
      <c r="Z55" s="72" t="n">
        <f aca="false">ROUND(Z37-Z54,2)</f>
        <v>0</v>
      </c>
      <c r="AA55" s="72" t="n">
        <f aca="false">ROUND(AA37-AA54,2)</f>
        <v>0</v>
      </c>
      <c r="AB55" s="72" t="n">
        <f aca="false">ROUND(AB37-AB54,2)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51"/>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4" min="2" style="1" width="14"/>
    <col collapsed="false" customWidth="true" hidden="false" outlineLevel="0" max="5" min="5" style="1" width="12"/>
    <col collapsed="false" customWidth="true" hidden="false" outlineLevel="0" max="8" min="6" style="1" width="14"/>
    <col collapsed="false" customWidth="true" hidden="false" outlineLevel="0" max="9" min="9" style="1" width="12"/>
    <col collapsed="false" customWidth="true" hidden="false" outlineLevel="0" max="10" min="10" style="1" width="60"/>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447</v>
      </c>
    </row>
    <row r="3" customFormat="false" ht="15" hidden="false" customHeight="true" outlineLevel="0" collapsed="false">
      <c r="A3" s="25" t="s">
        <v>448</v>
      </c>
    </row>
    <row r="5" customFormat="false" ht="15" hidden="false" customHeight="true" outlineLevel="0" collapsed="false">
      <c r="A5" s="26" t="s">
        <v>257</v>
      </c>
      <c r="B5" s="27" t="s">
        <v>449</v>
      </c>
      <c r="C5" s="27" t="s">
        <v>450</v>
      </c>
      <c r="D5" s="27" t="s">
        <v>451</v>
      </c>
      <c r="E5" s="27" t="s">
        <v>452</v>
      </c>
      <c r="F5" s="27" t="s">
        <v>453</v>
      </c>
      <c r="G5" s="27" t="s">
        <v>454</v>
      </c>
      <c r="H5" s="27" t="s">
        <v>451</v>
      </c>
      <c r="I5" s="27" t="s">
        <v>452</v>
      </c>
      <c r="J5" s="27" t="s">
        <v>455</v>
      </c>
    </row>
    <row r="6" customFormat="false" ht="15" hidden="false" customHeight="true" outlineLevel="0" collapsed="false">
      <c r="A6" s="22" t="s">
        <v>456</v>
      </c>
      <c r="B6" s="23"/>
      <c r="C6" s="23"/>
      <c r="D6" s="23"/>
      <c r="E6" s="23"/>
      <c r="F6" s="23"/>
      <c r="G6" s="23"/>
      <c r="H6" s="23"/>
      <c r="I6" s="23"/>
      <c r="J6" s="23"/>
    </row>
    <row r="7" customFormat="false" ht="15" hidden="false" customHeight="true" outlineLevel="0" collapsed="false">
      <c r="A7" s="28" t="s">
        <v>457</v>
      </c>
      <c r="B7" s="57" t="n">
        <f aca="false">SUMIFS(Channel_PL!$E$11:$AB$11,Assumptions!$E$63:$AB$63,"A")</f>
        <v>15614</v>
      </c>
      <c r="C7" s="57" t="n">
        <f aca="false">SUMIFS(Budget_FY26!$E$9:$P$9,Assumptions!$E$62:$P$62,"&lt;="&amp;Assumptions!$C$10)</f>
        <v>16560</v>
      </c>
      <c r="D7" s="69" t="n">
        <f aca="false">B7-C7</f>
        <v>-946</v>
      </c>
      <c r="E7" s="58" t="n">
        <f aca="false">IF(C7=0,0,D7/ABS(C7))</f>
        <v>-0.0571256038647343</v>
      </c>
      <c r="F7" s="57" t="n">
        <f aca="false">Channel_PL!$C$11</f>
        <v>27020.217211629</v>
      </c>
      <c r="G7" s="57" t="n">
        <f aca="false">Budget_FY26!$C$9</f>
        <v>28221</v>
      </c>
      <c r="H7" s="69" t="n">
        <f aca="false">F7-G7</f>
        <v>-1200.78278837097</v>
      </c>
      <c r="I7" s="58" t="n">
        <f aca="false">IF(G7=0,0,H7/ABS(G7))</f>
        <v>-0.0425492643198672</v>
      </c>
      <c r="J7" s="46"/>
    </row>
    <row r="8" customFormat="false" ht="15" hidden="false" customHeight="true" outlineLevel="0" collapsed="false">
      <c r="A8" s="28" t="s">
        <v>458</v>
      </c>
      <c r="B8" s="57" t="n">
        <f aca="false">SUMIFS(Channel_PL!$E$49:$AB$49,Assumptions!$E$63:$AB$63,"A")</f>
        <v>18746</v>
      </c>
      <c r="C8" s="57" t="n">
        <f aca="false">SUMIFS(Budget_FY26!$E$10:$P$10,Assumptions!$E$62:$P$62,"&lt;="&amp;Assumptions!$C$10)</f>
        <v>19440</v>
      </c>
      <c r="D8" s="69" t="n">
        <f aca="false">B8-C8</f>
        <v>-694</v>
      </c>
      <c r="E8" s="58" t="n">
        <f aca="false">IF(C8=0,0,D8/ABS(C8))</f>
        <v>-0.0356995884773663</v>
      </c>
      <c r="F8" s="57" t="n">
        <f aca="false">Channel_PL!$C$49</f>
        <v>32693.7538960438</v>
      </c>
      <c r="G8" s="57" t="n">
        <f aca="false">Budget_FY26!$C$10</f>
        <v>33129</v>
      </c>
      <c r="H8" s="69" t="n">
        <f aca="false">F8-G8</f>
        <v>-435.246103956153</v>
      </c>
      <c r="I8" s="58" t="n">
        <f aca="false">IF(G8=0,0,H8/ABS(G8))</f>
        <v>-0.013137918559454</v>
      </c>
      <c r="J8" s="46"/>
    </row>
    <row r="9" customFormat="false" ht="21.75" hidden="false" customHeight="true" outlineLevel="0" collapsed="false">
      <c r="A9" s="28" t="s">
        <v>459</v>
      </c>
      <c r="B9" s="57" t="n">
        <f aca="false">SUMIFS(Channel_PL!$E$83:$AB$83,Assumptions!$E$63:$AB$63,"A")</f>
        <v>3488</v>
      </c>
      <c r="C9" s="57" t="n">
        <f aca="false">SUMIFS(Budget_FY26!$E$11:$P$11,Assumptions!$E$62:$P$62,"&lt;="&amp;Assumptions!$C$10)</f>
        <v>5220</v>
      </c>
      <c r="D9" s="69" t="n">
        <f aca="false">B9-C9</f>
        <v>-1732</v>
      </c>
      <c r="E9" s="58" t="n">
        <f aca="false">IF(C9=0,0,D9/ABS(C9))</f>
        <v>-0.331800766283525</v>
      </c>
      <c r="F9" s="57" t="n">
        <f aca="false">Channel_PL!$C$83</f>
        <v>7405.85000154479</v>
      </c>
      <c r="G9" s="57" t="n">
        <f aca="false">Budget_FY26!$C$11</f>
        <v>10770</v>
      </c>
      <c r="H9" s="69" t="n">
        <f aca="false">F9-G9</f>
        <v>-3364.14999845521</v>
      </c>
      <c r="I9" s="58" t="n">
        <f aca="false">IF(G9=0,0,H9/ABS(G9))</f>
        <v>-0.312363045353316</v>
      </c>
      <c r="J9" s="46" t="str">
        <f aca="false">"Walmart ramp "&amp;TEXT(ABS(E9),"0%")&amp;" behind the budgeted launch curve; go or no-go review at 900 orders a month."</f>
        <v>Walmart ramp 33% behind the budgeted launch curve; go or no-go review at 900 orders a month.</v>
      </c>
    </row>
    <row r="10" customFormat="false" ht="15" hidden="false" customHeight="true" outlineLevel="0" collapsed="false">
      <c r="A10" s="22" t="s">
        <v>460</v>
      </c>
      <c r="B10" s="23"/>
      <c r="C10" s="23"/>
      <c r="D10" s="23"/>
      <c r="E10" s="23"/>
      <c r="F10" s="23"/>
      <c r="G10" s="23"/>
      <c r="H10" s="23"/>
      <c r="I10" s="23"/>
      <c r="J10" s="23"/>
    </row>
    <row r="11" customFormat="false" ht="15" hidden="false" customHeight="true" outlineLevel="0" collapsed="false">
      <c r="A11" s="28" t="s">
        <v>306</v>
      </c>
      <c r="B11" s="57" t="n">
        <f aca="false">SUMIFS(PL!$E$9:$AB$9,Assumptions!$E$63:$AB$63,"A")</f>
        <v>1149062.11</v>
      </c>
      <c r="C11" s="57" t="n">
        <f aca="false">SUMIFS(Budget_FY26!$E$21:$P$21,Assumptions!$E$62:$P$62,"&lt;="&amp;Assumptions!$C$10)</f>
        <v>1225440</v>
      </c>
      <c r="D11" s="69" t="n">
        <f aca="false">B11-C11</f>
        <v>-76377.8900000001</v>
      </c>
      <c r="E11" s="58" t="n">
        <f aca="false">IF(C11=0,0,D11/ABS(C11))</f>
        <v>-0.0623269111502808</v>
      </c>
      <c r="F11" s="57" t="n">
        <f aca="false">PL!$C$9</f>
        <v>2001235.78300345</v>
      </c>
      <c r="G11" s="57" t="n">
        <f aca="false">Budget_FY26!$C$21</f>
        <v>2088354</v>
      </c>
      <c r="H11" s="69" t="n">
        <f aca="false">F11-G11</f>
        <v>-87118.2169965529</v>
      </c>
      <c r="I11" s="58" t="n">
        <f aca="false">IF(G11=0,0,H11/ABS(G11))</f>
        <v>-0.0417162114261054</v>
      </c>
      <c r="J11" s="46"/>
    </row>
    <row r="12" customFormat="false" ht="15" hidden="false" customHeight="true" outlineLevel="0" collapsed="false">
      <c r="A12" s="28" t="s">
        <v>307</v>
      </c>
      <c r="B12" s="57" t="n">
        <f aca="false">SUMIFS(PL!$E$10:$AB$10,Assumptions!$E$63:$AB$63,"A")</f>
        <v>1043911.06</v>
      </c>
      <c r="C12" s="57" t="n">
        <f aca="false">SUMIFS(Budget_FY26!$E$22:$P$22,Assumptions!$E$62:$P$62,"&lt;="&amp;Assumptions!$C$10)</f>
        <v>1108080</v>
      </c>
      <c r="D12" s="69" t="n">
        <f aca="false">B12-C12</f>
        <v>-64168.9399999999</v>
      </c>
      <c r="E12" s="58" t="n">
        <f aca="false">IF(C12=0,0,D12/ABS(C12))</f>
        <v>-0.0579100245469641</v>
      </c>
      <c r="F12" s="57" t="n">
        <f aca="false">PL!$C$10</f>
        <v>1821897.38568434</v>
      </c>
      <c r="G12" s="57" t="n">
        <f aca="false">Budget_FY26!$C$22</f>
        <v>1888353</v>
      </c>
      <c r="H12" s="69" t="n">
        <f aca="false">F12-G12</f>
        <v>-66455.6143156611</v>
      </c>
      <c r="I12" s="58" t="n">
        <f aca="false">IF(G12=0,0,H12/ABS(G12))</f>
        <v>-0.0351923683313772</v>
      </c>
      <c r="J12" s="46"/>
    </row>
    <row r="13" customFormat="false" ht="15" hidden="false" customHeight="true" outlineLevel="0" collapsed="false">
      <c r="A13" s="28" t="s">
        <v>308</v>
      </c>
      <c r="B13" s="57" t="n">
        <f aca="false">SUMIFS(PL!$E$11:$AB$11,Assumptions!$E$63:$AB$63,"A")</f>
        <v>232757.146356387</v>
      </c>
      <c r="C13" s="57" t="n">
        <f aca="false">SUMIFS(Budget_FY26!$E$23:$P$23,Assumptions!$E$62:$P$62,"&lt;="&amp;Assumptions!$C$10)</f>
        <v>287100</v>
      </c>
      <c r="D13" s="69" t="n">
        <f aca="false">B13-C13</f>
        <v>-54342.8536436129</v>
      </c>
      <c r="E13" s="58" t="n">
        <f aca="false">IF(C13=0,0,D13/ABS(C13))</f>
        <v>-0.189281970197189</v>
      </c>
      <c r="F13" s="57" t="n">
        <f aca="false">PL!$C$11</f>
        <v>487443.785738576</v>
      </c>
      <c r="G13" s="57" t="n">
        <f aca="false">Budget_FY26!$C$23</f>
        <v>592350</v>
      </c>
      <c r="H13" s="69" t="n">
        <f aca="false">F13-G13</f>
        <v>-104906.214261424</v>
      </c>
      <c r="I13" s="58" t="n">
        <f aca="false">IF(G13=0,0,H13/ABS(G13))</f>
        <v>-0.177101737589979</v>
      </c>
      <c r="J13" s="46"/>
    </row>
    <row r="14" customFormat="false" ht="15" hidden="false" customHeight="true" outlineLevel="0" collapsed="false">
      <c r="A14" s="75" t="s">
        <v>312</v>
      </c>
      <c r="B14" s="73" t="n">
        <f aca="false">SUMIFS(PL!$E$12:$AB$12,Assumptions!$E$63:$AB$63,"A")</f>
        <v>2425730.31635639</v>
      </c>
      <c r="C14" s="73" t="n">
        <f aca="false">SUMIFS(Budget_FY26!$E$24:$P$24,Assumptions!$E$62:$P$62,"&lt;="&amp;Assumptions!$C$10)</f>
        <v>2620620</v>
      </c>
      <c r="D14" s="72" t="n">
        <f aca="false">B14-C14</f>
        <v>-194889.683643613</v>
      </c>
      <c r="E14" s="76" t="n">
        <f aca="false">IF(C14=0,0,D14/ABS(C14))</f>
        <v>-0.074367776954924</v>
      </c>
      <c r="F14" s="73" t="n">
        <f aca="false">PL!$C$12</f>
        <v>4310576.95442636</v>
      </c>
      <c r="G14" s="73" t="n">
        <f aca="false">Budget_FY26!$C$24</f>
        <v>4569057</v>
      </c>
      <c r="H14" s="72" t="n">
        <f aca="false">F14-G14</f>
        <v>-258480.045573638</v>
      </c>
      <c r="I14" s="76" t="n">
        <f aca="false">IF(G14=0,0,H14/ABS(G14))</f>
        <v>-0.056571858388643</v>
      </c>
      <c r="J14" s="77" t="str">
        <f aca="false">"Volume effect EUR "&amp;TEXT(BvA!F49/1000,"#,##0")&amp;"k, price and mix EUR "&amp;TEXT(BvA!G49/1000,"#,##0")&amp;"k (bridge below)."</f>
        <v>Volume effect EUR -212k, price and mix EUR 17k (bridge below).</v>
      </c>
    </row>
    <row r="15" customFormat="false" ht="15" hidden="false" customHeight="true" outlineLevel="0" collapsed="false">
      <c r="A15" s="28" t="s">
        <v>461</v>
      </c>
      <c r="B15" s="57" t="n">
        <f aca="false">SUMIFS(PL!$E$17:$AB$17,Assumptions!$E$63:$AB$63,"A")+SUMIFS(PL!$E$18:$AB$18,Assumptions!$E$63:$AB$63,"A")+SUMIFS(PL!$E$13:$AB$13,Assumptions!$E$63:$AB$63,"A")</f>
        <v>-886793.598716861</v>
      </c>
      <c r="C15" s="57" t="n">
        <f aca="false">SUMIFS(Budget_FY26!$E$29:$P$29,Assumptions!$E$62:$P$62,"&lt;="&amp;Assumptions!$C$10)</f>
        <v>-982732.5</v>
      </c>
      <c r="D15" s="69" t="n">
        <f aca="false">B15-C15</f>
        <v>95938.9012831387</v>
      </c>
      <c r="E15" s="58" t="n">
        <f aca="false">IF(C15=0,0,D15/ABS(C15))</f>
        <v>0.0976246346621676</v>
      </c>
      <c r="F15" s="57" t="n">
        <f aca="false">PL!$C$17+PL!$C$18+PL!$C$13</f>
        <v>-1598761.73974305</v>
      </c>
      <c r="G15" s="57" t="n">
        <f aca="false">Budget_FY26!$C$29</f>
        <v>-1713396.375</v>
      </c>
      <c r="H15" s="69" t="n">
        <f aca="false">F15-G15</f>
        <v>114634.635256954</v>
      </c>
      <c r="I15" s="58" t="n">
        <f aca="false">IF(G15=0,0,H15/ABS(G15))</f>
        <v>0.0669049129142424</v>
      </c>
      <c r="J15" s="46"/>
    </row>
    <row r="16" customFormat="false" ht="15" hidden="false" customHeight="true" outlineLevel="0" collapsed="false">
      <c r="A16" s="75" t="s">
        <v>319</v>
      </c>
      <c r="B16" s="73" t="n">
        <f aca="false">SUMIFS(PL!$E$19:$AB$19,Assumptions!$E$63:$AB$63,"A")</f>
        <v>1538936.71763953</v>
      </c>
      <c r="C16" s="73" t="n">
        <f aca="false">SUMIFS(Budget_FY26!$E$30:$P$30,Assumptions!$E$62:$P$62,"&lt;="&amp;Assumptions!$C$10)</f>
        <v>1637887.5</v>
      </c>
      <c r="D16" s="72" t="n">
        <f aca="false">B16-C16</f>
        <v>-98950.7823604741</v>
      </c>
      <c r="E16" s="76" t="n">
        <f aca="false">IF(C16=0,0,D16/ABS(C16))</f>
        <v>-0.0604136623305777</v>
      </c>
      <c r="F16" s="73" t="n">
        <f aca="false">PL!$C$19</f>
        <v>2711815.21468332</v>
      </c>
      <c r="G16" s="73" t="n">
        <f aca="false">Budget_FY26!$C$30</f>
        <v>2855660.625</v>
      </c>
      <c r="H16" s="72" t="n">
        <f aca="false">F16-G16</f>
        <v>-143845.410316684</v>
      </c>
      <c r="I16" s="76" t="n">
        <f aca="false">IF(G16=0,0,H16/ABS(G16))</f>
        <v>-0.0503720256732833</v>
      </c>
      <c r="J16" s="77"/>
    </row>
    <row r="17" customFormat="false" ht="21.75" hidden="false" customHeight="true" outlineLevel="0" collapsed="false">
      <c r="A17" s="28" t="s">
        <v>269</v>
      </c>
      <c r="B17" s="58" t="n">
        <f aca="false">IF(B14=0,0,B16/B14)</f>
        <v>0.634422016026544</v>
      </c>
      <c r="C17" s="58" t="n">
        <f aca="false">IF(C14=0,0,C16/C14)</f>
        <v>0.625</v>
      </c>
      <c r="D17" s="58" t="n">
        <f aca="false">B17-C17</f>
        <v>0.00942201602654424</v>
      </c>
      <c r="E17" s="16"/>
      <c r="F17" s="58" t="n">
        <f aca="false">IF(F14=0,0,F16/F14)</f>
        <v>0.629107250225207</v>
      </c>
      <c r="G17" s="58" t="n">
        <f aca="false">IF(G14=0,0,G16/G14)</f>
        <v>0.625</v>
      </c>
      <c r="H17" s="58" t="n">
        <f aca="false">F17-G17</f>
        <v>0.00410725022520686</v>
      </c>
      <c r="I17" s="16"/>
      <c r="J17" s="46" t="str">
        <f aca="false">"Product margin "&amp;TEXT(ABS(D17)*100,"0.0")&amp;" points "&amp;IF(D17&gt;=0,"better","worse")&amp;" than budget: landed cost inflation below plan, recovery of returned stock included."</f>
        <v>Product margin 0.9 points better than budget: landed cost inflation below plan, recovery of returned stock included.</v>
      </c>
    </row>
    <row r="18" customFormat="false" ht="21.75" hidden="false" customHeight="true" outlineLevel="0" collapsed="false">
      <c r="A18" s="28" t="s">
        <v>462</v>
      </c>
      <c r="B18" s="57" t="n">
        <f aca="false">SUMIFS(PL!$E$24:$AB$24,Assumptions!$E$63:$AB$63,"A")</f>
        <v>-549699.836584427</v>
      </c>
      <c r="C18" s="57" t="n">
        <f aca="false">SUMIFS(Budget_FY26!$E$34:$P$34,Assumptions!$E$62:$P$62,"&lt;="&amp;Assumptions!$C$10)</f>
        <v>-523227.6</v>
      </c>
      <c r="D18" s="69" t="n">
        <f aca="false">B18-C18</f>
        <v>-26472.2365844274</v>
      </c>
      <c r="E18" s="58" t="n">
        <f aca="false">IF(C18=0,0,D18/ABS(C18))</f>
        <v>-0.0505941135070615</v>
      </c>
      <c r="F18" s="57" t="n">
        <f aca="false">PL!$C$24</f>
        <v>-993286.388285036</v>
      </c>
      <c r="G18" s="57" t="n">
        <f aca="false">Budget_FY26!$C$34</f>
        <v>-918468.81</v>
      </c>
      <c r="H18" s="69" t="n">
        <f aca="false">F18-G18</f>
        <v>-74817.5782850358</v>
      </c>
      <c r="I18" s="58" t="n">
        <f aca="false">IF(G18=0,0,H18/ABS(G18))</f>
        <v>-0.0814590299316052</v>
      </c>
      <c r="J18" s="46" t="str">
        <f aca="false">"Amazon fee changes and peak storage multiplier; "&amp;TEXT(ABS(E18),"0.0%")&amp;" over budget on "&amp;TEXT(E14,"0.0%")&amp;" revenue."</f>
        <v>Amazon fee changes and peak storage multiplier; 5.1% over budget on -7.4% revenue.</v>
      </c>
    </row>
    <row r="19" customFormat="false" ht="15" hidden="false" customHeight="true" outlineLevel="0" collapsed="false">
      <c r="A19" s="75" t="s">
        <v>324</v>
      </c>
      <c r="B19" s="73" t="n">
        <f aca="false">SUMIFS(PL!$E$25:$AB$25,Assumptions!$E$63:$AB$63,"A")</f>
        <v>989236.881055099</v>
      </c>
      <c r="C19" s="73" t="n">
        <f aca="false">SUMIFS(Budget_FY26!$E$35:$P$35,Assumptions!$E$62:$P$62,"&lt;="&amp;Assumptions!$C$10)</f>
        <v>1114659.9</v>
      </c>
      <c r="D19" s="72" t="n">
        <f aca="false">B19-C19</f>
        <v>-125423.018944901</v>
      </c>
      <c r="E19" s="76" t="n">
        <f aca="false">IF(C19=0,0,D19/ABS(C19))</f>
        <v>-0.112521334036419</v>
      </c>
      <c r="F19" s="73" t="n">
        <f aca="false">PL!$C$25</f>
        <v>1718528.82639828</v>
      </c>
      <c r="G19" s="73" t="n">
        <f aca="false">Budget_FY26!$C$35</f>
        <v>1937191.815</v>
      </c>
      <c r="H19" s="72" t="n">
        <f aca="false">F19-G19</f>
        <v>-218662.98860172</v>
      </c>
      <c r="I19" s="76" t="n">
        <f aca="false">IF(G19=0,0,H19/ABS(G19))</f>
        <v>-0.11287627116147</v>
      </c>
      <c r="J19" s="77"/>
    </row>
    <row r="20" customFormat="false" ht="21.75" hidden="false" customHeight="true" outlineLevel="0" collapsed="false">
      <c r="A20" s="28" t="s">
        <v>463</v>
      </c>
      <c r="B20" s="57" t="n">
        <f aca="false">SUMIFS(PL!$E$31:$AB$31,Assumptions!$E$63:$AB$63,"A")</f>
        <v>-341980.456062107</v>
      </c>
      <c r="C20" s="57" t="n">
        <f aca="false">SUMIFS(Budget_FY26!$E$42:$P$42,Assumptions!$E$62:$P$62,"&lt;="&amp;Assumptions!$C$10)</f>
        <v>-334092.6</v>
      </c>
      <c r="D20" s="69" t="n">
        <f aca="false">B20-C20</f>
        <v>-7887.85606210673</v>
      </c>
      <c r="E20" s="58" t="n">
        <f aca="false">IF(C20=0,0,D20/ABS(C20))</f>
        <v>-0.0236097898070976</v>
      </c>
      <c r="F20" s="57" t="n">
        <f aca="false">PL!$C$31</f>
        <v>-608364.551598637</v>
      </c>
      <c r="G20" s="57" t="n">
        <f aca="false">Budget_FY26!$C$42</f>
        <v>-580688.685</v>
      </c>
      <c r="H20" s="69" t="n">
        <f aca="false">F20-G20</f>
        <v>-27675.8665986366</v>
      </c>
      <c r="I20" s="58" t="n">
        <f aca="false">IF(G20=0,0,H20/ABS(G20))</f>
        <v>-0.0476604199694999</v>
      </c>
      <c r="J20" s="46" t="str">
        <f aca="false">"Spend near budget, efficiency not: Shopify CAC EUR "&amp;TEXT(INDEX(Channel_PL!$E$44:$AB$44,1),"0")&amp;" in Jan vs EUR "&amp;TEXT(INDEX(Channel_PL!$E$44:$AB$44,Assumptions!$C$10),"0")&amp;" at the last actual month."</f>
        <v>Spend near budget, efficiency not: Shopify CAC EUR 21 in Jan vs EUR 26 at the last actual month.</v>
      </c>
    </row>
    <row r="21" customFormat="false" ht="15" hidden="false" customHeight="true" outlineLevel="0" collapsed="false">
      <c r="A21" s="75" t="s">
        <v>330</v>
      </c>
      <c r="B21" s="73" t="n">
        <f aca="false">SUMIFS(PL!$E$32:$AB$32,Assumptions!$E$63:$AB$63,"A")</f>
        <v>647256.424992992</v>
      </c>
      <c r="C21" s="73" t="n">
        <f aca="false">SUMIFS(Budget_FY26!$E$43:$P$43,Assumptions!$E$62:$P$62,"&lt;="&amp;Assumptions!$C$10)</f>
        <v>780567.3</v>
      </c>
      <c r="D21" s="72" t="n">
        <f aca="false">B21-C21</f>
        <v>-133310.875007008</v>
      </c>
      <c r="E21" s="76" t="n">
        <f aca="false">IF(C21=0,0,D21/ABS(C21))</f>
        <v>-0.170787163396427</v>
      </c>
      <c r="F21" s="73" t="n">
        <f aca="false">PL!$C$32</f>
        <v>1110164.27479964</v>
      </c>
      <c r="G21" s="73" t="n">
        <f aca="false">Budget_FY26!$C$43</f>
        <v>1356503.13</v>
      </c>
      <c r="H21" s="72" t="n">
        <f aca="false">F21-G21</f>
        <v>-246338.855200357</v>
      </c>
      <c r="I21" s="76" t="n">
        <f aca="false">IF(G21=0,0,H21/ABS(G21))</f>
        <v>-0.181598442165302</v>
      </c>
      <c r="J21" s="77"/>
    </row>
    <row r="22" customFormat="false" ht="15" hidden="false" customHeight="true" outlineLevel="0" collapsed="false">
      <c r="A22" s="28" t="s">
        <v>271</v>
      </c>
      <c r="B22" s="58" t="n">
        <f aca="false">IF(B14=0,0,B21/B14)</f>
        <v>0.266829507232781</v>
      </c>
      <c r="C22" s="58" t="n">
        <f aca="false">IF(C14=0,0,C21/C14)</f>
        <v>0.297855965382238</v>
      </c>
      <c r="D22" s="58" t="n">
        <f aca="false">B22-C22</f>
        <v>-0.0310264581494571</v>
      </c>
      <c r="E22" s="16"/>
      <c r="F22" s="58" t="n">
        <f aca="false">IF(F14=0,0,F21/F14)</f>
        <v>0.257544242113497</v>
      </c>
      <c r="G22" s="58" t="n">
        <f aca="false">IF(G14=0,0,G21/G14)</f>
        <v>0.296889080175625</v>
      </c>
      <c r="H22" s="58" t="n">
        <f aca="false">F22-G22</f>
        <v>-0.0393448380621279</v>
      </c>
      <c r="I22" s="16"/>
      <c r="J22" s="46" t="str">
        <f aca="false">"Gap of "&amp;TEXT(ABS(D22)*100,"0.0")&amp;" points on full-year revenue is worth EUR "&amp;TEXT(ABS(D22)*F14/1000,"#,##0")&amp;"k."</f>
        <v>Gap of 3.1 points on full-year revenue is worth EUR 134k.</v>
      </c>
    </row>
    <row r="23" customFormat="false" ht="15" hidden="false" customHeight="true" outlineLevel="0" collapsed="false">
      <c r="A23" s="28" t="s">
        <v>332</v>
      </c>
      <c r="B23" s="57" t="n">
        <f aca="false">SUMIFS(PL!$E$35:$AB$35,Assumptions!$E$63:$AB$63,"A")</f>
        <v>-369300</v>
      </c>
      <c r="C23" s="57" t="n">
        <f aca="false">SUMIFS(Budget_FY26!$E$45:$P$45,Assumptions!$E$62:$P$62,"&lt;="&amp;Assumptions!$C$10)</f>
        <v>-369500</v>
      </c>
      <c r="D23" s="69" t="n">
        <f aca="false">B23-C23</f>
        <v>200</v>
      </c>
      <c r="E23" s="58" t="n">
        <f aca="false">IF(C23=0,0,D23/ABS(C23))</f>
        <v>0.00054127198917456</v>
      </c>
      <c r="F23" s="57" t="n">
        <f aca="false">PL!$C$35</f>
        <v>-581000</v>
      </c>
      <c r="G23" s="57" t="n">
        <f aca="false">Budget_FY26!$C$45</f>
        <v>-570300</v>
      </c>
      <c r="H23" s="69" t="n">
        <f aca="false">F23-G23</f>
        <v>-10700</v>
      </c>
      <c r="I23" s="58" t="n">
        <f aca="false">IF(G23=0,0,H23/ABS(G23))</f>
        <v>-0.018762055058741</v>
      </c>
      <c r="J23" s="46"/>
    </row>
    <row r="24" customFormat="false" ht="15" hidden="false" customHeight="true" outlineLevel="0" collapsed="false">
      <c r="A24" s="28" t="s">
        <v>333</v>
      </c>
      <c r="B24" s="57" t="n">
        <f aca="false">SUMIFS(PL!$E$36:$AB$36,Assumptions!$E$63:$AB$63,"A")</f>
        <v>-39579</v>
      </c>
      <c r="C24" s="57" t="n">
        <f aca="false">SUMIFS(Budget_FY26!$E$46:$P$46,Assumptions!$E$62:$P$62,"&lt;="&amp;Assumptions!$C$10)</f>
        <v>-36000</v>
      </c>
      <c r="D24" s="69" t="n">
        <f aca="false">B24-C24</f>
        <v>-3579</v>
      </c>
      <c r="E24" s="58" t="n">
        <f aca="false">IF(C24=0,0,D24/ABS(C24))</f>
        <v>-0.0994166666666667</v>
      </c>
      <c r="F24" s="57" t="n">
        <f aca="false">PL!$C$36</f>
        <v>-58779</v>
      </c>
      <c r="G24" s="57" t="n">
        <f aca="false">Budget_FY26!$C$46</f>
        <v>-54000</v>
      </c>
      <c r="H24" s="69" t="n">
        <f aca="false">F24-G24</f>
        <v>-4779</v>
      </c>
      <c r="I24" s="58" t="n">
        <f aca="false">IF(G24=0,0,H24/ABS(G24))</f>
        <v>-0.0885</v>
      </c>
      <c r="J24" s="46"/>
    </row>
    <row r="25" customFormat="false" ht="15" hidden="false" customHeight="true" outlineLevel="0" collapsed="false">
      <c r="A25" s="28" t="s">
        <v>334</v>
      </c>
      <c r="B25" s="57" t="n">
        <f aca="false">SUMIFS(PL!$E$37:$AB$37,Assumptions!$E$63:$AB$63,"A")</f>
        <v>-38400</v>
      </c>
      <c r="C25" s="57" t="n">
        <f aca="false">SUMIFS(Budget_FY26!$E$47:$P$47,Assumptions!$E$62:$P$62,"&lt;="&amp;Assumptions!$C$10)</f>
        <v>-38400</v>
      </c>
      <c r="D25" s="69" t="n">
        <f aca="false">B25-C25</f>
        <v>0</v>
      </c>
      <c r="E25" s="58" t="n">
        <f aca="false">IF(C25=0,0,D25/ABS(C25))</f>
        <v>0</v>
      </c>
      <c r="F25" s="57" t="n">
        <f aca="false">PL!$C$37</f>
        <v>-57600</v>
      </c>
      <c r="G25" s="57" t="n">
        <f aca="false">Budget_FY26!$C$47</f>
        <v>-57600</v>
      </c>
      <c r="H25" s="69" t="n">
        <f aca="false">F25-G25</f>
        <v>0</v>
      </c>
      <c r="I25" s="58" t="n">
        <f aca="false">IF(G25=0,0,H25/ABS(G25))</f>
        <v>0</v>
      </c>
      <c r="J25" s="46"/>
    </row>
    <row r="26" customFormat="false" ht="15" hidden="false" customHeight="true" outlineLevel="0" collapsed="false">
      <c r="A26" s="28" t="s">
        <v>335</v>
      </c>
      <c r="B26" s="57" t="n">
        <f aca="false">SUMIFS(PL!$E$38:$AB$38,Assumptions!$E$63:$AB$63,"A")</f>
        <v>-34004</v>
      </c>
      <c r="C26" s="57" t="n">
        <f aca="false">SUMIFS(Budget_FY26!$E$48:$P$48,Assumptions!$E$62:$P$62,"&lt;="&amp;Assumptions!$C$10)</f>
        <v>-32000</v>
      </c>
      <c r="D26" s="69" t="n">
        <f aca="false">B26-C26</f>
        <v>-2004</v>
      </c>
      <c r="E26" s="58" t="n">
        <f aca="false">IF(C26=0,0,D26/ABS(C26))</f>
        <v>-0.062625</v>
      </c>
      <c r="F26" s="57" t="n">
        <f aca="false">PL!$C$38</f>
        <v>-51204</v>
      </c>
      <c r="G26" s="57" t="n">
        <f aca="false">Budget_FY26!$C$48</f>
        <v>-48000</v>
      </c>
      <c r="H26" s="69" t="n">
        <f aca="false">F26-G26</f>
        <v>-3204</v>
      </c>
      <c r="I26" s="58" t="n">
        <f aca="false">IF(G26=0,0,H26/ABS(G26))</f>
        <v>-0.06675</v>
      </c>
      <c r="J26" s="46"/>
    </row>
    <row r="27" customFormat="false" ht="15" hidden="false" customHeight="true" outlineLevel="0" collapsed="false">
      <c r="A27" s="28" t="s">
        <v>336</v>
      </c>
      <c r="B27" s="57" t="n">
        <f aca="false">SUMIFS(PL!$E$39:$AB$39,Assumptions!$E$63:$AB$63,"A")</f>
        <v>-25670</v>
      </c>
      <c r="C27" s="57" t="n">
        <f aca="false">SUMIFS(Budget_FY26!$E$49:$P$49,Assumptions!$E$62:$P$62,"&lt;="&amp;Assumptions!$C$10)</f>
        <v>-24000</v>
      </c>
      <c r="D27" s="69" t="n">
        <f aca="false">B27-C27</f>
        <v>-1670</v>
      </c>
      <c r="E27" s="58" t="n">
        <f aca="false">IF(C27=0,0,D27/ABS(C27))</f>
        <v>-0.0695833333333333</v>
      </c>
      <c r="F27" s="57" t="n">
        <f aca="false">PL!$C$39</f>
        <v>-38470</v>
      </c>
      <c r="G27" s="57" t="n">
        <f aca="false">Budget_FY26!$C$49</f>
        <v>-36000</v>
      </c>
      <c r="H27" s="69" t="n">
        <f aca="false">F27-G27</f>
        <v>-2470</v>
      </c>
      <c r="I27" s="58" t="n">
        <f aca="false">IF(G27=0,0,H27/ABS(G27))</f>
        <v>-0.0686111111111111</v>
      </c>
      <c r="J27" s="46"/>
    </row>
    <row r="28" customFormat="false" ht="15" hidden="false" customHeight="true" outlineLevel="0" collapsed="false">
      <c r="A28" s="28" t="s">
        <v>337</v>
      </c>
      <c r="B28" s="57" t="n">
        <f aca="false">SUMIFS(PL!$E$40:$AB$40,Assumptions!$E$63:$AB$63,"A")</f>
        <v>-9200</v>
      </c>
      <c r="C28" s="57" t="n">
        <f aca="false">SUMIFS(Budget_FY26!$E$50:$P$50,Assumptions!$E$62:$P$62,"&lt;="&amp;Assumptions!$C$10)</f>
        <v>-9200</v>
      </c>
      <c r="D28" s="69" t="n">
        <f aca="false">B28-C28</f>
        <v>0</v>
      </c>
      <c r="E28" s="58" t="n">
        <f aca="false">IF(C28=0,0,D28/ABS(C28))</f>
        <v>0</v>
      </c>
      <c r="F28" s="57" t="n">
        <f aca="false">PL!$C$40</f>
        <v>-13800</v>
      </c>
      <c r="G28" s="57" t="n">
        <f aca="false">Budget_FY26!$C$50</f>
        <v>-13800</v>
      </c>
      <c r="H28" s="69" t="n">
        <f aca="false">F28-G28</f>
        <v>0</v>
      </c>
      <c r="I28" s="58" t="n">
        <f aca="false">IF(G28=0,0,H28/ABS(G28))</f>
        <v>0</v>
      </c>
      <c r="J28" s="46"/>
    </row>
    <row r="29" customFormat="false" ht="15" hidden="false" customHeight="true" outlineLevel="0" collapsed="false">
      <c r="A29" s="28" t="s">
        <v>338</v>
      </c>
      <c r="B29" s="57" t="n">
        <f aca="false">SUMIFS(PL!$E$41:$AB$41,Assumptions!$E$63:$AB$63,"A")</f>
        <v>-10408</v>
      </c>
      <c r="C29" s="57" t="n">
        <f aca="false">SUMIFS(Budget_FY26!$E$51:$P$51,Assumptions!$E$62:$P$62,"&lt;="&amp;Assumptions!$C$10)</f>
        <v>-9600</v>
      </c>
      <c r="D29" s="69" t="n">
        <f aca="false">B29-C29</f>
        <v>-808</v>
      </c>
      <c r="E29" s="58" t="n">
        <f aca="false">IF(C29=0,0,D29/ABS(C29))</f>
        <v>-0.0841666666666667</v>
      </c>
      <c r="F29" s="57" t="n">
        <f aca="false">PL!$C$41</f>
        <v>-16008</v>
      </c>
      <c r="G29" s="57" t="n">
        <f aca="false">Budget_FY26!$C$51</f>
        <v>-14400</v>
      </c>
      <c r="H29" s="69" t="n">
        <f aca="false">F29-G29</f>
        <v>-1608</v>
      </c>
      <c r="I29" s="58" t="n">
        <f aca="false">IF(G29=0,0,H29/ABS(G29))</f>
        <v>-0.111666666666667</v>
      </c>
      <c r="J29" s="46"/>
    </row>
    <row r="30" customFormat="false" ht="21.75" hidden="false" customHeight="true" outlineLevel="0" collapsed="false">
      <c r="A30" s="28" t="s">
        <v>339</v>
      </c>
      <c r="B30" s="57" t="n">
        <f aca="false">SUMIFS(PL!$E$42:$AB$42,Assumptions!$E$63:$AB$63,"A")</f>
        <v>-47685</v>
      </c>
      <c r="C30" s="57" t="n">
        <f aca="false">SUMIFS(Budget_FY26!$E$52:$P$52,Assumptions!$E$62:$P$62,"&lt;="&amp;Assumptions!$C$10)</f>
        <v>-40000</v>
      </c>
      <c r="D30" s="69" t="n">
        <f aca="false">B30-C30</f>
        <v>-7685</v>
      </c>
      <c r="E30" s="58" t="n">
        <f aca="false">IF(C30=0,0,D30/ABS(C30))</f>
        <v>-0.192125</v>
      </c>
      <c r="F30" s="57" t="n">
        <f aca="false">PL!$C$42</f>
        <v>-69685</v>
      </c>
      <c r="G30" s="57" t="n">
        <f aca="false">Budget_FY26!$C$52</f>
        <v>-60000</v>
      </c>
      <c r="H30" s="69" t="n">
        <f aca="false">F30-G30</f>
        <v>-9685</v>
      </c>
      <c r="I30" s="58" t="n">
        <f aca="false">IF(G30=0,0,H30/ABS(G30))</f>
        <v>-0.161416666666667</v>
      </c>
      <c r="J30" s="46" t="str">
        <f aca="false">"Discretionary overrun of EUR "&amp;TEXT(ABS(D30)/1000,"#,##0.0")&amp;"k; no approval owner until the September action."</f>
        <v>Discretionary overrun of EUR 7.7k; no approval owner until the September action.</v>
      </c>
    </row>
    <row r="31" customFormat="false" ht="15" hidden="false" customHeight="true" outlineLevel="0" collapsed="false">
      <c r="A31" s="28" t="s">
        <v>340</v>
      </c>
      <c r="B31" s="57" t="n">
        <f aca="false">SUMIFS(PL!$E$43:$AB$43,Assumptions!$E$63:$AB$63,"A")</f>
        <v>-27006</v>
      </c>
      <c r="C31" s="57" t="n">
        <f aca="false">SUMIFS(Budget_FY26!$E$53:$P$53,Assumptions!$E$62:$P$62,"&lt;="&amp;Assumptions!$C$10)</f>
        <v>-26793</v>
      </c>
      <c r="D31" s="69" t="n">
        <f aca="false">B31-C31</f>
        <v>-213</v>
      </c>
      <c r="E31" s="58" t="n">
        <f aca="false">IF(C31=0,0,D31/ABS(C31))</f>
        <v>-0.00794983764416079</v>
      </c>
      <c r="F31" s="57" t="n">
        <f aca="false">PL!$C$43</f>
        <v>-47496.2747764524</v>
      </c>
      <c r="G31" s="57" t="n">
        <f aca="false">Budget_FY26!$C$53</f>
        <v>-46878</v>
      </c>
      <c r="H31" s="69" t="n">
        <f aca="false">F31-G31</f>
        <v>-618.274776452359</v>
      </c>
      <c r="I31" s="58" t="n">
        <f aca="false">IF(G31=0,0,H31/ABS(G31))</f>
        <v>-0.0131890178005111</v>
      </c>
      <c r="J31" s="46"/>
    </row>
    <row r="32" customFormat="false" ht="15" hidden="false" customHeight="true" outlineLevel="0" collapsed="false">
      <c r="A32" s="28" t="s">
        <v>341</v>
      </c>
      <c r="B32" s="57" t="n">
        <f aca="false">SUMIFS(PL!$E$44:$AB$44,Assumptions!$E$63:$AB$63,"A")</f>
        <v>-14120</v>
      </c>
      <c r="C32" s="57" t="n">
        <f aca="false">SUMIFS(Budget_FY26!$E$54:$P$54,Assumptions!$E$62:$P$62,"&lt;="&amp;Assumptions!$C$10)</f>
        <v>-12800</v>
      </c>
      <c r="D32" s="69" t="n">
        <f aca="false">B32-C32</f>
        <v>-1320</v>
      </c>
      <c r="E32" s="58" t="n">
        <f aca="false">IF(C32=0,0,D32/ABS(C32))</f>
        <v>-0.103125</v>
      </c>
      <c r="F32" s="57" t="n">
        <f aca="false">PL!$C$44</f>
        <v>-21320</v>
      </c>
      <c r="G32" s="57" t="n">
        <f aca="false">Budget_FY26!$C$54</f>
        <v>-19200</v>
      </c>
      <c r="H32" s="69" t="n">
        <f aca="false">F32-G32</f>
        <v>-2120</v>
      </c>
      <c r="I32" s="58" t="n">
        <f aca="false">IF(G32=0,0,H32/ABS(G32))</f>
        <v>-0.110416666666667</v>
      </c>
      <c r="J32" s="46"/>
    </row>
    <row r="33" customFormat="false" ht="15" hidden="false" customHeight="true" outlineLevel="0" collapsed="false">
      <c r="A33" s="28" t="s">
        <v>342</v>
      </c>
      <c r="B33" s="57" t="n">
        <f aca="false">SUMIFS(PL!$E$45:$AB$45,Assumptions!$E$63:$AB$63,"A")</f>
        <v>-3719</v>
      </c>
      <c r="C33" s="57" t="n">
        <f aca="false">SUMIFS(Budget_FY26!$E$55:$P$55,Assumptions!$E$62:$P$62,"&lt;="&amp;Assumptions!$C$10)</f>
        <v>-3930.93</v>
      </c>
      <c r="D33" s="69" t="n">
        <f aca="false">B33-C33</f>
        <v>211.93</v>
      </c>
      <c r="E33" s="58" t="n">
        <f aca="false">IF(C33=0,0,D33/ABS(C33))</f>
        <v>0.0539134505066232</v>
      </c>
      <c r="F33" s="57" t="n">
        <f aca="false">PL!$C$45</f>
        <v>-6546.26995710496</v>
      </c>
      <c r="G33" s="57" t="n">
        <f aca="false">Budget_FY26!$C$55</f>
        <v>-6853.5855</v>
      </c>
      <c r="H33" s="69" t="n">
        <f aca="false">F33-G33</f>
        <v>307.315542895038</v>
      </c>
      <c r="I33" s="58" t="n">
        <f aca="false">IF(G33=0,0,H33/ABS(G33))</f>
        <v>0.0448401122149914</v>
      </c>
      <c r="J33" s="46"/>
    </row>
    <row r="34" customFormat="false" ht="15" hidden="false" customHeight="true" outlineLevel="0" collapsed="false">
      <c r="A34" s="28" t="s">
        <v>343</v>
      </c>
      <c r="B34" s="57" t="n">
        <f aca="false">SUMIFS(PL!$E$46:$AB$46,Assumptions!$E$63:$AB$63,"A")</f>
        <v>-8270</v>
      </c>
      <c r="C34" s="57" t="n">
        <f aca="false">SUMIFS(Budget_FY26!$E$56:$P$56,Assumptions!$E$62:$P$62,"&lt;="&amp;Assumptions!$C$10)</f>
        <v>-5600</v>
      </c>
      <c r="D34" s="69" t="n">
        <f aca="false">B34-C34</f>
        <v>-2670</v>
      </c>
      <c r="E34" s="58" t="n">
        <f aca="false">IF(C34=0,0,D34/ABS(C34))</f>
        <v>-0.476785714285714</v>
      </c>
      <c r="F34" s="57" t="n">
        <f aca="false">PL!$C$46</f>
        <v>-11870</v>
      </c>
      <c r="G34" s="57" t="n">
        <f aca="false">Budget_FY26!$C$56</f>
        <v>-8400</v>
      </c>
      <c r="H34" s="69" t="n">
        <f aca="false">F34-G34</f>
        <v>-3470</v>
      </c>
      <c r="I34" s="58" t="n">
        <f aca="false">IF(G34=0,0,H34/ABS(G34))</f>
        <v>-0.413095238095238</v>
      </c>
      <c r="J34" s="46" t="str">
        <f aca="false">"Two unbudgeted searches; EUR "&amp;TEXT(ABS(D34)/1000,"#,##0.0")&amp;"k over."</f>
        <v>Two unbudgeted searches; EUR 2.7k over.</v>
      </c>
    </row>
    <row r="35" customFormat="false" ht="15" hidden="false" customHeight="true" outlineLevel="0" collapsed="false">
      <c r="A35" s="75" t="s">
        <v>344</v>
      </c>
      <c r="B35" s="73" t="n">
        <f aca="false">SUMIFS(PL!$E$47:$AB$47,Assumptions!$E$63:$AB$63,"A")</f>
        <v>-627361</v>
      </c>
      <c r="C35" s="73" t="n">
        <f aca="false">SUMIFS(Budget_FY26!$E$57:$P$57,Assumptions!$E$62:$P$62,"&lt;="&amp;Assumptions!$C$10)</f>
        <v>-607823.93</v>
      </c>
      <c r="D35" s="72" t="n">
        <f aca="false">B35-C35</f>
        <v>-19537.07</v>
      </c>
      <c r="E35" s="76" t="n">
        <f aca="false">IF(C35=0,0,D35/ABS(C35))</f>
        <v>-0.0321426469668609</v>
      </c>
      <c r="F35" s="73" t="n">
        <f aca="false">PL!$C$47</f>
        <v>-973778.544733557</v>
      </c>
      <c r="G35" s="73" t="n">
        <f aca="false">Budget_FY26!$C$57</f>
        <v>-935431.5855</v>
      </c>
      <c r="H35" s="72" t="n">
        <f aca="false">F35-G35</f>
        <v>-38346.9592335573</v>
      </c>
      <c r="I35" s="76" t="n">
        <f aca="false">IF(G35=0,0,H35/ABS(G35))</f>
        <v>-0.0409938683148703</v>
      </c>
      <c r="J35" s="77"/>
    </row>
    <row r="36" customFormat="false" ht="15" hidden="false" customHeight="true" outlineLevel="0" collapsed="false">
      <c r="A36" s="75" t="s">
        <v>273</v>
      </c>
      <c r="B36" s="73" t="n">
        <f aca="false">SUMIFS(PL!$E$48:$AB$48,Assumptions!$E$63:$AB$63,"A")</f>
        <v>19895.4249929918</v>
      </c>
      <c r="C36" s="73" t="n">
        <f aca="false">SUMIFS(Budget_FY26!$E$58:$P$58,Assumptions!$E$62:$P$62,"&lt;="&amp;Assumptions!$C$10)</f>
        <v>172743.37</v>
      </c>
      <c r="D36" s="72" t="n">
        <f aca="false">B36-C36</f>
        <v>-152847.945007008</v>
      </c>
      <c r="E36" s="76" t="n">
        <f aca="false">IF(C36=0,0,D36/ABS(C36))</f>
        <v>-0.884826694112823</v>
      </c>
      <c r="F36" s="73" t="n">
        <f aca="false">PL!$C$48</f>
        <v>136385.730066086</v>
      </c>
      <c r="G36" s="73" t="n">
        <f aca="false">Budget_FY26!$C$58</f>
        <v>421071.5445</v>
      </c>
      <c r="H36" s="72" t="n">
        <f aca="false">F36-G36</f>
        <v>-284685.814433914</v>
      </c>
      <c r="I36" s="76" t="n">
        <f aca="false">IF(G36=0,0,H36/ABS(G36))</f>
        <v>-0.676098440164042</v>
      </c>
      <c r="J36" s="77" t="str">
        <f aca="false">"EUR "&amp;TEXT(ABS(D36)/1000,"#,##0")&amp;"k "&amp;IF(D36&lt;0,"behind","ahead of")&amp;" budget YTD; EUR "&amp;TEXT(ABS(H36)/1000,"#,##0")&amp;"k on the full year."</f>
        <v>EUR 153k behind budget YTD; EUR 285k on the full year.</v>
      </c>
    </row>
    <row r="37" customFormat="false" ht="15" hidden="false" customHeight="true" outlineLevel="0" collapsed="false">
      <c r="A37" s="28" t="s">
        <v>272</v>
      </c>
      <c r="B37" s="58" t="n">
        <f aca="false">IF(B14=0,0,B36/B14)</f>
        <v>0.00820182889204108</v>
      </c>
      <c r="C37" s="58" t="n">
        <f aca="false">IF(C14=0,0,C36/C14)</f>
        <v>0.0659169852935565</v>
      </c>
      <c r="D37" s="58" t="n">
        <f aca="false">B37-C37</f>
        <v>-0.0577151564015154</v>
      </c>
      <c r="E37" s="16"/>
      <c r="F37" s="58" t="n">
        <f aca="false">IF(F14=0,0,F36/F14)</f>
        <v>0.0316397854644578</v>
      </c>
      <c r="G37" s="58" t="n">
        <f aca="false">IF(G14=0,0,G36/G14)</f>
        <v>0.0921572097918673</v>
      </c>
      <c r="H37" s="58" t="n">
        <f aca="false">F37-G37</f>
        <v>-0.0605174243274095</v>
      </c>
      <c r="I37" s="16"/>
      <c r="J37" s="46"/>
    </row>
    <row r="38" customFormat="false" ht="15" hidden="false" customHeight="true" outlineLevel="0" collapsed="false">
      <c r="A38" s="75" t="s">
        <v>355</v>
      </c>
      <c r="B38" s="73" t="n">
        <f aca="false">SUMIFS(PL!$E$58:$AB$58,Assumptions!$E$63:$AB$63,"A")</f>
        <v>-19817.0742399291</v>
      </c>
      <c r="C38" s="73" t="n">
        <f aca="false">SUMIFS(Budget_FY26!$E$63:$P$63,Assumptions!$E$62:$P$62,"&lt;="&amp;Assumptions!$C$10)</f>
        <v>109952.1297</v>
      </c>
      <c r="D38" s="72" t="n">
        <f aca="false">B38-C38</f>
        <v>-129769.203939929</v>
      </c>
      <c r="E38" s="76" t="n">
        <f aca="false">IF(C38=0,0,D38/ABS(C38))</f>
        <v>-1.18023365526433</v>
      </c>
      <c r="F38" s="73" t="n">
        <f aca="false">PL!$C$58</f>
        <v>62634.4689664724</v>
      </c>
      <c r="G38" s="73" t="n">
        <f aca="false">Budget_FY26!$C$63</f>
        <v>297084.951045</v>
      </c>
      <c r="H38" s="72" t="n">
        <f aca="false">F38-G38</f>
        <v>-234450.482078528</v>
      </c>
      <c r="I38" s="76" t="n">
        <f aca="false">IF(G38=0,0,H38/ABS(G38))</f>
        <v>-0.789169835947076</v>
      </c>
      <c r="J38" s="77"/>
    </row>
    <row r="39" customFormat="false" ht="15" hidden="false" customHeight="true" outlineLevel="0" collapsed="false">
      <c r="A39" s="22" t="s">
        <v>464</v>
      </c>
      <c r="B39" s="23"/>
      <c r="C39" s="23"/>
      <c r="D39" s="23"/>
      <c r="E39" s="23"/>
      <c r="F39" s="23"/>
      <c r="G39" s="23"/>
      <c r="H39" s="23"/>
      <c r="I39" s="23"/>
      <c r="J39" s="23"/>
    </row>
    <row r="40" customFormat="false" ht="15" hidden="false" customHeight="true" outlineLevel="0" collapsed="false">
      <c r="A40" s="28" t="s">
        <v>293</v>
      </c>
      <c r="B40" s="57" t="n">
        <f aca="false">INDEX(BS!$E$9:$AB$9,Assumptions!$C$10)</f>
        <v>391452.19619926</v>
      </c>
      <c r="C40" s="57" t="n">
        <f aca="false">INDEX(Budget_FY26!$E$65:$P$65,Assumptions!$C$10)</f>
        <v>438000</v>
      </c>
      <c r="D40" s="69" t="n">
        <f aca="false">B40-C40</f>
        <v>-46547.8038007399</v>
      </c>
      <c r="E40" s="58" t="n">
        <f aca="false">IF(C40=0,0,D40/ABS(C40))</f>
        <v>-0.106273524659223</v>
      </c>
      <c r="F40" s="57" t="n">
        <f aca="false">BS!$C$9</f>
        <v>611228.15905107</v>
      </c>
      <c r="G40" s="57" t="n">
        <f aca="false">Budget_FY26!$C$65</f>
        <v>548000</v>
      </c>
      <c r="H40" s="69" t="n">
        <f aca="false">F40-G40</f>
        <v>63228.1590510699</v>
      </c>
      <c r="I40" s="58" t="n">
        <f aca="false">IF(G40=0,0,H40/ABS(G40))</f>
        <v>0.115379852282974</v>
      </c>
      <c r="J40" s="46" t="str">
        <f aca="false">"December cash includes EUR "&amp;TEXT(BS!C22/1000,"#,##0")&amp;"k of Q4 VAT paid in January."</f>
        <v>December cash includes EUR 242k of Q4 VAT paid in January.</v>
      </c>
    </row>
    <row r="41" customFormat="false" ht="21.75" hidden="false" customHeight="true" outlineLevel="0" collapsed="false">
      <c r="A41" s="28" t="s">
        <v>296</v>
      </c>
      <c r="B41" s="57" t="n">
        <f aca="false">INDEX(BS!$E$11:$AB$11,Assumptions!$C$10)+INDEX(BS!$E$12:$AB$12,Assumptions!$C$10)</f>
        <v>383198.711839272</v>
      </c>
      <c r="C41" s="57" t="n">
        <f aca="false">INDEX(Budget_FY26!$E$66:$P$66,Assumptions!$C$10)</f>
        <v>520000</v>
      </c>
      <c r="D41" s="69" t="n">
        <f aca="false">B41-C41</f>
        <v>-136801.288160728</v>
      </c>
      <c r="E41" s="58" t="n">
        <f aca="false">IF(C41=0,0,D41/ABS(C41))</f>
        <v>-0.263079400309092</v>
      </c>
      <c r="F41" s="57" t="n">
        <f aca="false">BS!$C$11+BS!$C$12</f>
        <v>435689.783239396</v>
      </c>
      <c r="G41" s="57" t="n">
        <f aca="false">Budget_FY26!$C$66</f>
        <v>505000</v>
      </c>
      <c r="H41" s="69" t="n">
        <f aca="false">F41-G41</f>
        <v>-69310.2167606043</v>
      </c>
      <c r="I41" s="58" t="n">
        <f aca="false">IF(G41=0,0,H41/ABS(G41))</f>
        <v>-0.137247953981395</v>
      </c>
      <c r="J41" s="46" t="str">
        <f aca="false">"Below budget because stock was run down after Q2, not because of better buying; Tableware and Storage remain overstocked."</f>
        <v>Below budget because stock was run down after Q2, not because of better buying; Tableware and Storage remain overstocked.</v>
      </c>
    </row>
    <row r="42" customFormat="false" ht="15" hidden="false" customHeight="true" outlineLevel="0" collapsed="false">
      <c r="A42" s="28" t="s">
        <v>465</v>
      </c>
      <c r="B42" s="57" t="n">
        <f aca="false">INDEX(BS!$E$10:$AB$10,Assumptions!$C$10)</f>
        <v>105116.523559853</v>
      </c>
      <c r="C42" s="57" t="n">
        <f aca="false">INDEX(Budget_FY26!$E$67:$P$67,Assumptions!$C$10)</f>
        <v>114000</v>
      </c>
      <c r="D42" s="69" t="n">
        <f aca="false">B42-C42</f>
        <v>-8883.47644014681</v>
      </c>
      <c r="E42" s="58" t="n">
        <f aca="false">IF(C42=0,0,D42/ABS(C42))</f>
        <v>-0.0779252319311124</v>
      </c>
      <c r="F42" s="57" t="n">
        <f aca="false">BS!$C$10</f>
        <v>182242.784503807</v>
      </c>
      <c r="G42" s="57" t="n">
        <f aca="false">Budget_FY26!$C$67</f>
        <v>178000</v>
      </c>
      <c r="H42" s="69" t="n">
        <f aca="false">F42-G42</f>
        <v>4242.78450380676</v>
      </c>
      <c r="I42" s="58" t="n">
        <f aca="false">IF(G42=0,0,H42/ABS(G42))</f>
        <v>0.0238358679989144</v>
      </c>
      <c r="J42" s="46"/>
    </row>
    <row r="44" customFormat="false" ht="15" hidden="false" customHeight="true" outlineLevel="0" collapsed="false">
      <c r="A44" s="22" t="s">
        <v>466</v>
      </c>
      <c r="B44" s="23"/>
      <c r="C44" s="23"/>
      <c r="D44" s="23"/>
      <c r="E44" s="23"/>
      <c r="F44" s="23"/>
      <c r="G44" s="23"/>
      <c r="H44" s="23"/>
      <c r="I44" s="23"/>
      <c r="J44" s="23"/>
    </row>
    <row r="45" customFormat="false" ht="30" hidden="false" customHeight="true" outlineLevel="0" collapsed="false">
      <c r="A45" s="78" t="s">
        <v>467</v>
      </c>
      <c r="B45" s="79" t="s">
        <v>468</v>
      </c>
      <c r="C45" s="79" t="s">
        <v>469</v>
      </c>
      <c r="D45" s="79" t="s">
        <v>470</v>
      </c>
      <c r="E45" s="79" t="s">
        <v>471</v>
      </c>
      <c r="F45" s="79" t="s">
        <v>472</v>
      </c>
      <c r="G45" s="79" t="s">
        <v>473</v>
      </c>
      <c r="H45" s="79" t="s">
        <v>474</v>
      </c>
      <c r="I45" s="79" t="s">
        <v>475</v>
      </c>
    </row>
    <row r="46" customFormat="false" ht="15" hidden="false" customHeight="true" outlineLevel="0" collapsed="false">
      <c r="A46" s="1" t="s">
        <v>476</v>
      </c>
      <c r="B46" s="29" t="n">
        <f aca="false">SUMIFS(Channel_PL!$E$10:$AB$10,Assumptions!$E$63:$AB$63,"A")</f>
        <v>20921</v>
      </c>
      <c r="C46" s="29" t="n">
        <f aca="false">SUMIFS(Budget_FY26!$E$15:$P$15,Assumptions!$E$62:$P$62,"&lt;="&amp;Assumptions!$C$10)</f>
        <v>22356</v>
      </c>
      <c r="D46" s="80" t="n">
        <f aca="false">IF(B46=0,0,B11/B46)</f>
        <v>54.9238616700922</v>
      </c>
      <c r="E46" s="80" t="n">
        <f aca="false">IF(C46=0,0,C11/C46)</f>
        <v>54.8148148148148</v>
      </c>
      <c r="F46" s="29" t="n">
        <f aca="false">(B46-C46)*E46</f>
        <v>-78659.2592592593</v>
      </c>
      <c r="G46" s="29" t="n">
        <f aca="false">B46*(D46-E46)</f>
        <v>2281.36925925905</v>
      </c>
      <c r="H46" s="29" t="n">
        <f aca="false">F46+G46</f>
        <v>-76377.8900000002</v>
      </c>
      <c r="I46" s="29" t="n">
        <f aca="false">ROUND(H46-D11,0)</f>
        <v>0</v>
      </c>
    </row>
    <row r="47" customFormat="false" ht="15" hidden="false" customHeight="true" outlineLevel="0" collapsed="false">
      <c r="A47" s="1" t="s">
        <v>477</v>
      </c>
      <c r="B47" s="29" t="n">
        <f aca="false">SUMIFS(Channel_PL!$E$48:$AB$48,Assumptions!$E$63:$AB$63,"A")</f>
        <v>21560</v>
      </c>
      <c r="C47" s="29" t="n">
        <f aca="false">SUMIFS(Budget_FY26!$E$16:$P$16,Assumptions!$E$62:$P$62,"&lt;="&amp;Assumptions!$C$10)</f>
        <v>22356</v>
      </c>
      <c r="D47" s="80" t="n">
        <f aca="false">IF(B47=0,0,B12/B47)</f>
        <v>48.4188803339518</v>
      </c>
      <c r="E47" s="80" t="n">
        <f aca="false">IF(C47=0,0,C12/C47)</f>
        <v>49.5652173913044</v>
      </c>
      <c r="F47" s="29" t="n">
        <f aca="false">(B47-C47)*E47</f>
        <v>-39453.9130434783</v>
      </c>
      <c r="G47" s="29" t="n">
        <f aca="false">B47*(D47-E47)</f>
        <v>-24715.0269565218</v>
      </c>
      <c r="H47" s="29" t="n">
        <f aca="false">F47+G47</f>
        <v>-64168.9400000001</v>
      </c>
      <c r="I47" s="29" t="n">
        <f aca="false">ROUND(H47-D12,0)</f>
        <v>0</v>
      </c>
    </row>
    <row r="48" customFormat="false" ht="15" hidden="false" customHeight="true" outlineLevel="0" collapsed="false">
      <c r="A48" s="1" t="s">
        <v>478</v>
      </c>
      <c r="B48" s="29" t="n">
        <f aca="false">SUMIFS(Channel_PL!$E$82:$AB$82,Assumptions!$E$63:$AB$63,"A")</f>
        <v>4213</v>
      </c>
      <c r="C48" s="29" t="n">
        <f aca="false">SUMIFS(Budget_FY26!$E$17:$P$17,Assumptions!$E$62:$P$62,"&lt;="&amp;Assumptions!$C$10)</f>
        <v>6264</v>
      </c>
      <c r="D48" s="80" t="n">
        <f aca="false">IF(B48=0,0,B13/B48)</f>
        <v>55.2473644330375</v>
      </c>
      <c r="E48" s="80" t="n">
        <f aca="false">IF(C48=0,0,C13/C48)</f>
        <v>45.8333333333333</v>
      </c>
      <c r="F48" s="29" t="n">
        <f aca="false">(B48-C48)*E48</f>
        <v>-94004.1666666667</v>
      </c>
      <c r="G48" s="29" t="n">
        <f aca="false">B48*(D48-E48)</f>
        <v>39661.3130230538</v>
      </c>
      <c r="H48" s="29" t="n">
        <f aca="false">F48+G48</f>
        <v>-54342.8536436129</v>
      </c>
      <c r="I48" s="29" t="n">
        <f aca="false">ROUND(H48-D13,0)</f>
        <v>0</v>
      </c>
    </row>
    <row r="49" customFormat="false" ht="15" hidden="false" customHeight="true" outlineLevel="0" collapsed="false">
      <c r="A49" s="81" t="s">
        <v>479</v>
      </c>
      <c r="B49" s="82" t="n">
        <f aca="false">SUM(B46:B48)</f>
        <v>46694</v>
      </c>
      <c r="C49" s="82" t="n">
        <f aca="false">SUM(C46:C48)</f>
        <v>50976</v>
      </c>
      <c r="F49" s="82" t="n">
        <f aca="false">SUM(F46:F48)</f>
        <v>-212117.338969404</v>
      </c>
      <c r="G49" s="82" t="n">
        <f aca="false">SUM(G46:G48)</f>
        <v>17227.655325791</v>
      </c>
      <c r="H49" s="82" t="n">
        <f aca="false">SUM(H46:H48)</f>
        <v>-194889.683643613</v>
      </c>
      <c r="I49" s="82" t="n">
        <f aca="false">SUM(I46:I48)</f>
        <v>0</v>
      </c>
    </row>
    <row r="51" customFormat="false" ht="15" hidden="false" customHeight="true" outlineLevel="0" collapsed="false">
      <c r="A51" s="25" t="s">
        <v>480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60"/>
    <col collapsed="false" customWidth="true" hidden="false" outlineLevel="0" max="2" min="2" style="1" width="10"/>
    <col collapsed="false" customWidth="true" hidden="false" outlineLevel="0" max="7" min="3" style="1" width="16"/>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481</v>
      </c>
    </row>
    <row r="3" customFormat="false" ht="15" hidden="false" customHeight="true" outlineLevel="0" collapsed="false">
      <c r="A3" s="25" t="s">
        <v>482</v>
      </c>
    </row>
    <row r="5" customFormat="false" ht="15" hidden="false" customHeight="true" outlineLevel="0" collapsed="false">
      <c r="A5" s="1" t="s">
        <v>483</v>
      </c>
      <c r="B5" s="81" t="s">
        <v>484</v>
      </c>
    </row>
    <row r="6" customFormat="false" ht="15" hidden="false" customHeight="true" outlineLevel="0" collapsed="false">
      <c r="A6" s="1" t="s">
        <v>485</v>
      </c>
      <c r="B6" s="83" t="str">
        <f aca="false">Assumptions!$C$12</f>
        <v>Base</v>
      </c>
    </row>
    <row r="8" customFormat="false" ht="15" hidden="false" customHeight="true" outlineLevel="0" collapsed="false">
      <c r="A8" s="26" t="s">
        <v>486</v>
      </c>
      <c r="B8" s="26" t="s">
        <v>487</v>
      </c>
      <c r="C8" s="27" t="s">
        <v>488</v>
      </c>
      <c r="D8" s="27" t="s">
        <v>489</v>
      </c>
      <c r="E8" s="27" t="s">
        <v>490</v>
      </c>
      <c r="F8" s="27" t="s">
        <v>491</v>
      </c>
      <c r="G8" s="27" t="s">
        <v>492</v>
      </c>
    </row>
    <row r="9" customFormat="false" ht="15" hidden="false" customHeight="true" outlineLevel="0" collapsed="false">
      <c r="A9" s="1" t="s">
        <v>493</v>
      </c>
      <c r="B9" s="55" t="s">
        <v>494</v>
      </c>
      <c r="C9" s="84" t="n">
        <v>4310520.89880083</v>
      </c>
      <c r="D9" s="84" t="n">
        <v>4158848.06945518</v>
      </c>
      <c r="E9" s="84" t="n">
        <v>4398801.28821981</v>
      </c>
      <c r="F9" s="85" t="n">
        <f aca="false">PL!$C$14</f>
        <v>4310520.89880083</v>
      </c>
      <c r="G9" s="35" t="n">
        <f aca="false">ROUND(F9-INDEX(C9:E9,Assumptions!$C$11),0)</f>
        <v>0</v>
      </c>
    </row>
    <row r="10" customFormat="false" ht="15" hidden="false" customHeight="true" outlineLevel="0" collapsed="false">
      <c r="A10" s="1" t="s">
        <v>495</v>
      </c>
      <c r="B10" s="55" t="s">
        <v>494</v>
      </c>
      <c r="C10" s="84" t="n">
        <v>5610598.74191535</v>
      </c>
      <c r="D10" s="84" t="n">
        <v>4477777.1264489</v>
      </c>
      <c r="E10" s="84" t="n">
        <v>6375944.02076928</v>
      </c>
      <c r="F10" s="85" t="n">
        <f aca="false">PL!$D$14</f>
        <v>5610598.74191535</v>
      </c>
      <c r="G10" s="35" t="n">
        <f aca="false">ROUND(F10-INDEX(C10:E10,Assumptions!$C$11),0)</f>
        <v>0</v>
      </c>
    </row>
    <row r="11" customFormat="false" ht="15" hidden="false" customHeight="true" outlineLevel="0" collapsed="false">
      <c r="A11" s="1" t="s">
        <v>496</v>
      </c>
      <c r="B11" s="55" t="s">
        <v>497</v>
      </c>
      <c r="C11" s="86" t="n">
        <v>0.629115431371121</v>
      </c>
      <c r="D11" s="86" t="n">
        <v>0.620818541456478</v>
      </c>
      <c r="E11" s="86" t="n">
        <v>0.633528308926898</v>
      </c>
      <c r="F11" s="87" t="n">
        <f aca="false">PL!$C$20</f>
        <v>0.629115431371121</v>
      </c>
      <c r="G11" s="37" t="n">
        <f aca="false">ROUND(F11-INDEX(C11:E11,Assumptions!$C$11),0)</f>
        <v>0</v>
      </c>
    </row>
    <row r="12" customFormat="false" ht="15" hidden="false" customHeight="true" outlineLevel="0" collapsed="false">
      <c r="A12" s="1" t="s">
        <v>498</v>
      </c>
      <c r="B12" s="55" t="s">
        <v>494</v>
      </c>
      <c r="C12" s="84" t="n">
        <v>1110164.27479964</v>
      </c>
      <c r="D12" s="84" t="n">
        <v>954766.059258694</v>
      </c>
      <c r="E12" s="84" t="n">
        <v>1197255.53568457</v>
      </c>
      <c r="F12" s="85" t="n">
        <f aca="false">PL!$C$32</f>
        <v>1110164.27479964</v>
      </c>
      <c r="G12" s="35" t="n">
        <f aca="false">ROUND(F12-INDEX(C12:E12,Assumptions!$C$11),0)</f>
        <v>0</v>
      </c>
    </row>
    <row r="13" customFormat="false" ht="15" hidden="false" customHeight="true" outlineLevel="0" collapsed="false">
      <c r="A13" s="1" t="s">
        <v>499</v>
      </c>
      <c r="B13" s="55" t="s">
        <v>497</v>
      </c>
      <c r="C13" s="86" t="n">
        <v>0.257547591315121</v>
      </c>
      <c r="D13" s="86" t="n">
        <v>0.229574642620635</v>
      </c>
      <c r="E13" s="86" t="n">
        <v>0.272177681426727</v>
      </c>
      <c r="F13" s="87" t="n">
        <f aca="false">PL!$C$33</f>
        <v>0.257547591315121</v>
      </c>
      <c r="G13" s="37" t="n">
        <f aca="false">ROUND(F13-INDEX(C13:E13,Assumptions!$C$11),0)</f>
        <v>0</v>
      </c>
    </row>
    <row r="14" customFormat="false" ht="15" hidden="false" customHeight="true" outlineLevel="0" collapsed="false">
      <c r="A14" s="1" t="s">
        <v>500</v>
      </c>
      <c r="B14" s="55" t="s">
        <v>494</v>
      </c>
      <c r="C14" s="84" t="n">
        <v>-973778.544733557</v>
      </c>
      <c r="D14" s="84" t="n">
        <v>-951630.351123514</v>
      </c>
      <c r="E14" s="84" t="n">
        <v>-976478.128805055</v>
      </c>
      <c r="F14" s="85" t="n">
        <f aca="false">PL!$C$47</f>
        <v>-973778.544733557</v>
      </c>
      <c r="G14" s="35" t="n">
        <f aca="false">ROUND(F14-INDEX(C14:E14,Assumptions!$C$11),0)</f>
        <v>0</v>
      </c>
    </row>
    <row r="15" customFormat="false" ht="15" hidden="false" customHeight="true" outlineLevel="0" collapsed="false">
      <c r="A15" s="1" t="s">
        <v>501</v>
      </c>
      <c r="B15" s="55" t="s">
        <v>494</v>
      </c>
      <c r="C15" s="84" t="n">
        <v>136385.730066086</v>
      </c>
      <c r="D15" s="84" t="n">
        <v>3135.70813517941</v>
      </c>
      <c r="E15" s="84" t="n">
        <v>220777.406879511</v>
      </c>
      <c r="F15" s="85" t="n">
        <f aca="false">PL!$C$48</f>
        <v>136385.730066086</v>
      </c>
      <c r="G15" s="35" t="n">
        <f aca="false">ROUND(F15-INDEX(C15:E15,Assumptions!$C$11),0)</f>
        <v>0</v>
      </c>
    </row>
    <row r="16" customFormat="false" ht="15" hidden="false" customHeight="true" outlineLevel="0" collapsed="false">
      <c r="A16" s="1" t="s">
        <v>502</v>
      </c>
      <c r="B16" s="55" t="s">
        <v>497</v>
      </c>
      <c r="C16" s="86" t="n">
        <v>0.0316401969200586</v>
      </c>
      <c r="D16" s="86" t="n">
        <v>0.000753984777229478</v>
      </c>
      <c r="E16" s="86" t="n">
        <v>0.050190356966286</v>
      </c>
      <c r="F16" s="87" t="n">
        <f aca="false">PL!$C$49</f>
        <v>0.0316401969200586</v>
      </c>
      <c r="G16" s="37" t="n">
        <f aca="false">ROUND(F16-INDEX(C16:E16,Assumptions!$C$11),0)</f>
        <v>0</v>
      </c>
    </row>
    <row r="17" customFormat="false" ht="15" hidden="false" customHeight="true" outlineLevel="0" collapsed="false">
      <c r="A17" s="1" t="s">
        <v>503</v>
      </c>
      <c r="B17" s="55" t="s">
        <v>494</v>
      </c>
      <c r="C17" s="84" t="n">
        <v>62634.4689664724</v>
      </c>
      <c r="D17" s="84" t="n">
        <v>-55923.5170340272</v>
      </c>
      <c r="E17" s="84" t="n">
        <v>130991.727185346</v>
      </c>
      <c r="F17" s="85" t="n">
        <f aca="false">PL!$C$58</f>
        <v>62634.4689664724</v>
      </c>
      <c r="G17" s="35" t="n">
        <f aca="false">ROUND(F17-INDEX(C17:E17,Assumptions!$C$11),0)</f>
        <v>0</v>
      </c>
    </row>
    <row r="18" customFormat="false" ht="15" hidden="false" customHeight="true" outlineLevel="0" collapsed="false">
      <c r="A18" s="1" t="s">
        <v>504</v>
      </c>
      <c r="B18" s="55" t="s">
        <v>494</v>
      </c>
      <c r="C18" s="84" t="n">
        <v>238865.65071543</v>
      </c>
      <c r="D18" s="84" t="n">
        <v>-262565.438830679</v>
      </c>
      <c r="E18" s="84" t="n">
        <v>676760.618715467</v>
      </c>
      <c r="F18" s="85" t="n">
        <f aca="false">PL!$D$48</f>
        <v>238865.65071543</v>
      </c>
      <c r="G18" s="35" t="n">
        <f aca="false">ROUND(F18-INDEX(C18:E18,Assumptions!$C$11),0)</f>
        <v>0</v>
      </c>
    </row>
    <row r="19" customFormat="false" ht="15" hidden="false" customHeight="true" outlineLevel="0" collapsed="false">
      <c r="A19" s="1" t="s">
        <v>505</v>
      </c>
      <c r="B19" s="55" t="s">
        <v>494</v>
      </c>
      <c r="C19" s="84" t="n">
        <v>140895.638154999</v>
      </c>
      <c r="D19" s="84" t="n">
        <v>-327485.857255986</v>
      </c>
      <c r="E19" s="84" t="n">
        <v>467585.428615298</v>
      </c>
      <c r="F19" s="85" t="n">
        <f aca="false">PL!$D$58</f>
        <v>140895.638154999</v>
      </c>
      <c r="G19" s="35" t="n">
        <f aca="false">ROUND(F19-INDEX(C19:E19,Assumptions!$C$11),0)</f>
        <v>0</v>
      </c>
    </row>
    <row r="20" customFormat="false" ht="15" hidden="false" customHeight="true" outlineLevel="0" collapsed="false">
      <c r="A20" s="1" t="s">
        <v>506</v>
      </c>
      <c r="B20" s="55" t="s">
        <v>494</v>
      </c>
      <c r="C20" s="84" t="n">
        <v>611228.15905107</v>
      </c>
      <c r="D20" s="84" t="n">
        <v>486356.960453662</v>
      </c>
      <c r="E20" s="84" t="n">
        <v>664521.813926148</v>
      </c>
      <c r="F20" s="85" t="n">
        <f aca="false">BS!$C$9</f>
        <v>611228.15905107</v>
      </c>
      <c r="G20" s="35" t="n">
        <f aca="false">ROUND(F20-INDEX(C20:E20,Assumptions!$C$11),0)</f>
        <v>0</v>
      </c>
    </row>
    <row r="21" customFormat="false" ht="15" hidden="false" customHeight="true" outlineLevel="0" collapsed="false">
      <c r="A21" s="1" t="s">
        <v>507</v>
      </c>
      <c r="B21" s="55" t="s">
        <v>494</v>
      </c>
      <c r="C21" s="84" t="n">
        <v>346148.301803288</v>
      </c>
      <c r="D21" s="84" t="n">
        <v>-86197.3264839305</v>
      </c>
      <c r="E21" s="84" t="n">
        <v>674795.441864731</v>
      </c>
      <c r="F21" s="85" t="n">
        <f aca="false">BS!$D$9</f>
        <v>346148.301803288</v>
      </c>
      <c r="G21" s="35" t="n">
        <f aca="false">ROUND(F21-INDEX(C21:E21,Assumptions!$C$11),0)</f>
        <v>0</v>
      </c>
    </row>
    <row r="22" customFormat="false" ht="15" hidden="false" customHeight="true" outlineLevel="0" collapsed="false">
      <c r="A22" s="1" t="s">
        <v>508</v>
      </c>
      <c r="B22" s="55" t="s">
        <v>494</v>
      </c>
      <c r="C22" s="84" t="n">
        <v>1825.21673517399</v>
      </c>
      <c r="D22" s="84" t="n">
        <v>-214906.68628019</v>
      </c>
      <c r="E22" s="84" t="n">
        <v>171993.20554539</v>
      </c>
      <c r="F22" s="85" t="n">
        <f aca="false">MIN(BS!M9:AB9)</f>
        <v>1825.21673517399</v>
      </c>
      <c r="G22" s="35" t="n">
        <f aca="false">ROUND(F22-INDEX(C22:E22,Assumptions!$C$11),0)</f>
        <v>0</v>
      </c>
    </row>
    <row r="23" customFormat="false" ht="15" hidden="false" customHeight="true" outlineLevel="0" collapsed="false">
      <c r="A23" s="1" t="s">
        <v>509</v>
      </c>
      <c r="B23" s="55" t="s">
        <v>510</v>
      </c>
      <c r="C23" s="88" t="n">
        <v>46691</v>
      </c>
      <c r="D23" s="88" t="n">
        <v>46691</v>
      </c>
      <c r="E23" s="88" t="n">
        <v>46691</v>
      </c>
      <c r="F23" s="89" t="n">
        <f aca="false">INDEX(Assumptions!M$61:AB$61,MATCH(F22,BS!M9:AB9,0))</f>
        <v>46691</v>
      </c>
      <c r="G23" s="90" t="n">
        <f aca="false">IF(F23=INDEX(C23:E23,Assumptions!$C$11),0,1)</f>
        <v>0</v>
      </c>
    </row>
    <row r="24" customFormat="false" ht="15" hidden="false" customHeight="true" outlineLevel="0" collapsed="false">
      <c r="A24" s="1" t="s">
        <v>511</v>
      </c>
      <c r="B24" s="55" t="s">
        <v>494</v>
      </c>
      <c r="C24" s="84" t="n">
        <v>-148174.783264826</v>
      </c>
      <c r="D24" s="84" t="n">
        <v>-364906.68628019</v>
      </c>
      <c r="E24" s="84" t="n">
        <v>21993.2055453903</v>
      </c>
      <c r="F24" s="85" t="n">
        <f aca="false">F22-Assumptions!$C$13</f>
        <v>-148174.783264826</v>
      </c>
      <c r="G24" s="35" t="n">
        <f aca="false">ROUND(F24-INDEX(C24:E24,Assumptions!$C$11),0)</f>
        <v>0</v>
      </c>
    </row>
    <row r="25" customFormat="false" ht="15" hidden="false" customHeight="true" outlineLevel="0" collapsed="false">
      <c r="A25" s="1" t="s">
        <v>512</v>
      </c>
      <c r="B25" s="55" t="s">
        <v>494</v>
      </c>
      <c r="C25" s="84" t="n">
        <v>435689.783239396</v>
      </c>
      <c r="D25" s="84" t="n">
        <v>396015.962919362</v>
      </c>
      <c r="E25" s="84" t="n">
        <v>457798.721571413</v>
      </c>
      <c r="F25" s="85" t="n">
        <f aca="false">BS!$C$11+BS!$C$12</f>
        <v>435689.783239396</v>
      </c>
      <c r="G25" s="35" t="n">
        <f aca="false">ROUND(F25-INDEX(C25:E25,Assumptions!$C$11),0)</f>
        <v>0</v>
      </c>
    </row>
    <row r="26" customFormat="false" ht="15" hidden="false" customHeight="true" outlineLevel="0" collapsed="false">
      <c r="A26" s="1" t="s">
        <v>513</v>
      </c>
      <c r="B26" s="55" t="s">
        <v>494</v>
      </c>
      <c r="C26" s="84" t="n">
        <v>182242.784503807</v>
      </c>
      <c r="D26" s="84" t="n">
        <v>198926.456143973</v>
      </c>
      <c r="E26" s="84" t="n">
        <v>196934.978615282</v>
      </c>
      <c r="F26" s="85" t="n">
        <f aca="false">BS!$C$10</f>
        <v>182242.784503807</v>
      </c>
      <c r="G26" s="35" t="n">
        <f aca="false">ROUND(F26-INDEX(C26:E26,Assumptions!$C$11),0)</f>
        <v>0</v>
      </c>
    </row>
    <row r="27" customFormat="false" ht="15" hidden="false" customHeight="true" outlineLevel="0" collapsed="false">
      <c r="A27" s="1" t="s">
        <v>514</v>
      </c>
      <c r="B27" s="55" t="s">
        <v>494</v>
      </c>
      <c r="C27" s="84" t="n">
        <v>483698.841713906</v>
      </c>
      <c r="D27" s="84" t="n">
        <v>475320.018380407</v>
      </c>
      <c r="E27" s="84" t="n">
        <v>514796.863652253</v>
      </c>
      <c r="F27" s="85" t="n">
        <f aca="false">BS!$C$40</f>
        <v>483698.841713906</v>
      </c>
      <c r="G27" s="35" t="n">
        <f aca="false">ROUND(F27-INDEX(C27:E27,Assumptions!$C$11),0)</f>
        <v>0</v>
      </c>
    </row>
    <row r="28" customFormat="false" ht="15" hidden="false" customHeight="true" outlineLevel="0" collapsed="false">
      <c r="A28" s="1" t="s">
        <v>515</v>
      </c>
      <c r="B28" s="55" t="s">
        <v>494</v>
      </c>
      <c r="C28" s="84" t="n">
        <v>241870.52161391</v>
      </c>
      <c r="D28" s="84" t="n">
        <v>221478.813107059</v>
      </c>
      <c r="E28" s="84" t="n">
        <v>252884.410925874</v>
      </c>
      <c r="F28" s="85" t="n">
        <f aca="false">BS!$C$22</f>
        <v>241870.52161391</v>
      </c>
      <c r="G28" s="35" t="n">
        <f aca="false">ROUND(F28-INDEX(C28:E28,Assumptions!$C$11),0)</f>
        <v>0</v>
      </c>
    </row>
    <row r="29" customFormat="false" ht="15" hidden="false" customHeight="true" outlineLevel="0" collapsed="false">
      <c r="A29" s="1" t="s">
        <v>516</v>
      </c>
      <c r="B29" s="55" t="s">
        <v>497</v>
      </c>
      <c r="C29" s="86" t="n">
        <v>0.248466081645194</v>
      </c>
      <c r="D29" s="86" t="n">
        <v>0.162929184106619</v>
      </c>
      <c r="E29" s="86" t="n">
        <v>0.289497376405773</v>
      </c>
      <c r="F29" s="87" t="n">
        <f aca="false">PL!$D$33</f>
        <v>0.248466081645194</v>
      </c>
      <c r="G29" s="37" t="n">
        <f aca="false">ROUND(F29-INDEX(C29:E29,Assumptions!$C$11),0)</f>
        <v>0</v>
      </c>
    </row>
    <row r="30" customFormat="false" ht="15" hidden="false" customHeight="true" outlineLevel="0" collapsed="false">
      <c r="A30" s="1" t="s">
        <v>517</v>
      </c>
      <c r="B30" s="55" t="s">
        <v>497</v>
      </c>
      <c r="C30" s="86" t="n">
        <v>0.0425740035427816</v>
      </c>
      <c r="D30" s="86" t="n">
        <v>-0.05863745144433</v>
      </c>
      <c r="E30" s="86" t="n">
        <v>0.106142810619252</v>
      </c>
      <c r="F30" s="87" t="n">
        <f aca="false">PL!$D$49</f>
        <v>0.0425740035427816</v>
      </c>
      <c r="G30" s="37" t="n">
        <f aca="false">ROUND(F30-INDEX(C30:E30,Assumptions!$C$11),0)</f>
        <v>0</v>
      </c>
    </row>
    <row r="31" customFormat="false" ht="15" hidden="false" customHeight="true" outlineLevel="0" collapsed="false">
      <c r="A31" s="6" t="s">
        <v>518</v>
      </c>
      <c r="G31" s="81" t="n">
        <f aca="false">SUM(G9:G30)</f>
        <v>0</v>
      </c>
    </row>
    <row r="33" customFormat="false" ht="15" hidden="false" customHeight="true" outlineLevel="0" collapsed="false">
      <c r="A33" s="22" t="s">
        <v>519</v>
      </c>
      <c r="B33" s="23"/>
      <c r="C33" s="23"/>
      <c r="D33" s="23"/>
      <c r="E33" s="23"/>
      <c r="F33" s="23"/>
      <c r="G33" s="23"/>
    </row>
    <row r="34" customFormat="false" ht="15" hidden="false" customHeight="true" outlineLevel="0" collapsed="false">
      <c r="A34" s="1" t="str">
        <f aca="false">Assumptions!A78</f>
        <v>Shopify unit volume growth vs deseasonalised run-rate (annualised)</v>
      </c>
      <c r="B34" s="55" t="n">
        <f aca="false">Assumptions!B78</f>
        <v>0</v>
      </c>
      <c r="C34" s="60" t="n">
        <f aca="false">Assumptions!C78</f>
        <v>0.22</v>
      </c>
      <c r="D34" s="60" t="n">
        <f aca="false">Assumptions!D78</f>
        <v>0.05</v>
      </c>
      <c r="E34" s="60" t="n">
        <f aca="false">Assumptions!E78</f>
        <v>0.32</v>
      </c>
      <c r="F34" s="87" t="n">
        <f aca="false">Assumptions!F78</f>
        <v>0.22</v>
      </c>
    </row>
    <row r="35" customFormat="false" ht="15" hidden="false" customHeight="true" outlineLevel="0" collapsed="false">
      <c r="A35" s="1" t="str">
        <f aca="false">Assumptions!A79</f>
        <v>Amazon unit volume growth vs run-rate (annualised)</v>
      </c>
      <c r="B35" s="55" t="n">
        <f aca="false">Assumptions!B79</f>
        <v>0</v>
      </c>
      <c r="C35" s="60" t="n">
        <f aca="false">Assumptions!C79</f>
        <v>0.28</v>
      </c>
      <c r="D35" s="60" t="n">
        <f aca="false">Assumptions!D79</f>
        <v>0.1</v>
      </c>
      <c r="E35" s="60" t="n">
        <f aca="false">Assumptions!E79</f>
        <v>0.38</v>
      </c>
      <c r="F35" s="87" t="n">
        <f aca="false">Assumptions!F79</f>
        <v>0.28</v>
      </c>
    </row>
    <row r="36" customFormat="false" ht="15" hidden="false" customHeight="true" outlineLevel="0" collapsed="false">
      <c r="A36" s="1" t="str">
        <f aca="false">Assumptions!A80</f>
        <v>Walmart unit volume growth vs run-rate (annualised)</v>
      </c>
      <c r="B36" s="55" t="n">
        <f aca="false">Assumptions!B80</f>
        <v>0</v>
      </c>
      <c r="C36" s="60" t="n">
        <f aca="false">Assumptions!C80</f>
        <v>0.7</v>
      </c>
      <c r="D36" s="60" t="n">
        <f aca="false">Assumptions!D80</f>
        <v>0.25</v>
      </c>
      <c r="E36" s="60" t="n">
        <f aca="false">Assumptions!E80</f>
        <v>1.1</v>
      </c>
      <c r="F36" s="87" t="n">
        <f aca="false">Assumptions!F80</f>
        <v>0.7</v>
      </c>
    </row>
    <row r="37" customFormat="false" ht="15" hidden="false" customHeight="true" outlineLevel="0" collapsed="false">
      <c r="A37" s="1" t="str">
        <f aca="false">Assumptions!A81</f>
        <v>Shopify gross unit price change (annualised)</v>
      </c>
      <c r="B37" s="55" t="n">
        <f aca="false">Assumptions!B81</f>
        <v>0</v>
      </c>
      <c r="C37" s="60" t="n">
        <f aca="false">Assumptions!C81</f>
        <v>0.03</v>
      </c>
      <c r="D37" s="60" t="n">
        <f aca="false">Assumptions!D81</f>
        <v>0</v>
      </c>
      <c r="E37" s="60" t="n">
        <f aca="false">Assumptions!E81</f>
        <v>0.04</v>
      </c>
      <c r="F37" s="87" t="n">
        <f aca="false">Assumptions!F81</f>
        <v>0.03</v>
      </c>
    </row>
    <row r="38" customFormat="false" ht="15" hidden="false" customHeight="true" outlineLevel="0" collapsed="false">
      <c r="A38" s="1" t="str">
        <f aca="false">Assumptions!A84</f>
        <v>Shopify discounts as share of gross sales</v>
      </c>
      <c r="B38" s="55" t="n">
        <f aca="false">Assumptions!B84</f>
        <v>0</v>
      </c>
      <c r="C38" s="60" t="n">
        <f aca="false">Assumptions!C84</f>
        <v>0.085</v>
      </c>
      <c r="D38" s="60" t="n">
        <f aca="false">Assumptions!D84</f>
        <v>0.1</v>
      </c>
      <c r="E38" s="60" t="n">
        <f aca="false">Assumptions!E84</f>
        <v>0.075</v>
      </c>
      <c r="F38" s="87" t="n">
        <f aca="false">Assumptions!F84</f>
        <v>0.085</v>
      </c>
    </row>
    <row r="39" customFormat="false" ht="15" hidden="false" customHeight="true" outlineLevel="0" collapsed="false">
      <c r="A39" s="1" t="str">
        <f aca="false">Assumptions!A87</f>
        <v>Shopify refunds and returns as share of gross sales</v>
      </c>
      <c r="B39" s="55" t="n">
        <f aca="false">Assumptions!B87</f>
        <v>0</v>
      </c>
      <c r="C39" s="60" t="n">
        <f aca="false">Assumptions!C87</f>
        <v>0.065</v>
      </c>
      <c r="D39" s="60" t="n">
        <f aca="false">Assumptions!D87</f>
        <v>0.08</v>
      </c>
      <c r="E39" s="60" t="n">
        <f aca="false">Assumptions!E87</f>
        <v>0.055</v>
      </c>
      <c r="F39" s="87" t="n">
        <f aca="false">Assumptions!F87</f>
        <v>0.065</v>
      </c>
    </row>
    <row r="40" customFormat="false" ht="15" hidden="false" customHeight="true" outlineLevel="0" collapsed="false">
      <c r="A40" s="1" t="str">
        <f aca="false">Assumptions!A88</f>
        <v>Amazon refunds and returns as share of gross sales</v>
      </c>
      <c r="B40" s="55" t="n">
        <f aca="false">Assumptions!B88</f>
        <v>0</v>
      </c>
      <c r="C40" s="60" t="n">
        <f aca="false">Assumptions!C88</f>
        <v>0.075</v>
      </c>
      <c r="D40" s="60" t="n">
        <f aca="false">Assumptions!D88</f>
        <v>0.09</v>
      </c>
      <c r="E40" s="60" t="n">
        <f aca="false">Assumptions!E88</f>
        <v>0.07</v>
      </c>
      <c r="F40" s="87" t="n">
        <f aca="false">Assumptions!F88</f>
        <v>0.075</v>
      </c>
    </row>
    <row r="41" customFormat="false" ht="15" hidden="false" customHeight="true" outlineLevel="0" collapsed="false">
      <c r="A41" s="1" t="str">
        <f aca="false">Assumptions!A94</f>
        <v>Landed unit cost inflation (annualised)</v>
      </c>
      <c r="B41" s="55" t="n">
        <f aca="false">Assumptions!B94</f>
        <v>0</v>
      </c>
      <c r="C41" s="60" t="n">
        <f aca="false">Assumptions!C94</f>
        <v>0.03</v>
      </c>
      <c r="D41" s="60" t="n">
        <f aca="false">Assumptions!D94</f>
        <v>0.07</v>
      </c>
      <c r="E41" s="60" t="n">
        <f aca="false">Assumptions!E94</f>
        <v>0.01</v>
      </c>
      <c r="F41" s="87" t="n">
        <f aca="false">Assumptions!F94</f>
        <v>0.03</v>
      </c>
    </row>
    <row r="42" customFormat="false" ht="15" hidden="false" customHeight="true" outlineLevel="0" collapsed="false">
      <c r="A42" s="1" t="str">
        <f aca="false">Assumptions!A95</f>
        <v>Returned units resellable and recovered to stock</v>
      </c>
      <c r="B42" s="55" t="n">
        <f aca="false">Assumptions!B95</f>
        <v>0</v>
      </c>
      <c r="C42" s="60" t="n">
        <f aca="false">Assumptions!C95</f>
        <v>0.65</v>
      </c>
      <c r="D42" s="60" t="n">
        <f aca="false">Assumptions!D95</f>
        <v>0.55</v>
      </c>
      <c r="E42" s="60" t="n">
        <f aca="false">Assumptions!E95</f>
        <v>0.7</v>
      </c>
      <c r="F42" s="87" t="n">
        <f aca="false">Assumptions!F95</f>
        <v>0.65</v>
      </c>
    </row>
    <row r="43" customFormat="false" ht="15" hidden="false" customHeight="true" outlineLevel="0" collapsed="false">
      <c r="A43" s="1" t="str">
        <f aca="false">Assumptions!A98</f>
        <v>FBA fulfilment fee per unit</v>
      </c>
      <c r="B43" s="55" t="str">
        <f aca="false">Assumptions!B98</f>
        <v>EUR</v>
      </c>
      <c r="C43" s="65" t="n">
        <f aca="false">Assumptions!C98</f>
        <v>5.4</v>
      </c>
      <c r="D43" s="65" t="n">
        <f aca="false">Assumptions!D98</f>
        <v>5.65</v>
      </c>
      <c r="E43" s="65" t="n">
        <f aca="false">Assumptions!E98</f>
        <v>5.35</v>
      </c>
      <c r="F43" s="91" t="n">
        <f aca="false">Assumptions!F98</f>
        <v>5.4</v>
      </c>
    </row>
    <row r="44" customFormat="false" ht="15" hidden="false" customHeight="true" outlineLevel="0" collapsed="false">
      <c r="A44" s="1" t="str">
        <f aca="false">Assumptions!A107</f>
        <v>Carrier cost per Shopify order</v>
      </c>
      <c r="B44" s="55" t="str">
        <f aca="false">Assumptions!B107</f>
        <v>EUR</v>
      </c>
      <c r="C44" s="65" t="n">
        <f aca="false">Assumptions!C107</f>
        <v>6.35</v>
      </c>
      <c r="D44" s="65" t="n">
        <f aca="false">Assumptions!D107</f>
        <v>6.8</v>
      </c>
      <c r="E44" s="65" t="n">
        <f aca="false">Assumptions!E107</f>
        <v>6.2</v>
      </c>
      <c r="F44" s="91" t="n">
        <f aca="false">Assumptions!F107</f>
        <v>6.35</v>
      </c>
    </row>
    <row r="45" customFormat="false" ht="15" hidden="false" customHeight="true" outlineLevel="0" collapsed="false">
      <c r="A45" s="1" t="str">
        <f aca="false">Assumptions!A109</f>
        <v>Shopify paid media (Meta, Google) as share of net revenue</v>
      </c>
      <c r="B45" s="55" t="n">
        <f aca="false">Assumptions!B109</f>
        <v>0</v>
      </c>
      <c r="C45" s="60" t="n">
        <f aca="false">Assumptions!C109</f>
        <v>0.19</v>
      </c>
      <c r="D45" s="60" t="n">
        <f aca="false">Assumptions!D109</f>
        <v>0.23</v>
      </c>
      <c r="E45" s="60" t="n">
        <f aca="false">Assumptions!E109</f>
        <v>0.17</v>
      </c>
      <c r="F45" s="87" t="n">
        <f aca="false">Assumptions!F109</f>
        <v>0.19</v>
      </c>
    </row>
    <row r="46" customFormat="false" ht="15" hidden="false" customHeight="true" outlineLevel="0" collapsed="false">
      <c r="A46" s="1" t="str">
        <f aca="false">Assumptions!A110</f>
        <v>Amazon advertising as share of net revenue</v>
      </c>
      <c r="B46" s="55" t="n">
        <f aca="false">Assumptions!B110</f>
        <v>0</v>
      </c>
      <c r="C46" s="60" t="n">
        <f aca="false">Assumptions!C110</f>
        <v>0.095</v>
      </c>
      <c r="D46" s="60" t="n">
        <f aca="false">Assumptions!D110</f>
        <v>0.115</v>
      </c>
      <c r="E46" s="60" t="n">
        <f aca="false">Assumptions!E110</f>
        <v>0.085</v>
      </c>
      <c r="F46" s="87" t="n">
        <f aca="false">Assumptions!F110</f>
        <v>0.095</v>
      </c>
    </row>
    <row r="47" customFormat="false" ht="15" hidden="false" customHeight="true" outlineLevel="0" collapsed="false">
      <c r="A47" s="1" t="str">
        <f aca="false">Assumptions!A111</f>
        <v>Walmart Connect advertising as share of net revenue</v>
      </c>
      <c r="B47" s="55" t="n">
        <f aca="false">Assumptions!B111</f>
        <v>0</v>
      </c>
      <c r="C47" s="60" t="n">
        <f aca="false">Assumptions!C111</f>
        <v>0.12</v>
      </c>
      <c r="D47" s="60" t="n">
        <f aca="false">Assumptions!D111</f>
        <v>0.15</v>
      </c>
      <c r="E47" s="60" t="n">
        <f aca="false">Assumptions!E111</f>
        <v>0.1</v>
      </c>
      <c r="F47" s="87" t="n">
        <f aca="false">Assumptions!F111</f>
        <v>0.12</v>
      </c>
    </row>
    <row r="48" customFormat="false" ht="15" hidden="false" customHeight="true" outlineLevel="0" collapsed="false">
      <c r="A48" s="1" t="str">
        <f aca="false">Assumptions!A114</f>
        <v>Amazon settlement cycle plus reserve</v>
      </c>
      <c r="B48" s="55" t="str">
        <f aca="false">Assumptions!B114</f>
        <v>days</v>
      </c>
      <c r="C48" s="92" t="n">
        <f aca="false">Assumptions!C114</f>
        <v>21</v>
      </c>
      <c r="D48" s="92" t="n">
        <f aca="false">Assumptions!D114</f>
        <v>28</v>
      </c>
      <c r="E48" s="92" t="n">
        <f aca="false">Assumptions!E114</f>
        <v>21</v>
      </c>
      <c r="F48" s="93" t="n">
        <f aca="false">Assumptions!F114</f>
        <v>21</v>
      </c>
    </row>
    <row r="49" customFormat="false" ht="15" hidden="false" customHeight="true" outlineLevel="0" collapsed="false">
      <c r="A49" s="1" t="str">
        <f aca="false">Assumptions!A116</f>
        <v>Inventory purchasing policy: target forward days of cover</v>
      </c>
      <c r="B49" s="55" t="str">
        <f aca="false">Assumptions!B116</f>
        <v>days</v>
      </c>
      <c r="C49" s="92" t="n">
        <f aca="false">Assumptions!C116</f>
        <v>75</v>
      </c>
      <c r="D49" s="92" t="n">
        <f aca="false">Assumptions!D116</f>
        <v>65</v>
      </c>
      <c r="E49" s="92" t="n">
        <f aca="false">Assumptions!E116</f>
        <v>80</v>
      </c>
      <c r="F49" s="93" t="n">
        <f aca="false">Assumptions!F116</f>
        <v>75</v>
      </c>
    </row>
    <row r="50" customFormat="false" ht="15" hidden="false" customHeight="true" outlineLevel="0" collapsed="false">
      <c r="A50" s="1" t="str">
        <f aca="false">Assumptions!A117</f>
        <v>Discretionary opex factor (contractors, travel, content, recruitment)</v>
      </c>
      <c r="B50" s="55" t="str">
        <f aca="false">Assumptions!B117</f>
        <v>x</v>
      </c>
      <c r="C50" s="94" t="n">
        <f aca="false">Assumptions!C117</f>
        <v>1</v>
      </c>
      <c r="D50" s="94" t="n">
        <f aca="false">Assumptions!D117</f>
        <v>0.9</v>
      </c>
      <c r="E50" s="94" t="n">
        <f aca="false">Assumptions!E117</f>
        <v>1.05</v>
      </c>
      <c r="F50" s="95" t="n">
        <f aca="false">Assumptions!F117</f>
        <v>1</v>
      </c>
    </row>
    <row r="51" customFormat="false" ht="15" hidden="false" customHeight="true" outlineLevel="0" collapsed="false">
      <c r="A51" s="1" t="str">
        <f aca="false">Assumptions!A118</f>
        <v>Planned hires proceed (1 = yes, 0 = frozen)</v>
      </c>
      <c r="B51" s="55" t="str">
        <f aca="false">Assumptions!B118</f>
        <v>flag</v>
      </c>
      <c r="C51" s="92" t="n">
        <f aca="false">Assumptions!C118</f>
        <v>1</v>
      </c>
      <c r="D51" s="92" t="n">
        <f aca="false">Assumptions!D118</f>
        <v>0</v>
      </c>
      <c r="E51" s="92" t="n">
        <f aca="false">Assumptions!E118</f>
        <v>1</v>
      </c>
      <c r="F51" s="93" t="n">
        <f aca="false">Assumptions!F118</f>
        <v>1</v>
      </c>
    </row>
    <row r="52" customFormat="false" ht="15" hidden="false" customHeight="true" outlineLevel="0" collapsed="false">
      <c r="A52" s="1" t="str">
        <f aca="false">Assumptions!A119</f>
        <v>USD per EUR, forecast months</v>
      </c>
      <c r="B52" s="55" t="str">
        <f aca="false">Assumptions!B119</f>
        <v>rate</v>
      </c>
      <c r="C52" s="96" t="n">
        <f aca="false">Assumptions!C119</f>
        <v>1.1</v>
      </c>
      <c r="D52" s="96" t="n">
        <f aca="false">Assumptions!D119</f>
        <v>1.16</v>
      </c>
      <c r="E52" s="96" t="n">
        <f aca="false">Assumptions!E119</f>
        <v>1.06</v>
      </c>
      <c r="F52" s="97" t="n">
        <f aca="false">Assumptions!F119</f>
        <v>1.1</v>
      </c>
    </row>
    <row r="54" customFormat="false" ht="15" hidden="false" customHeight="true" outlineLevel="0" collapsed="false">
      <c r="A54" s="25" t="s">
        <v>520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9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1" outlineLevelCol="0"/>
  <cols>
    <col collapsed="false" customWidth="true" hidden="false" outlineLevel="0" max="1" min="1" style="1" width="70"/>
    <col collapsed="false" customWidth="true" hidden="false" outlineLevel="0" max="2" min="2" style="1" width="20"/>
    <col collapsed="false" customWidth="true" hidden="false" outlineLevel="0" max="3" min="3" style="1" width="14"/>
    <col collapsed="false" customWidth="true" hidden="false" outlineLevel="0" max="7" min="4" style="1" width="13"/>
    <col collapsed="false" customWidth="true" hidden="false" outlineLevel="0" max="21" min="8" style="1" width="12"/>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521</v>
      </c>
    </row>
    <row r="3" customFormat="false" ht="15" hidden="false" customHeight="true" outlineLevel="0" collapsed="false">
      <c r="A3" s="25" t="s">
        <v>522</v>
      </c>
    </row>
    <row r="5" customFormat="false" ht="30" hidden="false" customHeight="true" outlineLevel="0" collapsed="false">
      <c r="A5" s="98" t="s">
        <v>257</v>
      </c>
      <c r="B5" s="99" t="s">
        <v>523</v>
      </c>
      <c r="C5" s="99" t="s">
        <v>524</v>
      </c>
      <c r="D5" s="99" t="s">
        <v>525</v>
      </c>
      <c r="E5" s="99" t="s">
        <v>526</v>
      </c>
      <c r="F5" s="99" t="s">
        <v>527</v>
      </c>
      <c r="G5" s="99" t="s">
        <v>528</v>
      </c>
      <c r="H5" s="99" t="s">
        <v>529</v>
      </c>
      <c r="I5" s="99" t="s">
        <v>530</v>
      </c>
      <c r="J5" s="99" t="s">
        <v>531</v>
      </c>
      <c r="K5" s="99" t="s">
        <v>532</v>
      </c>
      <c r="L5" s="99" t="s">
        <v>533</v>
      </c>
      <c r="M5" s="99" t="s">
        <v>534</v>
      </c>
      <c r="N5" s="99" t="s">
        <v>535</v>
      </c>
      <c r="O5" s="99" t="s">
        <v>536</v>
      </c>
      <c r="P5" s="99" t="s">
        <v>537</v>
      </c>
      <c r="Q5" s="99" t="s">
        <v>538</v>
      </c>
      <c r="R5" s="99" t="s">
        <v>539</v>
      </c>
      <c r="S5" s="99" t="s">
        <v>540</v>
      </c>
      <c r="T5" s="99" t="s">
        <v>541</v>
      </c>
      <c r="U5" s="99" t="s">
        <v>542</v>
      </c>
      <c r="W5" s="99" t="s">
        <v>543</v>
      </c>
      <c r="X5" s="99" t="s">
        <v>544</v>
      </c>
    </row>
    <row r="6" customFormat="false" ht="15" hidden="false" customHeight="true" outlineLevel="0" collapsed="false">
      <c r="A6" s="1" t="s">
        <v>545</v>
      </c>
      <c r="H6" s="100" t="n">
        <v>46283</v>
      </c>
      <c r="I6" s="101" t="n">
        <f aca="false">H6+7</f>
        <v>46290</v>
      </c>
      <c r="J6" s="101" t="n">
        <f aca="false">I6+7</f>
        <v>46297</v>
      </c>
      <c r="K6" s="101" t="n">
        <f aca="false">J6+7</f>
        <v>46304</v>
      </c>
      <c r="L6" s="101" t="n">
        <f aca="false">K6+7</f>
        <v>46311</v>
      </c>
      <c r="M6" s="101" t="n">
        <f aca="false">L6+7</f>
        <v>46318</v>
      </c>
      <c r="N6" s="101" t="n">
        <f aca="false">M6+7</f>
        <v>46325</v>
      </c>
      <c r="O6" s="101" t="n">
        <f aca="false">N6+7</f>
        <v>46332</v>
      </c>
      <c r="P6" s="101" t="n">
        <f aca="false">O6+7</f>
        <v>46339</v>
      </c>
      <c r="Q6" s="101" t="n">
        <f aca="false">P6+7</f>
        <v>46346</v>
      </c>
      <c r="R6" s="101" t="n">
        <f aca="false">Q6+7</f>
        <v>46353</v>
      </c>
      <c r="S6" s="101" t="n">
        <f aca="false">R6+7</f>
        <v>46360</v>
      </c>
      <c r="T6" s="101" t="n">
        <f aca="false">S6+7</f>
        <v>46367</v>
      </c>
    </row>
    <row r="7" customFormat="false" ht="15" hidden="false" customHeight="true" outlineLevel="0" collapsed="false">
      <c r="A7" s="1" t="s">
        <v>546</v>
      </c>
      <c r="B7" s="55" t="s">
        <v>547</v>
      </c>
      <c r="C7" s="102" t="n">
        <v>46276</v>
      </c>
      <c r="H7" s="102" t="n">
        <f aca="false">H6-6</f>
        <v>46277</v>
      </c>
      <c r="I7" s="102" t="n">
        <f aca="false">I6-6</f>
        <v>46284</v>
      </c>
      <c r="J7" s="102" t="n">
        <f aca="false">J6-6</f>
        <v>46291</v>
      </c>
      <c r="K7" s="102" t="n">
        <f aca="false">K6-6</f>
        <v>46298</v>
      </c>
      <c r="L7" s="102" t="n">
        <f aca="false">L6-6</f>
        <v>46305</v>
      </c>
      <c r="M7" s="102" t="n">
        <f aca="false">M6-6</f>
        <v>46312</v>
      </c>
      <c r="N7" s="102" t="n">
        <f aca="false">N6-6</f>
        <v>46319</v>
      </c>
      <c r="O7" s="102" t="n">
        <f aca="false">O6-6</f>
        <v>46326</v>
      </c>
      <c r="P7" s="102" t="n">
        <f aca="false">P6-6</f>
        <v>46333</v>
      </c>
      <c r="Q7" s="102" t="n">
        <f aca="false">Q6-6</f>
        <v>46340</v>
      </c>
      <c r="R7" s="102" t="n">
        <f aca="false">R6-6</f>
        <v>46347</v>
      </c>
      <c r="S7" s="102" t="n">
        <f aca="false">S6-6</f>
        <v>46354</v>
      </c>
      <c r="T7" s="102" t="n">
        <f aca="false">T6-6</f>
        <v>46361</v>
      </c>
    </row>
    <row r="8" customFormat="false" ht="15" hidden="false" customHeight="true" outlineLevel="0" collapsed="false">
      <c r="A8" s="1" t="s">
        <v>548</v>
      </c>
      <c r="H8" s="103" t="n">
        <f aca="false">EOMONTH(H6,0)</f>
        <v>46295</v>
      </c>
      <c r="I8" s="103" t="n">
        <f aca="false">EOMONTH(I6,0)</f>
        <v>46295</v>
      </c>
      <c r="J8" s="103" t="n">
        <f aca="false">EOMONTH(J6,0)</f>
        <v>46326</v>
      </c>
      <c r="K8" s="103" t="n">
        <f aca="false">EOMONTH(K6,0)</f>
        <v>46326</v>
      </c>
      <c r="L8" s="103" t="n">
        <f aca="false">EOMONTH(L6,0)</f>
        <v>46326</v>
      </c>
      <c r="M8" s="103" t="n">
        <f aca="false">EOMONTH(M6,0)</f>
        <v>46326</v>
      </c>
      <c r="N8" s="103" t="n">
        <f aca="false">EOMONTH(N6,0)</f>
        <v>46326</v>
      </c>
      <c r="O8" s="103" t="n">
        <f aca="false">EOMONTH(O6,0)</f>
        <v>46356</v>
      </c>
      <c r="P8" s="103" t="n">
        <f aca="false">EOMONTH(P6,0)</f>
        <v>46356</v>
      </c>
      <c r="Q8" s="103" t="n">
        <f aca="false">EOMONTH(Q6,0)</f>
        <v>46356</v>
      </c>
      <c r="R8" s="103" t="n">
        <f aca="false">EOMONTH(R6,0)</f>
        <v>46356</v>
      </c>
      <c r="S8" s="103" t="n">
        <f aca="false">EOMONTH(S6,0)</f>
        <v>46387</v>
      </c>
      <c r="T8" s="103" t="n">
        <f aca="false">EOMONTH(T6,0)</f>
        <v>46387</v>
      </c>
    </row>
    <row r="10" customFormat="false" ht="15" hidden="false" customHeight="true" outlineLevel="0" collapsed="false">
      <c r="A10" s="22" t="s">
        <v>549</v>
      </c>
      <c r="B10" s="23"/>
      <c r="C10" s="23"/>
      <c r="D10" s="23"/>
      <c r="E10" s="23"/>
      <c r="F10" s="23"/>
      <c r="G10" s="23"/>
      <c r="H10" s="23"/>
      <c r="I10" s="23"/>
      <c r="J10" s="23"/>
      <c r="K10" s="23"/>
      <c r="L10" s="23"/>
      <c r="M10" s="23"/>
      <c r="N10" s="23"/>
      <c r="O10" s="23"/>
      <c r="P10" s="23"/>
      <c r="Q10" s="23"/>
      <c r="R10" s="23"/>
      <c r="S10" s="23"/>
      <c r="T10" s="23"/>
      <c r="U10" s="23"/>
    </row>
    <row r="11" customFormat="false" ht="15" hidden="false" customHeight="true" outlineLevel="1" collapsed="false">
      <c r="A11" s="14" t="s">
        <v>550</v>
      </c>
      <c r="H11" s="104" t="n">
        <f aca="false">MAX(0,MIN(H$6,Assumptions!M$61)-MAX(H$7,DATE(2026,9,1),$C$7+1)+1)/(Assumptions!M$61-$C$7)</f>
        <v>0.368421052631579</v>
      </c>
      <c r="I11" s="104" t="n">
        <f aca="false">MAX(0,MIN(I$6,Assumptions!M$61)-MAX(I$7,DATE(2026,9,1),$C$7+1)+1)/(Assumptions!M$61-$C$7)</f>
        <v>0.368421052631579</v>
      </c>
      <c r="J11" s="104" t="n">
        <f aca="false">MAX(0,MIN(J$6,Assumptions!M$61)-MAX(J$7,DATE(2026,9,1),$C$7+1)+1)/(Assumptions!M$61-$C$7)</f>
        <v>0.263157894736842</v>
      </c>
      <c r="K11" s="104" t="n">
        <f aca="false">MAX(0,MIN(K$6,Assumptions!M$61)-MAX(K$7,DATE(2026,9,1),$C$7+1)+1)/(Assumptions!M$61-$C$7)</f>
        <v>0</v>
      </c>
      <c r="L11" s="104" t="n">
        <f aca="false">MAX(0,MIN(L$6,Assumptions!M$61)-MAX(L$7,DATE(2026,9,1),$C$7+1)+1)/(Assumptions!M$61-$C$7)</f>
        <v>0</v>
      </c>
      <c r="M11" s="104" t="n">
        <f aca="false">MAX(0,MIN(M$6,Assumptions!M$61)-MAX(M$7,DATE(2026,9,1),$C$7+1)+1)/(Assumptions!M$61-$C$7)</f>
        <v>0</v>
      </c>
      <c r="N11" s="104" t="n">
        <f aca="false">MAX(0,MIN(N$6,Assumptions!M$61)-MAX(N$7,DATE(2026,9,1),$C$7+1)+1)/(Assumptions!M$61-$C$7)</f>
        <v>0</v>
      </c>
      <c r="O11" s="104" t="n">
        <f aca="false">MAX(0,MIN(O$6,Assumptions!M$61)-MAX(O$7,DATE(2026,9,1),$C$7+1)+1)/(Assumptions!M$61-$C$7)</f>
        <v>0</v>
      </c>
      <c r="P11" s="104" t="n">
        <f aca="false">MAX(0,MIN(P$6,Assumptions!M$61)-MAX(P$7,DATE(2026,9,1),$C$7+1)+1)/(Assumptions!M$61-$C$7)</f>
        <v>0</v>
      </c>
      <c r="Q11" s="104" t="n">
        <f aca="false">MAX(0,MIN(Q$6,Assumptions!M$61)-MAX(Q$7,DATE(2026,9,1),$C$7+1)+1)/(Assumptions!M$61-$C$7)</f>
        <v>0</v>
      </c>
      <c r="R11" s="104" t="n">
        <f aca="false">MAX(0,MIN(R$6,Assumptions!M$61)-MAX(R$7,DATE(2026,9,1),$C$7+1)+1)/(Assumptions!M$61-$C$7)</f>
        <v>0</v>
      </c>
      <c r="S11" s="104" t="n">
        <f aca="false">MAX(0,MIN(S$6,Assumptions!M$61)-MAX(S$7,DATE(2026,9,1),$C$7+1)+1)/(Assumptions!M$61-$C$7)</f>
        <v>0</v>
      </c>
      <c r="T11" s="104" t="n">
        <f aca="false">MAX(0,MIN(T$6,Assumptions!M$61)-MAX(T$7,DATE(2026,9,1),$C$7+1)+1)/(Assumptions!M$61-$C$7)</f>
        <v>0</v>
      </c>
      <c r="U11" s="104" t="n">
        <f aca="false">SUM(H11:T11)</f>
        <v>1</v>
      </c>
    </row>
    <row r="12" customFormat="false" ht="15" hidden="false" customHeight="true" outlineLevel="1" collapsed="false">
      <c r="A12" s="14" t="s">
        <v>551</v>
      </c>
      <c r="H12" s="104" t="n">
        <f aca="false">MAX(0,MIN(H$6,Assumptions!N$61)-MAX(H$7,DATE(2026,10,1),$C$7+1)+1)/DAY(Assumptions!N$61)</f>
        <v>0</v>
      </c>
      <c r="I12" s="104" t="n">
        <f aca="false">MAX(0,MIN(I$6,Assumptions!N$61)-MAX(I$7,DATE(2026,10,1),$C$7+1)+1)/DAY(Assumptions!N$61)</f>
        <v>0</v>
      </c>
      <c r="J12" s="104" t="n">
        <f aca="false">MAX(0,MIN(J$6,Assumptions!N$61)-MAX(J$7,DATE(2026,10,1),$C$7+1)+1)/DAY(Assumptions!N$61)</f>
        <v>0.0645161290322581</v>
      </c>
      <c r="K12" s="104" t="n">
        <f aca="false">MAX(0,MIN(K$6,Assumptions!N$61)-MAX(K$7,DATE(2026,10,1),$C$7+1)+1)/DAY(Assumptions!N$61)</f>
        <v>0.225806451612903</v>
      </c>
      <c r="L12" s="104" t="n">
        <f aca="false">MAX(0,MIN(L$6,Assumptions!N$61)-MAX(L$7,DATE(2026,10,1),$C$7+1)+1)/DAY(Assumptions!N$61)</f>
        <v>0.225806451612903</v>
      </c>
      <c r="M12" s="104" t="n">
        <f aca="false">MAX(0,MIN(M$6,Assumptions!N$61)-MAX(M$7,DATE(2026,10,1),$C$7+1)+1)/DAY(Assumptions!N$61)</f>
        <v>0.225806451612903</v>
      </c>
      <c r="N12" s="104" t="n">
        <f aca="false">MAX(0,MIN(N$6,Assumptions!N$61)-MAX(N$7,DATE(2026,10,1),$C$7+1)+1)/DAY(Assumptions!N$61)</f>
        <v>0.225806451612903</v>
      </c>
      <c r="O12" s="104" t="n">
        <f aca="false">MAX(0,MIN(O$6,Assumptions!N$61)-MAX(O$7,DATE(2026,10,1),$C$7+1)+1)/DAY(Assumptions!N$61)</f>
        <v>0.032258064516129</v>
      </c>
      <c r="P12" s="104" t="n">
        <f aca="false">MAX(0,MIN(P$6,Assumptions!N$61)-MAX(P$7,DATE(2026,10,1),$C$7+1)+1)/DAY(Assumptions!N$61)</f>
        <v>0</v>
      </c>
      <c r="Q12" s="104" t="n">
        <f aca="false">MAX(0,MIN(Q$6,Assumptions!N$61)-MAX(Q$7,DATE(2026,10,1),$C$7+1)+1)/DAY(Assumptions!N$61)</f>
        <v>0</v>
      </c>
      <c r="R12" s="104" t="n">
        <f aca="false">MAX(0,MIN(R$6,Assumptions!N$61)-MAX(R$7,DATE(2026,10,1),$C$7+1)+1)/DAY(Assumptions!N$61)</f>
        <v>0</v>
      </c>
      <c r="S12" s="104" t="n">
        <f aca="false">MAX(0,MIN(S$6,Assumptions!N$61)-MAX(S$7,DATE(2026,10,1),$C$7+1)+1)/DAY(Assumptions!N$61)</f>
        <v>0</v>
      </c>
      <c r="T12" s="104" t="n">
        <f aca="false">MAX(0,MIN(T$6,Assumptions!N$61)-MAX(T$7,DATE(2026,10,1),$C$7+1)+1)/DAY(Assumptions!N$61)</f>
        <v>0</v>
      </c>
      <c r="U12" s="104" t="n">
        <f aca="false">SUM(H12:T12)</f>
        <v>1</v>
      </c>
    </row>
    <row r="13" customFormat="false" ht="15" hidden="false" customHeight="true" outlineLevel="1" collapsed="false">
      <c r="A13" s="14" t="s">
        <v>552</v>
      </c>
      <c r="H13" s="104" t="n">
        <f aca="false">MAX(0,MIN(H$6,Assumptions!O$61)-MAX(H$7,DATE(2026,11,1),$C$7+1)+1)/DAY(Assumptions!O$61)</f>
        <v>0</v>
      </c>
      <c r="I13" s="104" t="n">
        <f aca="false">MAX(0,MIN(I$6,Assumptions!O$61)-MAX(I$7,DATE(2026,11,1),$C$7+1)+1)/DAY(Assumptions!O$61)</f>
        <v>0</v>
      </c>
      <c r="J13" s="104" t="n">
        <f aca="false">MAX(0,MIN(J$6,Assumptions!O$61)-MAX(J$7,DATE(2026,11,1),$C$7+1)+1)/DAY(Assumptions!O$61)</f>
        <v>0</v>
      </c>
      <c r="K13" s="104" t="n">
        <f aca="false">MAX(0,MIN(K$6,Assumptions!O$61)-MAX(K$7,DATE(2026,11,1),$C$7+1)+1)/DAY(Assumptions!O$61)</f>
        <v>0</v>
      </c>
      <c r="L13" s="104" t="n">
        <f aca="false">MAX(0,MIN(L$6,Assumptions!O$61)-MAX(L$7,DATE(2026,11,1),$C$7+1)+1)/DAY(Assumptions!O$61)</f>
        <v>0</v>
      </c>
      <c r="M13" s="104" t="n">
        <f aca="false">MAX(0,MIN(M$6,Assumptions!O$61)-MAX(M$7,DATE(2026,11,1),$C$7+1)+1)/DAY(Assumptions!O$61)</f>
        <v>0</v>
      </c>
      <c r="N13" s="104" t="n">
        <f aca="false">MAX(0,MIN(N$6,Assumptions!O$61)-MAX(N$7,DATE(2026,11,1),$C$7+1)+1)/DAY(Assumptions!O$61)</f>
        <v>0</v>
      </c>
      <c r="O13" s="104" t="n">
        <f aca="false">MAX(0,MIN(O$6,Assumptions!O$61)-MAX(O$7,DATE(2026,11,1),$C$7+1)+1)/DAY(Assumptions!O$61)</f>
        <v>0.2</v>
      </c>
      <c r="P13" s="104" t="n">
        <f aca="false">MAX(0,MIN(P$6,Assumptions!O$61)-MAX(P$7,DATE(2026,11,1),$C$7+1)+1)/DAY(Assumptions!O$61)</f>
        <v>0.233333333333333</v>
      </c>
      <c r="Q13" s="104" t="n">
        <f aca="false">MAX(0,MIN(Q$6,Assumptions!O$61)-MAX(Q$7,DATE(2026,11,1),$C$7+1)+1)/DAY(Assumptions!O$61)</f>
        <v>0.233333333333333</v>
      </c>
      <c r="R13" s="104" t="n">
        <f aca="false">MAX(0,MIN(R$6,Assumptions!O$61)-MAX(R$7,DATE(2026,11,1),$C$7+1)+1)/DAY(Assumptions!O$61)</f>
        <v>0.233333333333333</v>
      </c>
      <c r="S13" s="104" t="n">
        <f aca="false">MAX(0,MIN(S$6,Assumptions!O$61)-MAX(S$7,DATE(2026,11,1),$C$7+1)+1)/DAY(Assumptions!O$61)</f>
        <v>0.1</v>
      </c>
      <c r="T13" s="104" t="n">
        <f aca="false">MAX(0,MIN(T$6,Assumptions!O$61)-MAX(T$7,DATE(2026,11,1),$C$7+1)+1)/DAY(Assumptions!O$61)</f>
        <v>0</v>
      </c>
      <c r="U13" s="104" t="n">
        <f aca="false">SUM(H13:T13)</f>
        <v>1</v>
      </c>
    </row>
    <row r="14" customFormat="false" ht="15" hidden="false" customHeight="true" outlineLevel="1" collapsed="false">
      <c r="A14" s="14" t="s">
        <v>553</v>
      </c>
      <c r="H14" s="104" t="n">
        <f aca="false">MAX(0,MIN(H$6,Assumptions!P$61)-MAX(H$7,DATE(2026,12,1),$C$7+1)+1)/DAY(Assumptions!P$61)</f>
        <v>0</v>
      </c>
      <c r="I14" s="104" t="n">
        <f aca="false">MAX(0,MIN(I$6,Assumptions!P$61)-MAX(I$7,DATE(2026,12,1),$C$7+1)+1)/DAY(Assumptions!P$61)</f>
        <v>0</v>
      </c>
      <c r="J14" s="104" t="n">
        <f aca="false">MAX(0,MIN(J$6,Assumptions!P$61)-MAX(J$7,DATE(2026,12,1),$C$7+1)+1)/DAY(Assumptions!P$61)</f>
        <v>0</v>
      </c>
      <c r="K14" s="104" t="n">
        <f aca="false">MAX(0,MIN(K$6,Assumptions!P$61)-MAX(K$7,DATE(2026,12,1),$C$7+1)+1)/DAY(Assumptions!P$61)</f>
        <v>0</v>
      </c>
      <c r="L14" s="104" t="n">
        <f aca="false">MAX(0,MIN(L$6,Assumptions!P$61)-MAX(L$7,DATE(2026,12,1),$C$7+1)+1)/DAY(Assumptions!P$61)</f>
        <v>0</v>
      </c>
      <c r="M14" s="104" t="n">
        <f aca="false">MAX(0,MIN(M$6,Assumptions!P$61)-MAX(M$7,DATE(2026,12,1),$C$7+1)+1)/DAY(Assumptions!P$61)</f>
        <v>0</v>
      </c>
      <c r="N14" s="104" t="n">
        <f aca="false">MAX(0,MIN(N$6,Assumptions!P$61)-MAX(N$7,DATE(2026,12,1),$C$7+1)+1)/DAY(Assumptions!P$61)</f>
        <v>0</v>
      </c>
      <c r="O14" s="104" t="n">
        <f aca="false">MAX(0,MIN(O$6,Assumptions!P$61)-MAX(O$7,DATE(2026,12,1),$C$7+1)+1)/DAY(Assumptions!P$61)</f>
        <v>0</v>
      </c>
      <c r="P14" s="104" t="n">
        <f aca="false">MAX(0,MIN(P$6,Assumptions!P$61)-MAX(P$7,DATE(2026,12,1),$C$7+1)+1)/DAY(Assumptions!P$61)</f>
        <v>0</v>
      </c>
      <c r="Q14" s="104" t="n">
        <f aca="false">MAX(0,MIN(Q$6,Assumptions!P$61)-MAX(Q$7,DATE(2026,12,1),$C$7+1)+1)/DAY(Assumptions!P$61)</f>
        <v>0</v>
      </c>
      <c r="R14" s="104" t="n">
        <f aca="false">MAX(0,MIN(R$6,Assumptions!P$61)-MAX(R$7,DATE(2026,12,1),$C$7+1)+1)/DAY(Assumptions!P$61)</f>
        <v>0</v>
      </c>
      <c r="S14" s="104" t="n">
        <f aca="false">MAX(0,MIN(S$6,Assumptions!P$61)-MAX(S$7,DATE(2026,12,1),$C$7+1)+1)/DAY(Assumptions!P$61)</f>
        <v>0.129032258064516</v>
      </c>
      <c r="T14" s="104" t="n">
        <f aca="false">MAX(0,MIN(T$6,Assumptions!P$61)-MAX(T$7,DATE(2026,12,1),$C$7+1)+1)/DAY(Assumptions!P$61)</f>
        <v>0.225806451612903</v>
      </c>
      <c r="U14" s="104" t="n">
        <f aca="false">SUM(H14:T14)</f>
        <v>0.354838709677419</v>
      </c>
    </row>
    <row r="15" customFormat="false" ht="15" hidden="false" customHeight="true" outlineLevel="1" collapsed="false">
      <c r="A15" s="105" t="s">
        <v>554</v>
      </c>
      <c r="H15" s="106" t="n">
        <v>46280</v>
      </c>
      <c r="I15" s="106"/>
      <c r="J15" s="106" t="n">
        <v>46294</v>
      </c>
      <c r="K15" s="106"/>
      <c r="L15" s="106" t="n">
        <v>46308</v>
      </c>
      <c r="M15" s="106"/>
      <c r="N15" s="106" t="n">
        <v>46322</v>
      </c>
      <c r="O15" s="106"/>
      <c r="P15" s="106" t="n">
        <v>46336</v>
      </c>
      <c r="Q15" s="106"/>
      <c r="R15" s="106" t="n">
        <v>46350</v>
      </c>
      <c r="S15" s="106"/>
      <c r="T15" s="106" t="n">
        <v>46364</v>
      </c>
    </row>
    <row r="16" customFormat="false" ht="15" hidden="false" customHeight="true" outlineLevel="1" collapsed="false">
      <c r="A16" s="105" t="s">
        <v>555</v>
      </c>
      <c r="H16" s="106" t="n">
        <v>46282</v>
      </c>
      <c r="I16" s="106"/>
      <c r="J16" s="106" t="n">
        <v>46296</v>
      </c>
      <c r="K16" s="106"/>
      <c r="L16" s="106" t="n">
        <v>46310</v>
      </c>
      <c r="M16" s="106"/>
      <c r="N16" s="106" t="n">
        <v>46324</v>
      </c>
      <c r="O16" s="106"/>
      <c r="P16" s="106" t="n">
        <v>46338</v>
      </c>
      <c r="Q16" s="106"/>
      <c r="R16" s="106" t="n">
        <v>46352</v>
      </c>
      <c r="S16" s="106"/>
      <c r="T16" s="106" t="n">
        <v>46366</v>
      </c>
    </row>
    <row r="17" customFormat="false" ht="15" hidden="false" customHeight="true" outlineLevel="1" collapsed="false">
      <c r="A17" s="105" t="s">
        <v>556</v>
      </c>
      <c r="D17" s="107" t="n">
        <v>3</v>
      </c>
      <c r="E17" s="107" t="n">
        <v>2</v>
      </c>
      <c r="F17" s="107" t="n">
        <v>2</v>
      </c>
      <c r="G17" s="107" t="n">
        <v>2</v>
      </c>
    </row>
    <row r="18" customFormat="false" ht="15" hidden="false" customHeight="true" outlineLevel="1" collapsed="false">
      <c r="A18" s="105" t="s">
        <v>557</v>
      </c>
      <c r="D18" s="107" t="n">
        <v>2</v>
      </c>
      <c r="E18" s="107" t="n">
        <v>3</v>
      </c>
      <c r="F18" s="107" t="n">
        <v>2</v>
      </c>
      <c r="G18" s="107" t="n">
        <v>2</v>
      </c>
    </row>
    <row r="19" customFormat="false" ht="15" hidden="false" customHeight="true" outlineLevel="1" collapsed="false">
      <c r="A19" s="105" t="s">
        <v>558</v>
      </c>
      <c r="B19" s="55" t="s">
        <v>559</v>
      </c>
      <c r="D19" s="15" t="n">
        <v>1</v>
      </c>
      <c r="E19" s="15" t="n">
        <v>1</v>
      </c>
    </row>
    <row r="20" customFormat="false" ht="15" hidden="false" customHeight="true" outlineLevel="1" collapsed="false">
      <c r="A20" s="14" t="s">
        <v>560</v>
      </c>
      <c r="H20" s="104" t="n">
        <f aca="false">IF(AND(H$15&lt;&gt;"",EOMONTH(H$15,0)=Assumptions!M$61),1/(D$17-D$19),0)</f>
        <v>0.5</v>
      </c>
      <c r="I20" s="104" t="n">
        <f aca="false">IF(AND(I$15&lt;&gt;"",EOMONTH(I$15,0)=Assumptions!M$61),1/(D$17-D$19),0)</f>
        <v>0</v>
      </c>
      <c r="J20" s="104" t="n">
        <f aca="false">IF(AND(J$15&lt;&gt;"",EOMONTH(J$15,0)=Assumptions!M$61),1/(D$17-D$19),0)</f>
        <v>0.5</v>
      </c>
      <c r="K20" s="104" t="n">
        <f aca="false">IF(AND(K$15&lt;&gt;"",EOMONTH(K$15,0)=Assumptions!M$61),1/(D$17-D$19),0)</f>
        <v>0</v>
      </c>
      <c r="L20" s="104" t="n">
        <f aca="false">IF(AND(L$15&lt;&gt;"",EOMONTH(L$15,0)=Assumptions!M$61),1/(D$17-D$19),0)</f>
        <v>0</v>
      </c>
      <c r="M20" s="104" t="n">
        <f aca="false">IF(AND(M$15&lt;&gt;"",EOMONTH(M$15,0)=Assumptions!M$61),1/(D$17-D$19),0)</f>
        <v>0</v>
      </c>
      <c r="N20" s="104" t="n">
        <f aca="false">IF(AND(N$15&lt;&gt;"",EOMONTH(N$15,0)=Assumptions!M$61),1/(D$17-D$19),0)</f>
        <v>0</v>
      </c>
      <c r="O20" s="104" t="n">
        <f aca="false">IF(AND(O$15&lt;&gt;"",EOMONTH(O$15,0)=Assumptions!M$61),1/(D$17-D$19),0)</f>
        <v>0</v>
      </c>
      <c r="P20" s="104" t="n">
        <f aca="false">IF(AND(P$15&lt;&gt;"",EOMONTH(P$15,0)=Assumptions!M$61),1/(D$17-D$19),0)</f>
        <v>0</v>
      </c>
      <c r="Q20" s="104" t="n">
        <f aca="false">IF(AND(Q$15&lt;&gt;"",EOMONTH(Q$15,0)=Assumptions!M$61),1/(D$17-D$19),0)</f>
        <v>0</v>
      </c>
      <c r="R20" s="104" t="n">
        <f aca="false">IF(AND(R$15&lt;&gt;"",EOMONTH(R$15,0)=Assumptions!M$61),1/(D$17-D$19),0)</f>
        <v>0</v>
      </c>
      <c r="S20" s="104" t="n">
        <f aca="false">IF(AND(S$15&lt;&gt;"",EOMONTH(S$15,0)=Assumptions!M$61),1/(D$17-D$19),0)</f>
        <v>0</v>
      </c>
      <c r="T20" s="104" t="n">
        <f aca="false">IF(AND(T$15&lt;&gt;"",EOMONTH(T$15,0)=Assumptions!M$61),1/(D$17-D$19),0)</f>
        <v>0</v>
      </c>
      <c r="U20" s="104" t="n">
        <f aca="false">SUM(H20:T20)</f>
        <v>1</v>
      </c>
    </row>
    <row r="21" customFormat="false" ht="15" hidden="false" customHeight="true" outlineLevel="1" collapsed="false">
      <c r="A21" s="14" t="s">
        <v>561</v>
      </c>
      <c r="H21" s="104" t="n">
        <f aca="false">IF(AND(H$15&lt;&gt;"",EOMONTH(H$15,0)=Assumptions!N$61),1/E$17,0)</f>
        <v>0</v>
      </c>
      <c r="I21" s="104" t="n">
        <f aca="false">IF(AND(I$15&lt;&gt;"",EOMONTH(I$15,0)=Assumptions!N$61),1/E$17,0)</f>
        <v>0</v>
      </c>
      <c r="J21" s="104" t="n">
        <f aca="false">IF(AND(J$15&lt;&gt;"",EOMONTH(J$15,0)=Assumptions!N$61),1/E$17,0)</f>
        <v>0</v>
      </c>
      <c r="K21" s="104" t="n">
        <f aca="false">IF(AND(K$15&lt;&gt;"",EOMONTH(K$15,0)=Assumptions!N$61),1/E$17,0)</f>
        <v>0</v>
      </c>
      <c r="L21" s="104" t="n">
        <f aca="false">IF(AND(L$15&lt;&gt;"",EOMONTH(L$15,0)=Assumptions!N$61),1/E$17,0)</f>
        <v>0.5</v>
      </c>
      <c r="M21" s="104" t="n">
        <f aca="false">IF(AND(M$15&lt;&gt;"",EOMONTH(M$15,0)=Assumptions!N$61),1/E$17,0)</f>
        <v>0</v>
      </c>
      <c r="N21" s="104" t="n">
        <f aca="false">IF(AND(N$15&lt;&gt;"",EOMONTH(N$15,0)=Assumptions!N$61),1/E$17,0)</f>
        <v>0.5</v>
      </c>
      <c r="O21" s="104" t="n">
        <f aca="false">IF(AND(O$15&lt;&gt;"",EOMONTH(O$15,0)=Assumptions!N$61),1/E$17,0)</f>
        <v>0</v>
      </c>
      <c r="P21" s="104" t="n">
        <f aca="false">IF(AND(P$15&lt;&gt;"",EOMONTH(P$15,0)=Assumptions!N$61),1/E$17,0)</f>
        <v>0</v>
      </c>
      <c r="Q21" s="104" t="n">
        <f aca="false">IF(AND(Q$15&lt;&gt;"",EOMONTH(Q$15,0)=Assumptions!N$61),1/E$17,0)</f>
        <v>0</v>
      </c>
      <c r="R21" s="104" t="n">
        <f aca="false">IF(AND(R$15&lt;&gt;"",EOMONTH(R$15,0)=Assumptions!N$61),1/E$17,0)</f>
        <v>0</v>
      </c>
      <c r="S21" s="104" t="n">
        <f aca="false">IF(AND(S$15&lt;&gt;"",EOMONTH(S$15,0)=Assumptions!N$61),1/E$17,0)</f>
        <v>0</v>
      </c>
      <c r="T21" s="104" t="n">
        <f aca="false">IF(AND(T$15&lt;&gt;"",EOMONTH(T$15,0)=Assumptions!N$61),1/E$17,0)</f>
        <v>0</v>
      </c>
      <c r="U21" s="104" t="n">
        <f aca="false">SUM(H21:T21)</f>
        <v>1</v>
      </c>
    </row>
    <row r="22" customFormat="false" ht="15" hidden="false" customHeight="true" outlineLevel="1" collapsed="false">
      <c r="A22" s="14" t="s">
        <v>562</v>
      </c>
      <c r="H22" s="104" t="n">
        <f aca="false">IF(AND(H$15&lt;&gt;"",EOMONTH(H$15,0)=Assumptions!O$61),1/F$17,0)</f>
        <v>0</v>
      </c>
      <c r="I22" s="104" t="n">
        <f aca="false">IF(AND(I$15&lt;&gt;"",EOMONTH(I$15,0)=Assumptions!O$61),1/F$17,0)</f>
        <v>0</v>
      </c>
      <c r="J22" s="104" t="n">
        <f aca="false">IF(AND(J$15&lt;&gt;"",EOMONTH(J$15,0)=Assumptions!O$61),1/F$17,0)</f>
        <v>0</v>
      </c>
      <c r="K22" s="104" t="n">
        <f aca="false">IF(AND(K$15&lt;&gt;"",EOMONTH(K$15,0)=Assumptions!O$61),1/F$17,0)</f>
        <v>0</v>
      </c>
      <c r="L22" s="104" t="n">
        <f aca="false">IF(AND(L$15&lt;&gt;"",EOMONTH(L$15,0)=Assumptions!O$61),1/F$17,0)</f>
        <v>0</v>
      </c>
      <c r="M22" s="104" t="n">
        <f aca="false">IF(AND(M$15&lt;&gt;"",EOMONTH(M$15,0)=Assumptions!O$61),1/F$17,0)</f>
        <v>0</v>
      </c>
      <c r="N22" s="104" t="n">
        <f aca="false">IF(AND(N$15&lt;&gt;"",EOMONTH(N$15,0)=Assumptions!O$61),1/F$17,0)</f>
        <v>0</v>
      </c>
      <c r="O22" s="104" t="n">
        <f aca="false">IF(AND(O$15&lt;&gt;"",EOMONTH(O$15,0)=Assumptions!O$61),1/F$17,0)</f>
        <v>0</v>
      </c>
      <c r="P22" s="104" t="n">
        <f aca="false">IF(AND(P$15&lt;&gt;"",EOMONTH(P$15,0)=Assumptions!O$61),1/F$17,0)</f>
        <v>0.5</v>
      </c>
      <c r="Q22" s="104" t="n">
        <f aca="false">IF(AND(Q$15&lt;&gt;"",EOMONTH(Q$15,0)=Assumptions!O$61),1/F$17,0)</f>
        <v>0</v>
      </c>
      <c r="R22" s="104" t="n">
        <f aca="false">IF(AND(R$15&lt;&gt;"",EOMONTH(R$15,0)=Assumptions!O$61),1/F$17,0)</f>
        <v>0.5</v>
      </c>
      <c r="S22" s="104" t="n">
        <f aca="false">IF(AND(S$15&lt;&gt;"",EOMONTH(S$15,0)=Assumptions!O$61),1/F$17,0)</f>
        <v>0</v>
      </c>
      <c r="T22" s="104" t="n">
        <f aca="false">IF(AND(T$15&lt;&gt;"",EOMONTH(T$15,0)=Assumptions!O$61),1/F$17,0)</f>
        <v>0</v>
      </c>
      <c r="U22" s="104" t="n">
        <f aca="false">SUM(H22:T22)</f>
        <v>1</v>
      </c>
    </row>
    <row r="23" customFormat="false" ht="15" hidden="false" customHeight="true" outlineLevel="1" collapsed="false">
      <c r="A23" s="14" t="s">
        <v>563</v>
      </c>
      <c r="H23" s="104" t="n">
        <f aca="false">IF(AND(H$15&lt;&gt;"",EOMONTH(H$15,0)=Assumptions!P$61),1/G$17,0)</f>
        <v>0</v>
      </c>
      <c r="I23" s="104" t="n">
        <f aca="false">IF(AND(I$15&lt;&gt;"",EOMONTH(I$15,0)=Assumptions!P$61),1/G$17,0)</f>
        <v>0</v>
      </c>
      <c r="J23" s="104" t="n">
        <f aca="false">IF(AND(J$15&lt;&gt;"",EOMONTH(J$15,0)=Assumptions!P$61),1/G$17,0)</f>
        <v>0</v>
      </c>
      <c r="K23" s="104" t="n">
        <f aca="false">IF(AND(K$15&lt;&gt;"",EOMONTH(K$15,0)=Assumptions!P$61),1/G$17,0)</f>
        <v>0</v>
      </c>
      <c r="L23" s="104" t="n">
        <f aca="false">IF(AND(L$15&lt;&gt;"",EOMONTH(L$15,0)=Assumptions!P$61),1/G$17,0)</f>
        <v>0</v>
      </c>
      <c r="M23" s="104" t="n">
        <f aca="false">IF(AND(M$15&lt;&gt;"",EOMONTH(M$15,0)=Assumptions!P$61),1/G$17,0)</f>
        <v>0</v>
      </c>
      <c r="N23" s="104" t="n">
        <f aca="false">IF(AND(N$15&lt;&gt;"",EOMONTH(N$15,0)=Assumptions!P$61),1/G$17,0)</f>
        <v>0</v>
      </c>
      <c r="O23" s="104" t="n">
        <f aca="false">IF(AND(O$15&lt;&gt;"",EOMONTH(O$15,0)=Assumptions!P$61),1/G$17,0)</f>
        <v>0</v>
      </c>
      <c r="P23" s="104" t="n">
        <f aca="false">IF(AND(P$15&lt;&gt;"",EOMONTH(P$15,0)=Assumptions!P$61),1/G$17,0)</f>
        <v>0</v>
      </c>
      <c r="Q23" s="104" t="n">
        <f aca="false">IF(AND(Q$15&lt;&gt;"",EOMONTH(Q$15,0)=Assumptions!P$61),1/G$17,0)</f>
        <v>0</v>
      </c>
      <c r="R23" s="104" t="n">
        <f aca="false">IF(AND(R$15&lt;&gt;"",EOMONTH(R$15,0)=Assumptions!P$61),1/G$17,0)</f>
        <v>0</v>
      </c>
      <c r="S23" s="104" t="n">
        <f aca="false">IF(AND(S$15&lt;&gt;"",EOMONTH(S$15,0)=Assumptions!P$61),1/G$17,0)</f>
        <v>0</v>
      </c>
      <c r="T23" s="104" t="n">
        <f aca="false">IF(AND(T$15&lt;&gt;"",EOMONTH(T$15,0)=Assumptions!P$61),1/G$17,0)</f>
        <v>0.5</v>
      </c>
      <c r="U23" s="104" t="n">
        <f aca="false">SUM(H23:T23)</f>
        <v>0.5</v>
      </c>
    </row>
    <row r="24" customFormat="false" ht="15" hidden="false" customHeight="true" outlineLevel="1" collapsed="false">
      <c r="A24" s="14" t="s">
        <v>564</v>
      </c>
      <c r="H24" s="104" t="n">
        <f aca="false">IF(AND(H$16&lt;&gt;"",EOMONTH(H$16,0)=Assumptions!M$61),1/(D$18-E$19),0)</f>
        <v>1</v>
      </c>
      <c r="I24" s="104" t="n">
        <f aca="false">IF(AND(I$16&lt;&gt;"",EOMONTH(I$16,0)=Assumptions!M$61),1/(D$18-E$19),0)</f>
        <v>0</v>
      </c>
      <c r="J24" s="104" t="n">
        <f aca="false">IF(AND(J$16&lt;&gt;"",EOMONTH(J$16,0)=Assumptions!M$61),1/(D$18-E$19),0)</f>
        <v>0</v>
      </c>
      <c r="K24" s="104" t="n">
        <f aca="false">IF(AND(K$16&lt;&gt;"",EOMONTH(K$16,0)=Assumptions!M$61),1/(D$18-E$19),0)</f>
        <v>0</v>
      </c>
      <c r="L24" s="104" t="n">
        <f aca="false">IF(AND(L$16&lt;&gt;"",EOMONTH(L$16,0)=Assumptions!M$61),1/(D$18-E$19),0)</f>
        <v>0</v>
      </c>
      <c r="M24" s="104" t="n">
        <f aca="false">IF(AND(M$16&lt;&gt;"",EOMONTH(M$16,0)=Assumptions!M$61),1/(D$18-E$19),0)</f>
        <v>0</v>
      </c>
      <c r="N24" s="104" t="n">
        <f aca="false">IF(AND(N$16&lt;&gt;"",EOMONTH(N$16,0)=Assumptions!M$61),1/(D$18-E$19),0)</f>
        <v>0</v>
      </c>
      <c r="O24" s="104" t="n">
        <f aca="false">IF(AND(O$16&lt;&gt;"",EOMONTH(O$16,0)=Assumptions!M$61),1/(D$18-E$19),0)</f>
        <v>0</v>
      </c>
      <c r="P24" s="104" t="n">
        <f aca="false">IF(AND(P$16&lt;&gt;"",EOMONTH(P$16,0)=Assumptions!M$61),1/(D$18-E$19),0)</f>
        <v>0</v>
      </c>
      <c r="Q24" s="104" t="n">
        <f aca="false">IF(AND(Q$16&lt;&gt;"",EOMONTH(Q$16,0)=Assumptions!M$61),1/(D$18-E$19),0)</f>
        <v>0</v>
      </c>
      <c r="R24" s="104" t="n">
        <f aca="false">IF(AND(R$16&lt;&gt;"",EOMONTH(R$16,0)=Assumptions!M$61),1/(D$18-E$19),0)</f>
        <v>0</v>
      </c>
      <c r="S24" s="104" t="n">
        <f aca="false">IF(AND(S$16&lt;&gt;"",EOMONTH(S$16,0)=Assumptions!M$61),1/(D$18-E$19),0)</f>
        <v>0</v>
      </c>
      <c r="T24" s="104" t="n">
        <f aca="false">IF(AND(T$16&lt;&gt;"",EOMONTH(T$16,0)=Assumptions!M$61),1/(D$18-E$19),0)</f>
        <v>0</v>
      </c>
      <c r="U24" s="104" t="n">
        <f aca="false">SUM(H24:T24)</f>
        <v>1</v>
      </c>
    </row>
    <row r="25" customFormat="false" ht="15" hidden="false" customHeight="true" outlineLevel="1" collapsed="false">
      <c r="A25" s="14" t="s">
        <v>565</v>
      </c>
      <c r="H25" s="104" t="n">
        <f aca="false">IF(AND(H$16&lt;&gt;"",EOMONTH(H$16,0)=Assumptions!N$61),1/E$18,0)</f>
        <v>0</v>
      </c>
      <c r="I25" s="104" t="n">
        <f aca="false">IF(AND(I$16&lt;&gt;"",EOMONTH(I$16,0)=Assumptions!N$61),1/E$18,0)</f>
        <v>0</v>
      </c>
      <c r="J25" s="104" t="n">
        <f aca="false">IF(AND(J$16&lt;&gt;"",EOMONTH(J$16,0)=Assumptions!N$61),1/E$18,0)</f>
        <v>0.333333333333333</v>
      </c>
      <c r="K25" s="104" t="n">
        <f aca="false">IF(AND(K$16&lt;&gt;"",EOMONTH(K$16,0)=Assumptions!N$61),1/E$18,0)</f>
        <v>0</v>
      </c>
      <c r="L25" s="104" t="n">
        <f aca="false">IF(AND(L$16&lt;&gt;"",EOMONTH(L$16,0)=Assumptions!N$61),1/E$18,0)</f>
        <v>0.333333333333333</v>
      </c>
      <c r="M25" s="104" t="n">
        <f aca="false">IF(AND(M$16&lt;&gt;"",EOMONTH(M$16,0)=Assumptions!N$61),1/E$18,0)</f>
        <v>0</v>
      </c>
      <c r="N25" s="104" t="n">
        <f aca="false">IF(AND(N$16&lt;&gt;"",EOMONTH(N$16,0)=Assumptions!N$61),1/E$18,0)</f>
        <v>0.333333333333333</v>
      </c>
      <c r="O25" s="104" t="n">
        <f aca="false">IF(AND(O$16&lt;&gt;"",EOMONTH(O$16,0)=Assumptions!N$61),1/E$18,0)</f>
        <v>0</v>
      </c>
      <c r="P25" s="104" t="n">
        <f aca="false">IF(AND(P$16&lt;&gt;"",EOMONTH(P$16,0)=Assumptions!N$61),1/E$18,0)</f>
        <v>0</v>
      </c>
      <c r="Q25" s="104" t="n">
        <f aca="false">IF(AND(Q$16&lt;&gt;"",EOMONTH(Q$16,0)=Assumptions!N$61),1/E$18,0)</f>
        <v>0</v>
      </c>
      <c r="R25" s="104" t="n">
        <f aca="false">IF(AND(R$16&lt;&gt;"",EOMONTH(R$16,0)=Assumptions!N$61),1/E$18,0)</f>
        <v>0</v>
      </c>
      <c r="S25" s="104" t="n">
        <f aca="false">IF(AND(S$16&lt;&gt;"",EOMONTH(S$16,0)=Assumptions!N$61),1/E$18,0)</f>
        <v>0</v>
      </c>
      <c r="T25" s="104" t="n">
        <f aca="false">IF(AND(T$16&lt;&gt;"",EOMONTH(T$16,0)=Assumptions!N$61),1/E$18,0)</f>
        <v>0</v>
      </c>
      <c r="U25" s="104" t="n">
        <f aca="false">SUM(H25:T25)</f>
        <v>1</v>
      </c>
    </row>
    <row r="26" customFormat="false" ht="15" hidden="false" customHeight="true" outlineLevel="1" collapsed="false">
      <c r="A26" s="14" t="s">
        <v>566</v>
      </c>
      <c r="H26" s="104" t="n">
        <f aca="false">IF(AND(H$16&lt;&gt;"",EOMONTH(H$16,0)=Assumptions!O$61),1/F$18,0)</f>
        <v>0</v>
      </c>
      <c r="I26" s="104" t="n">
        <f aca="false">IF(AND(I$16&lt;&gt;"",EOMONTH(I$16,0)=Assumptions!O$61),1/F$18,0)</f>
        <v>0</v>
      </c>
      <c r="J26" s="104" t="n">
        <f aca="false">IF(AND(J$16&lt;&gt;"",EOMONTH(J$16,0)=Assumptions!O$61),1/F$18,0)</f>
        <v>0</v>
      </c>
      <c r="K26" s="104" t="n">
        <f aca="false">IF(AND(K$16&lt;&gt;"",EOMONTH(K$16,0)=Assumptions!O$61),1/F$18,0)</f>
        <v>0</v>
      </c>
      <c r="L26" s="104" t="n">
        <f aca="false">IF(AND(L$16&lt;&gt;"",EOMONTH(L$16,0)=Assumptions!O$61),1/F$18,0)</f>
        <v>0</v>
      </c>
      <c r="M26" s="104" t="n">
        <f aca="false">IF(AND(M$16&lt;&gt;"",EOMONTH(M$16,0)=Assumptions!O$61),1/F$18,0)</f>
        <v>0</v>
      </c>
      <c r="N26" s="104" t="n">
        <f aca="false">IF(AND(N$16&lt;&gt;"",EOMONTH(N$16,0)=Assumptions!O$61),1/F$18,0)</f>
        <v>0</v>
      </c>
      <c r="O26" s="104" t="n">
        <f aca="false">IF(AND(O$16&lt;&gt;"",EOMONTH(O$16,0)=Assumptions!O$61),1/F$18,0)</f>
        <v>0</v>
      </c>
      <c r="P26" s="104" t="n">
        <f aca="false">IF(AND(P$16&lt;&gt;"",EOMONTH(P$16,0)=Assumptions!O$61),1/F$18,0)</f>
        <v>0.5</v>
      </c>
      <c r="Q26" s="104" t="n">
        <f aca="false">IF(AND(Q$16&lt;&gt;"",EOMONTH(Q$16,0)=Assumptions!O$61),1/F$18,0)</f>
        <v>0</v>
      </c>
      <c r="R26" s="104" t="n">
        <f aca="false">IF(AND(R$16&lt;&gt;"",EOMONTH(R$16,0)=Assumptions!O$61),1/F$18,0)</f>
        <v>0.5</v>
      </c>
      <c r="S26" s="104" t="n">
        <f aca="false">IF(AND(S$16&lt;&gt;"",EOMONTH(S$16,0)=Assumptions!O$61),1/F$18,0)</f>
        <v>0</v>
      </c>
      <c r="T26" s="104" t="n">
        <f aca="false">IF(AND(T$16&lt;&gt;"",EOMONTH(T$16,0)=Assumptions!O$61),1/F$18,0)</f>
        <v>0</v>
      </c>
      <c r="U26" s="104" t="n">
        <f aca="false">SUM(H26:T26)</f>
        <v>1</v>
      </c>
    </row>
    <row r="27" customFormat="false" ht="15" hidden="false" customHeight="true" outlineLevel="1" collapsed="false">
      <c r="A27" s="14" t="s">
        <v>567</v>
      </c>
      <c r="H27" s="104" t="n">
        <f aca="false">IF(AND(H$16&lt;&gt;"",EOMONTH(H$16,0)=Assumptions!P$61),1/G$18,0)</f>
        <v>0</v>
      </c>
      <c r="I27" s="104" t="n">
        <f aca="false">IF(AND(I$16&lt;&gt;"",EOMONTH(I$16,0)=Assumptions!P$61),1/G$18,0)</f>
        <v>0</v>
      </c>
      <c r="J27" s="104" t="n">
        <f aca="false">IF(AND(J$16&lt;&gt;"",EOMONTH(J$16,0)=Assumptions!P$61),1/G$18,0)</f>
        <v>0</v>
      </c>
      <c r="K27" s="104" t="n">
        <f aca="false">IF(AND(K$16&lt;&gt;"",EOMONTH(K$16,0)=Assumptions!P$61),1/G$18,0)</f>
        <v>0</v>
      </c>
      <c r="L27" s="104" t="n">
        <f aca="false">IF(AND(L$16&lt;&gt;"",EOMONTH(L$16,0)=Assumptions!P$61),1/G$18,0)</f>
        <v>0</v>
      </c>
      <c r="M27" s="104" t="n">
        <f aca="false">IF(AND(M$16&lt;&gt;"",EOMONTH(M$16,0)=Assumptions!P$61),1/G$18,0)</f>
        <v>0</v>
      </c>
      <c r="N27" s="104" t="n">
        <f aca="false">IF(AND(N$16&lt;&gt;"",EOMONTH(N$16,0)=Assumptions!P$61),1/G$18,0)</f>
        <v>0</v>
      </c>
      <c r="O27" s="104" t="n">
        <f aca="false">IF(AND(O$16&lt;&gt;"",EOMONTH(O$16,0)=Assumptions!P$61),1/G$18,0)</f>
        <v>0</v>
      </c>
      <c r="P27" s="104" t="n">
        <f aca="false">IF(AND(P$16&lt;&gt;"",EOMONTH(P$16,0)=Assumptions!P$61),1/G$18,0)</f>
        <v>0</v>
      </c>
      <c r="Q27" s="104" t="n">
        <f aca="false">IF(AND(Q$16&lt;&gt;"",EOMONTH(Q$16,0)=Assumptions!P$61),1/G$18,0)</f>
        <v>0</v>
      </c>
      <c r="R27" s="104" t="n">
        <f aca="false">IF(AND(R$16&lt;&gt;"",EOMONTH(R$16,0)=Assumptions!P$61),1/G$18,0)</f>
        <v>0</v>
      </c>
      <c r="S27" s="104" t="n">
        <f aca="false">IF(AND(S$16&lt;&gt;"",EOMONTH(S$16,0)=Assumptions!P$61),1/G$18,0)</f>
        <v>0</v>
      </c>
      <c r="T27" s="104" t="n">
        <f aca="false">IF(AND(T$16&lt;&gt;"",EOMONTH(T$16,0)=Assumptions!P$61),1/G$18,0)</f>
        <v>0.5</v>
      </c>
      <c r="U27" s="104" t="n">
        <f aca="false">SUM(H27:T27)</f>
        <v>0.5</v>
      </c>
    </row>
    <row r="28" customFormat="false" ht="15" hidden="false" customHeight="true" outlineLevel="1" collapsed="false">
      <c r="A28" s="14" t="s">
        <v>568</v>
      </c>
      <c r="H28" s="104" t="n">
        <f aca="false">IF(AND(DATE(2026,9,1)&gt;=H$7,DATE(2026,9,1)&lt;=H$6,DATE(2026,9,1)&gt;$C$7),1,0)</f>
        <v>0</v>
      </c>
      <c r="I28" s="104" t="n">
        <f aca="false">IF(AND(DATE(2026,9,1)&gt;=I$7,DATE(2026,9,1)&lt;=I$6,DATE(2026,9,1)&gt;$C$7),1,0)</f>
        <v>0</v>
      </c>
      <c r="J28" s="104" t="n">
        <f aca="false">IF(AND(DATE(2026,9,1)&gt;=J$7,DATE(2026,9,1)&lt;=J$6,DATE(2026,9,1)&gt;$C$7),1,0)</f>
        <v>0</v>
      </c>
      <c r="K28" s="104" t="n">
        <f aca="false">IF(AND(DATE(2026,9,1)&gt;=K$7,DATE(2026,9,1)&lt;=K$6,DATE(2026,9,1)&gt;$C$7),1,0)</f>
        <v>0</v>
      </c>
      <c r="L28" s="104" t="n">
        <f aca="false">IF(AND(DATE(2026,9,1)&gt;=L$7,DATE(2026,9,1)&lt;=L$6,DATE(2026,9,1)&gt;$C$7),1,0)</f>
        <v>0</v>
      </c>
      <c r="M28" s="104" t="n">
        <f aca="false">IF(AND(DATE(2026,9,1)&gt;=M$7,DATE(2026,9,1)&lt;=M$6,DATE(2026,9,1)&gt;$C$7),1,0)</f>
        <v>0</v>
      </c>
      <c r="N28" s="104" t="n">
        <f aca="false">IF(AND(DATE(2026,9,1)&gt;=N$7,DATE(2026,9,1)&lt;=N$6,DATE(2026,9,1)&gt;$C$7),1,0)</f>
        <v>0</v>
      </c>
      <c r="O28" s="104" t="n">
        <f aca="false">IF(AND(DATE(2026,9,1)&gt;=O$7,DATE(2026,9,1)&lt;=O$6,DATE(2026,9,1)&gt;$C$7),1,0)</f>
        <v>0</v>
      </c>
      <c r="P28" s="104" t="n">
        <f aca="false">IF(AND(DATE(2026,9,1)&gt;=P$7,DATE(2026,9,1)&lt;=P$6,DATE(2026,9,1)&gt;$C$7),1,0)</f>
        <v>0</v>
      </c>
      <c r="Q28" s="104" t="n">
        <f aca="false">IF(AND(DATE(2026,9,1)&gt;=Q$7,DATE(2026,9,1)&lt;=Q$6,DATE(2026,9,1)&gt;$C$7),1,0)</f>
        <v>0</v>
      </c>
      <c r="R28" s="104" t="n">
        <f aca="false">IF(AND(DATE(2026,9,1)&gt;=R$7,DATE(2026,9,1)&lt;=R$6,DATE(2026,9,1)&gt;$C$7),1,0)</f>
        <v>0</v>
      </c>
      <c r="S28" s="104" t="n">
        <f aca="false">IF(AND(DATE(2026,9,1)&gt;=S$7,DATE(2026,9,1)&lt;=S$6,DATE(2026,9,1)&gt;$C$7),1,0)</f>
        <v>0</v>
      </c>
      <c r="T28" s="104" t="n">
        <f aca="false">IF(AND(DATE(2026,9,1)&gt;=T$7,DATE(2026,9,1)&lt;=T$6,DATE(2026,9,1)&gt;$C$7),1,0)</f>
        <v>0</v>
      </c>
      <c r="U28" s="104" t="n">
        <f aca="false">SUM(H28:T28)</f>
        <v>0</v>
      </c>
    </row>
    <row r="29" customFormat="false" ht="15" hidden="false" customHeight="true" outlineLevel="1" collapsed="false">
      <c r="A29" s="14" t="s">
        <v>569</v>
      </c>
      <c r="H29" s="104" t="n">
        <f aca="false">IF(AND(DATE(2026,10,1)&gt;=H$7,DATE(2026,10,1)&lt;=H$6,DATE(2026,10,1)&gt;$C$7),1,0)</f>
        <v>0</v>
      </c>
      <c r="I29" s="104" t="n">
        <f aca="false">IF(AND(DATE(2026,10,1)&gt;=I$7,DATE(2026,10,1)&lt;=I$6,DATE(2026,10,1)&gt;$C$7),1,0)</f>
        <v>0</v>
      </c>
      <c r="J29" s="104" t="n">
        <f aca="false">IF(AND(DATE(2026,10,1)&gt;=J$7,DATE(2026,10,1)&lt;=J$6,DATE(2026,10,1)&gt;$C$7),1,0)</f>
        <v>1</v>
      </c>
      <c r="K29" s="104" t="n">
        <f aca="false">IF(AND(DATE(2026,10,1)&gt;=K$7,DATE(2026,10,1)&lt;=K$6,DATE(2026,10,1)&gt;$C$7),1,0)</f>
        <v>0</v>
      </c>
      <c r="L29" s="104" t="n">
        <f aca="false">IF(AND(DATE(2026,10,1)&gt;=L$7,DATE(2026,10,1)&lt;=L$6,DATE(2026,10,1)&gt;$C$7),1,0)</f>
        <v>0</v>
      </c>
      <c r="M29" s="104" t="n">
        <f aca="false">IF(AND(DATE(2026,10,1)&gt;=M$7,DATE(2026,10,1)&lt;=M$6,DATE(2026,10,1)&gt;$C$7),1,0)</f>
        <v>0</v>
      </c>
      <c r="N29" s="104" t="n">
        <f aca="false">IF(AND(DATE(2026,10,1)&gt;=N$7,DATE(2026,10,1)&lt;=N$6,DATE(2026,10,1)&gt;$C$7),1,0)</f>
        <v>0</v>
      </c>
      <c r="O29" s="104" t="n">
        <f aca="false">IF(AND(DATE(2026,10,1)&gt;=O$7,DATE(2026,10,1)&lt;=O$6,DATE(2026,10,1)&gt;$C$7),1,0)</f>
        <v>0</v>
      </c>
      <c r="P29" s="104" t="n">
        <f aca="false">IF(AND(DATE(2026,10,1)&gt;=P$7,DATE(2026,10,1)&lt;=P$6,DATE(2026,10,1)&gt;$C$7),1,0)</f>
        <v>0</v>
      </c>
      <c r="Q29" s="104" t="n">
        <f aca="false">IF(AND(DATE(2026,10,1)&gt;=Q$7,DATE(2026,10,1)&lt;=Q$6,DATE(2026,10,1)&gt;$C$7),1,0)</f>
        <v>0</v>
      </c>
      <c r="R29" s="104" t="n">
        <f aca="false">IF(AND(DATE(2026,10,1)&gt;=R$7,DATE(2026,10,1)&lt;=R$6,DATE(2026,10,1)&gt;$C$7),1,0)</f>
        <v>0</v>
      </c>
      <c r="S29" s="104" t="n">
        <f aca="false">IF(AND(DATE(2026,10,1)&gt;=S$7,DATE(2026,10,1)&lt;=S$6,DATE(2026,10,1)&gt;$C$7),1,0)</f>
        <v>0</v>
      </c>
      <c r="T29" s="104" t="n">
        <f aca="false">IF(AND(DATE(2026,10,1)&gt;=T$7,DATE(2026,10,1)&lt;=T$6,DATE(2026,10,1)&gt;$C$7),1,0)</f>
        <v>0</v>
      </c>
      <c r="U29" s="104" t="n">
        <f aca="false">SUM(H29:T29)</f>
        <v>1</v>
      </c>
    </row>
    <row r="30" customFormat="false" ht="15" hidden="false" customHeight="true" outlineLevel="1" collapsed="false">
      <c r="A30" s="14" t="s">
        <v>570</v>
      </c>
      <c r="H30" s="104" t="n">
        <f aca="false">IF(AND(DATE(2026,11,1)&gt;=H$7,DATE(2026,11,1)&lt;=H$6,DATE(2026,11,1)&gt;$C$7),1,0)</f>
        <v>0</v>
      </c>
      <c r="I30" s="104" t="n">
        <f aca="false">IF(AND(DATE(2026,11,1)&gt;=I$7,DATE(2026,11,1)&lt;=I$6,DATE(2026,11,1)&gt;$C$7),1,0)</f>
        <v>0</v>
      </c>
      <c r="J30" s="104" t="n">
        <f aca="false">IF(AND(DATE(2026,11,1)&gt;=J$7,DATE(2026,11,1)&lt;=J$6,DATE(2026,11,1)&gt;$C$7),1,0)</f>
        <v>0</v>
      </c>
      <c r="K30" s="104" t="n">
        <f aca="false">IF(AND(DATE(2026,11,1)&gt;=K$7,DATE(2026,11,1)&lt;=K$6,DATE(2026,11,1)&gt;$C$7),1,0)</f>
        <v>0</v>
      </c>
      <c r="L30" s="104" t="n">
        <f aca="false">IF(AND(DATE(2026,11,1)&gt;=L$7,DATE(2026,11,1)&lt;=L$6,DATE(2026,11,1)&gt;$C$7),1,0)</f>
        <v>0</v>
      </c>
      <c r="M30" s="104" t="n">
        <f aca="false">IF(AND(DATE(2026,11,1)&gt;=M$7,DATE(2026,11,1)&lt;=M$6,DATE(2026,11,1)&gt;$C$7),1,0)</f>
        <v>0</v>
      </c>
      <c r="N30" s="104" t="n">
        <f aca="false">IF(AND(DATE(2026,11,1)&gt;=N$7,DATE(2026,11,1)&lt;=N$6,DATE(2026,11,1)&gt;$C$7),1,0)</f>
        <v>0</v>
      </c>
      <c r="O30" s="104" t="n">
        <f aca="false">IF(AND(DATE(2026,11,1)&gt;=O$7,DATE(2026,11,1)&lt;=O$6,DATE(2026,11,1)&gt;$C$7),1,0)</f>
        <v>1</v>
      </c>
      <c r="P30" s="104" t="n">
        <f aca="false">IF(AND(DATE(2026,11,1)&gt;=P$7,DATE(2026,11,1)&lt;=P$6,DATE(2026,11,1)&gt;$C$7),1,0)</f>
        <v>0</v>
      </c>
      <c r="Q30" s="104" t="n">
        <f aca="false">IF(AND(DATE(2026,11,1)&gt;=Q$7,DATE(2026,11,1)&lt;=Q$6,DATE(2026,11,1)&gt;$C$7),1,0)</f>
        <v>0</v>
      </c>
      <c r="R30" s="104" t="n">
        <f aca="false">IF(AND(DATE(2026,11,1)&gt;=R$7,DATE(2026,11,1)&lt;=R$6,DATE(2026,11,1)&gt;$C$7),1,0)</f>
        <v>0</v>
      </c>
      <c r="S30" s="104" t="n">
        <f aca="false">IF(AND(DATE(2026,11,1)&gt;=S$7,DATE(2026,11,1)&lt;=S$6,DATE(2026,11,1)&gt;$C$7),1,0)</f>
        <v>0</v>
      </c>
      <c r="T30" s="104" t="n">
        <f aca="false">IF(AND(DATE(2026,11,1)&gt;=T$7,DATE(2026,11,1)&lt;=T$6,DATE(2026,11,1)&gt;$C$7),1,0)</f>
        <v>0</v>
      </c>
      <c r="U30" s="104" t="n">
        <f aca="false">SUM(H30:T30)</f>
        <v>1</v>
      </c>
    </row>
    <row r="31" customFormat="false" ht="15" hidden="false" customHeight="true" outlineLevel="1" collapsed="false">
      <c r="A31" s="14" t="s">
        <v>571</v>
      </c>
      <c r="H31" s="104" t="n">
        <f aca="false">IF(AND(DATE(2026,12,1)&gt;=H$7,DATE(2026,12,1)&lt;=H$6,DATE(2026,12,1)&gt;$C$7),1,0)</f>
        <v>0</v>
      </c>
      <c r="I31" s="104" t="n">
        <f aca="false">IF(AND(DATE(2026,12,1)&gt;=I$7,DATE(2026,12,1)&lt;=I$6,DATE(2026,12,1)&gt;$C$7),1,0)</f>
        <v>0</v>
      </c>
      <c r="J31" s="104" t="n">
        <f aca="false">IF(AND(DATE(2026,12,1)&gt;=J$7,DATE(2026,12,1)&lt;=J$6,DATE(2026,12,1)&gt;$C$7),1,0)</f>
        <v>0</v>
      </c>
      <c r="K31" s="104" t="n">
        <f aca="false">IF(AND(DATE(2026,12,1)&gt;=K$7,DATE(2026,12,1)&lt;=K$6,DATE(2026,12,1)&gt;$C$7),1,0)</f>
        <v>0</v>
      </c>
      <c r="L31" s="104" t="n">
        <f aca="false">IF(AND(DATE(2026,12,1)&gt;=L$7,DATE(2026,12,1)&lt;=L$6,DATE(2026,12,1)&gt;$C$7),1,0)</f>
        <v>0</v>
      </c>
      <c r="M31" s="104" t="n">
        <f aca="false">IF(AND(DATE(2026,12,1)&gt;=M$7,DATE(2026,12,1)&lt;=M$6,DATE(2026,12,1)&gt;$C$7),1,0)</f>
        <v>0</v>
      </c>
      <c r="N31" s="104" t="n">
        <f aca="false">IF(AND(DATE(2026,12,1)&gt;=N$7,DATE(2026,12,1)&lt;=N$6,DATE(2026,12,1)&gt;$C$7),1,0)</f>
        <v>0</v>
      </c>
      <c r="O31" s="104" t="n">
        <f aca="false">IF(AND(DATE(2026,12,1)&gt;=O$7,DATE(2026,12,1)&lt;=O$6,DATE(2026,12,1)&gt;$C$7),1,0)</f>
        <v>0</v>
      </c>
      <c r="P31" s="104" t="n">
        <f aca="false">IF(AND(DATE(2026,12,1)&gt;=P$7,DATE(2026,12,1)&lt;=P$6,DATE(2026,12,1)&gt;$C$7),1,0)</f>
        <v>0</v>
      </c>
      <c r="Q31" s="104" t="n">
        <f aca="false">IF(AND(DATE(2026,12,1)&gt;=Q$7,DATE(2026,12,1)&lt;=Q$6,DATE(2026,12,1)&gt;$C$7),1,0)</f>
        <v>0</v>
      </c>
      <c r="R31" s="104" t="n">
        <f aca="false">IF(AND(DATE(2026,12,1)&gt;=R$7,DATE(2026,12,1)&lt;=R$6,DATE(2026,12,1)&gt;$C$7),1,0)</f>
        <v>0</v>
      </c>
      <c r="S31" s="104" t="n">
        <f aca="false">IF(AND(DATE(2026,12,1)&gt;=S$7,DATE(2026,12,1)&lt;=S$6,DATE(2026,12,1)&gt;$C$7),1,0)</f>
        <v>1</v>
      </c>
      <c r="T31" s="104" t="n">
        <f aca="false">IF(AND(DATE(2026,12,1)&gt;=T$7,DATE(2026,12,1)&lt;=T$6,DATE(2026,12,1)&gt;$C$7),1,0)</f>
        <v>0</v>
      </c>
      <c r="U31" s="104" t="n">
        <f aca="false">SUM(H31:T31)</f>
        <v>1</v>
      </c>
    </row>
    <row r="32" customFormat="false" ht="15" hidden="false" customHeight="true" outlineLevel="1" collapsed="false">
      <c r="A32" s="14" t="s">
        <v>572</v>
      </c>
      <c r="H32" s="104" t="n">
        <f aca="false">IF(AND(DATE(2026,9,15)&gt;=H$7,DATE(2026,9,15)&lt;=H$6,DATE(2026,9,15)&gt;$C$7),1,0)</f>
        <v>1</v>
      </c>
      <c r="I32" s="104" t="n">
        <f aca="false">IF(AND(DATE(2026,9,15)&gt;=I$7,DATE(2026,9,15)&lt;=I$6,DATE(2026,9,15)&gt;$C$7),1,0)</f>
        <v>0</v>
      </c>
      <c r="J32" s="104" t="n">
        <f aca="false">IF(AND(DATE(2026,9,15)&gt;=J$7,DATE(2026,9,15)&lt;=J$6,DATE(2026,9,15)&gt;$C$7),1,0)</f>
        <v>0</v>
      </c>
      <c r="K32" s="104" t="n">
        <f aca="false">IF(AND(DATE(2026,9,15)&gt;=K$7,DATE(2026,9,15)&lt;=K$6,DATE(2026,9,15)&gt;$C$7),1,0)</f>
        <v>0</v>
      </c>
      <c r="L32" s="104" t="n">
        <f aca="false">IF(AND(DATE(2026,9,15)&gt;=L$7,DATE(2026,9,15)&lt;=L$6,DATE(2026,9,15)&gt;$C$7),1,0)</f>
        <v>0</v>
      </c>
      <c r="M32" s="104" t="n">
        <f aca="false">IF(AND(DATE(2026,9,15)&gt;=M$7,DATE(2026,9,15)&lt;=M$6,DATE(2026,9,15)&gt;$C$7),1,0)</f>
        <v>0</v>
      </c>
      <c r="N32" s="104" t="n">
        <f aca="false">IF(AND(DATE(2026,9,15)&gt;=N$7,DATE(2026,9,15)&lt;=N$6,DATE(2026,9,15)&gt;$C$7),1,0)</f>
        <v>0</v>
      </c>
      <c r="O32" s="104" t="n">
        <f aca="false">IF(AND(DATE(2026,9,15)&gt;=O$7,DATE(2026,9,15)&lt;=O$6,DATE(2026,9,15)&gt;$C$7),1,0)</f>
        <v>0</v>
      </c>
      <c r="P32" s="104" t="n">
        <f aca="false">IF(AND(DATE(2026,9,15)&gt;=P$7,DATE(2026,9,15)&lt;=P$6,DATE(2026,9,15)&gt;$C$7),1,0)</f>
        <v>0</v>
      </c>
      <c r="Q32" s="104" t="n">
        <f aca="false">IF(AND(DATE(2026,9,15)&gt;=Q$7,DATE(2026,9,15)&lt;=Q$6,DATE(2026,9,15)&gt;$C$7),1,0)</f>
        <v>0</v>
      </c>
      <c r="R32" s="104" t="n">
        <f aca="false">IF(AND(DATE(2026,9,15)&gt;=R$7,DATE(2026,9,15)&lt;=R$6,DATE(2026,9,15)&gt;$C$7),1,0)</f>
        <v>0</v>
      </c>
      <c r="S32" s="104" t="n">
        <f aca="false">IF(AND(DATE(2026,9,15)&gt;=S$7,DATE(2026,9,15)&lt;=S$6,DATE(2026,9,15)&gt;$C$7),1,0)</f>
        <v>0</v>
      </c>
      <c r="T32" s="104" t="n">
        <f aca="false">IF(AND(DATE(2026,9,15)&gt;=T$7,DATE(2026,9,15)&lt;=T$6,DATE(2026,9,15)&gt;$C$7),1,0)</f>
        <v>0</v>
      </c>
      <c r="U32" s="104" t="n">
        <f aca="false">SUM(H32:T32)</f>
        <v>1</v>
      </c>
    </row>
    <row r="33" customFormat="false" ht="15" hidden="false" customHeight="true" outlineLevel="1" collapsed="false">
      <c r="A33" s="14" t="s">
        <v>573</v>
      </c>
      <c r="H33" s="104" t="n">
        <f aca="false">IF(AND(DATE(2026,10,15)&gt;=H$7,DATE(2026,10,15)&lt;=H$6,DATE(2026,10,15)&gt;$C$7),1,0)</f>
        <v>0</v>
      </c>
      <c r="I33" s="104" t="n">
        <f aca="false">IF(AND(DATE(2026,10,15)&gt;=I$7,DATE(2026,10,15)&lt;=I$6,DATE(2026,10,15)&gt;$C$7),1,0)</f>
        <v>0</v>
      </c>
      <c r="J33" s="104" t="n">
        <f aca="false">IF(AND(DATE(2026,10,15)&gt;=J$7,DATE(2026,10,15)&lt;=J$6,DATE(2026,10,15)&gt;$C$7),1,0)</f>
        <v>0</v>
      </c>
      <c r="K33" s="104" t="n">
        <f aca="false">IF(AND(DATE(2026,10,15)&gt;=K$7,DATE(2026,10,15)&lt;=K$6,DATE(2026,10,15)&gt;$C$7),1,0)</f>
        <v>0</v>
      </c>
      <c r="L33" s="104" t="n">
        <f aca="false">IF(AND(DATE(2026,10,15)&gt;=L$7,DATE(2026,10,15)&lt;=L$6,DATE(2026,10,15)&gt;$C$7),1,0)</f>
        <v>1</v>
      </c>
      <c r="M33" s="104" t="n">
        <f aca="false">IF(AND(DATE(2026,10,15)&gt;=M$7,DATE(2026,10,15)&lt;=M$6,DATE(2026,10,15)&gt;$C$7),1,0)</f>
        <v>0</v>
      </c>
      <c r="N33" s="104" t="n">
        <f aca="false">IF(AND(DATE(2026,10,15)&gt;=N$7,DATE(2026,10,15)&lt;=N$6,DATE(2026,10,15)&gt;$C$7),1,0)</f>
        <v>0</v>
      </c>
      <c r="O33" s="104" t="n">
        <f aca="false">IF(AND(DATE(2026,10,15)&gt;=O$7,DATE(2026,10,15)&lt;=O$6,DATE(2026,10,15)&gt;$C$7),1,0)</f>
        <v>0</v>
      </c>
      <c r="P33" s="104" t="n">
        <f aca="false">IF(AND(DATE(2026,10,15)&gt;=P$7,DATE(2026,10,15)&lt;=P$6,DATE(2026,10,15)&gt;$C$7),1,0)</f>
        <v>0</v>
      </c>
      <c r="Q33" s="104" t="n">
        <f aca="false">IF(AND(DATE(2026,10,15)&gt;=Q$7,DATE(2026,10,15)&lt;=Q$6,DATE(2026,10,15)&gt;$C$7),1,0)</f>
        <v>0</v>
      </c>
      <c r="R33" s="104" t="n">
        <f aca="false">IF(AND(DATE(2026,10,15)&gt;=R$7,DATE(2026,10,15)&lt;=R$6,DATE(2026,10,15)&gt;$C$7),1,0)</f>
        <v>0</v>
      </c>
      <c r="S33" s="104" t="n">
        <f aca="false">IF(AND(DATE(2026,10,15)&gt;=S$7,DATE(2026,10,15)&lt;=S$6,DATE(2026,10,15)&gt;$C$7),1,0)</f>
        <v>0</v>
      </c>
      <c r="T33" s="104" t="n">
        <f aca="false">IF(AND(DATE(2026,10,15)&gt;=T$7,DATE(2026,10,15)&lt;=T$6,DATE(2026,10,15)&gt;$C$7),1,0)</f>
        <v>0</v>
      </c>
      <c r="U33" s="104" t="n">
        <f aca="false">SUM(H33:T33)</f>
        <v>1</v>
      </c>
    </row>
    <row r="34" customFormat="false" ht="15" hidden="false" customHeight="true" outlineLevel="1" collapsed="false">
      <c r="A34" s="14" t="s">
        <v>574</v>
      </c>
      <c r="H34" s="104" t="n">
        <f aca="false">IF(AND(DATE(2026,11,15)&gt;=H$7,DATE(2026,11,15)&lt;=H$6,DATE(2026,11,15)&gt;$C$7),1,0)</f>
        <v>0</v>
      </c>
      <c r="I34" s="104" t="n">
        <f aca="false">IF(AND(DATE(2026,11,15)&gt;=I$7,DATE(2026,11,15)&lt;=I$6,DATE(2026,11,15)&gt;$C$7),1,0)</f>
        <v>0</v>
      </c>
      <c r="J34" s="104" t="n">
        <f aca="false">IF(AND(DATE(2026,11,15)&gt;=J$7,DATE(2026,11,15)&lt;=J$6,DATE(2026,11,15)&gt;$C$7),1,0)</f>
        <v>0</v>
      </c>
      <c r="K34" s="104" t="n">
        <f aca="false">IF(AND(DATE(2026,11,15)&gt;=K$7,DATE(2026,11,15)&lt;=K$6,DATE(2026,11,15)&gt;$C$7),1,0)</f>
        <v>0</v>
      </c>
      <c r="L34" s="104" t="n">
        <f aca="false">IF(AND(DATE(2026,11,15)&gt;=L$7,DATE(2026,11,15)&lt;=L$6,DATE(2026,11,15)&gt;$C$7),1,0)</f>
        <v>0</v>
      </c>
      <c r="M34" s="104" t="n">
        <f aca="false">IF(AND(DATE(2026,11,15)&gt;=M$7,DATE(2026,11,15)&lt;=M$6,DATE(2026,11,15)&gt;$C$7),1,0)</f>
        <v>0</v>
      </c>
      <c r="N34" s="104" t="n">
        <f aca="false">IF(AND(DATE(2026,11,15)&gt;=N$7,DATE(2026,11,15)&lt;=N$6,DATE(2026,11,15)&gt;$C$7),1,0)</f>
        <v>0</v>
      </c>
      <c r="O34" s="104" t="n">
        <f aca="false">IF(AND(DATE(2026,11,15)&gt;=O$7,DATE(2026,11,15)&lt;=O$6,DATE(2026,11,15)&gt;$C$7),1,0)</f>
        <v>0</v>
      </c>
      <c r="P34" s="104" t="n">
        <f aca="false">IF(AND(DATE(2026,11,15)&gt;=P$7,DATE(2026,11,15)&lt;=P$6,DATE(2026,11,15)&gt;$C$7),1,0)</f>
        <v>0</v>
      </c>
      <c r="Q34" s="104" t="n">
        <f aca="false">IF(AND(DATE(2026,11,15)&gt;=Q$7,DATE(2026,11,15)&lt;=Q$6,DATE(2026,11,15)&gt;$C$7),1,0)</f>
        <v>1</v>
      </c>
      <c r="R34" s="104" t="n">
        <f aca="false">IF(AND(DATE(2026,11,15)&gt;=R$7,DATE(2026,11,15)&lt;=R$6,DATE(2026,11,15)&gt;$C$7),1,0)</f>
        <v>0</v>
      </c>
      <c r="S34" s="104" t="n">
        <f aca="false">IF(AND(DATE(2026,11,15)&gt;=S$7,DATE(2026,11,15)&lt;=S$6,DATE(2026,11,15)&gt;$C$7),1,0)</f>
        <v>0</v>
      </c>
      <c r="T34" s="104" t="n">
        <f aca="false">IF(AND(DATE(2026,11,15)&gt;=T$7,DATE(2026,11,15)&lt;=T$6,DATE(2026,11,15)&gt;$C$7),1,0)</f>
        <v>0</v>
      </c>
      <c r="U34" s="104" t="n">
        <f aca="false">SUM(H34:T34)</f>
        <v>1</v>
      </c>
    </row>
    <row r="35" customFormat="false" ht="15" hidden="false" customHeight="true" outlineLevel="1" collapsed="false">
      <c r="A35" s="14" t="s">
        <v>575</v>
      </c>
      <c r="H35" s="104" t="n">
        <f aca="false">IF(AND(DATE(2026,12,15)&gt;=H$7,DATE(2026,12,15)&lt;=H$6,DATE(2026,12,15)&gt;$C$7),1,0)</f>
        <v>0</v>
      </c>
      <c r="I35" s="104" t="n">
        <f aca="false">IF(AND(DATE(2026,12,15)&gt;=I$7,DATE(2026,12,15)&lt;=I$6,DATE(2026,12,15)&gt;$C$7),1,0)</f>
        <v>0</v>
      </c>
      <c r="J35" s="104" t="n">
        <f aca="false">IF(AND(DATE(2026,12,15)&gt;=J$7,DATE(2026,12,15)&lt;=J$6,DATE(2026,12,15)&gt;$C$7),1,0)</f>
        <v>0</v>
      </c>
      <c r="K35" s="104" t="n">
        <f aca="false">IF(AND(DATE(2026,12,15)&gt;=K$7,DATE(2026,12,15)&lt;=K$6,DATE(2026,12,15)&gt;$C$7),1,0)</f>
        <v>0</v>
      </c>
      <c r="L35" s="104" t="n">
        <f aca="false">IF(AND(DATE(2026,12,15)&gt;=L$7,DATE(2026,12,15)&lt;=L$6,DATE(2026,12,15)&gt;$C$7),1,0)</f>
        <v>0</v>
      </c>
      <c r="M35" s="104" t="n">
        <f aca="false">IF(AND(DATE(2026,12,15)&gt;=M$7,DATE(2026,12,15)&lt;=M$6,DATE(2026,12,15)&gt;$C$7),1,0)</f>
        <v>0</v>
      </c>
      <c r="N35" s="104" t="n">
        <f aca="false">IF(AND(DATE(2026,12,15)&gt;=N$7,DATE(2026,12,15)&lt;=N$6,DATE(2026,12,15)&gt;$C$7),1,0)</f>
        <v>0</v>
      </c>
      <c r="O35" s="104" t="n">
        <f aca="false">IF(AND(DATE(2026,12,15)&gt;=O$7,DATE(2026,12,15)&lt;=O$6,DATE(2026,12,15)&gt;$C$7),1,0)</f>
        <v>0</v>
      </c>
      <c r="P35" s="104" t="n">
        <f aca="false">IF(AND(DATE(2026,12,15)&gt;=P$7,DATE(2026,12,15)&lt;=P$6,DATE(2026,12,15)&gt;$C$7),1,0)</f>
        <v>0</v>
      </c>
      <c r="Q35" s="104" t="n">
        <f aca="false">IF(AND(DATE(2026,12,15)&gt;=Q$7,DATE(2026,12,15)&lt;=Q$6,DATE(2026,12,15)&gt;$C$7),1,0)</f>
        <v>0</v>
      </c>
      <c r="R35" s="104" t="n">
        <f aca="false">IF(AND(DATE(2026,12,15)&gt;=R$7,DATE(2026,12,15)&lt;=R$6,DATE(2026,12,15)&gt;$C$7),1,0)</f>
        <v>0</v>
      </c>
      <c r="S35" s="104" t="n">
        <f aca="false">IF(AND(DATE(2026,12,15)&gt;=S$7,DATE(2026,12,15)&lt;=S$6,DATE(2026,12,15)&gt;$C$7),1,0)</f>
        <v>0</v>
      </c>
      <c r="T35" s="104" t="n">
        <f aca="false">IF(AND(DATE(2026,12,15)&gt;=T$7,DATE(2026,12,15)&lt;=T$6,DATE(2026,12,15)&gt;$C$7),1,0)</f>
        <v>0</v>
      </c>
      <c r="U35" s="104" t="n">
        <f aca="false">SUM(H35:T35)</f>
        <v>0</v>
      </c>
    </row>
    <row r="36" customFormat="false" ht="15" hidden="false" customHeight="true" outlineLevel="1" collapsed="false">
      <c r="A36" s="14" t="s">
        <v>576</v>
      </c>
      <c r="H36" s="104" t="n">
        <f aca="false">IF(AND(DATE(2026,9,25)&gt;=H$7,DATE(2026,9,25)&lt;=H$6,DATE(2026,9,25)&gt;$C$7),1,0)</f>
        <v>0</v>
      </c>
      <c r="I36" s="104" t="n">
        <f aca="false">IF(AND(DATE(2026,9,25)&gt;=I$7,DATE(2026,9,25)&lt;=I$6,DATE(2026,9,25)&gt;$C$7),1,0)</f>
        <v>1</v>
      </c>
      <c r="J36" s="104" t="n">
        <f aca="false">IF(AND(DATE(2026,9,25)&gt;=J$7,DATE(2026,9,25)&lt;=J$6,DATE(2026,9,25)&gt;$C$7),1,0)</f>
        <v>0</v>
      </c>
      <c r="K36" s="104" t="n">
        <f aca="false">IF(AND(DATE(2026,9,25)&gt;=K$7,DATE(2026,9,25)&lt;=K$6,DATE(2026,9,25)&gt;$C$7),1,0)</f>
        <v>0</v>
      </c>
      <c r="L36" s="104" t="n">
        <f aca="false">IF(AND(DATE(2026,9,25)&gt;=L$7,DATE(2026,9,25)&lt;=L$6,DATE(2026,9,25)&gt;$C$7),1,0)</f>
        <v>0</v>
      </c>
      <c r="M36" s="104" t="n">
        <f aca="false">IF(AND(DATE(2026,9,25)&gt;=M$7,DATE(2026,9,25)&lt;=M$6,DATE(2026,9,25)&gt;$C$7),1,0)</f>
        <v>0</v>
      </c>
      <c r="N36" s="104" t="n">
        <f aca="false">IF(AND(DATE(2026,9,25)&gt;=N$7,DATE(2026,9,25)&lt;=N$6,DATE(2026,9,25)&gt;$C$7),1,0)</f>
        <v>0</v>
      </c>
      <c r="O36" s="104" t="n">
        <f aca="false">IF(AND(DATE(2026,9,25)&gt;=O$7,DATE(2026,9,25)&lt;=O$6,DATE(2026,9,25)&gt;$C$7),1,0)</f>
        <v>0</v>
      </c>
      <c r="P36" s="104" t="n">
        <f aca="false">IF(AND(DATE(2026,9,25)&gt;=P$7,DATE(2026,9,25)&lt;=P$6,DATE(2026,9,25)&gt;$C$7),1,0)</f>
        <v>0</v>
      </c>
      <c r="Q36" s="104" t="n">
        <f aca="false">IF(AND(DATE(2026,9,25)&gt;=Q$7,DATE(2026,9,25)&lt;=Q$6,DATE(2026,9,25)&gt;$C$7),1,0)</f>
        <v>0</v>
      </c>
      <c r="R36" s="104" t="n">
        <f aca="false">IF(AND(DATE(2026,9,25)&gt;=R$7,DATE(2026,9,25)&lt;=R$6,DATE(2026,9,25)&gt;$C$7),1,0)</f>
        <v>0</v>
      </c>
      <c r="S36" s="104" t="n">
        <f aca="false">IF(AND(DATE(2026,9,25)&gt;=S$7,DATE(2026,9,25)&lt;=S$6,DATE(2026,9,25)&gt;$C$7),1,0)</f>
        <v>0</v>
      </c>
      <c r="T36" s="104" t="n">
        <f aca="false">IF(AND(DATE(2026,9,25)&gt;=T$7,DATE(2026,9,25)&lt;=T$6,DATE(2026,9,25)&gt;$C$7),1,0)</f>
        <v>0</v>
      </c>
      <c r="U36" s="104" t="n">
        <f aca="false">SUM(H36:T36)</f>
        <v>1</v>
      </c>
    </row>
    <row r="37" customFormat="false" ht="15" hidden="false" customHeight="true" outlineLevel="1" collapsed="false">
      <c r="A37" s="14" t="s">
        <v>577</v>
      </c>
      <c r="H37" s="104" t="n">
        <f aca="false">IF(AND(DATE(2026,10,25)&gt;=H$7,DATE(2026,10,25)&lt;=H$6,DATE(2026,10,25)&gt;$C$7),1,0)</f>
        <v>0</v>
      </c>
      <c r="I37" s="104" t="n">
        <f aca="false">IF(AND(DATE(2026,10,25)&gt;=I$7,DATE(2026,10,25)&lt;=I$6,DATE(2026,10,25)&gt;$C$7),1,0)</f>
        <v>0</v>
      </c>
      <c r="J37" s="104" t="n">
        <f aca="false">IF(AND(DATE(2026,10,25)&gt;=J$7,DATE(2026,10,25)&lt;=J$6,DATE(2026,10,25)&gt;$C$7),1,0)</f>
        <v>0</v>
      </c>
      <c r="K37" s="104" t="n">
        <f aca="false">IF(AND(DATE(2026,10,25)&gt;=K$7,DATE(2026,10,25)&lt;=K$6,DATE(2026,10,25)&gt;$C$7),1,0)</f>
        <v>0</v>
      </c>
      <c r="L37" s="104" t="n">
        <f aca="false">IF(AND(DATE(2026,10,25)&gt;=L$7,DATE(2026,10,25)&lt;=L$6,DATE(2026,10,25)&gt;$C$7),1,0)</f>
        <v>0</v>
      </c>
      <c r="M37" s="104" t="n">
        <f aca="false">IF(AND(DATE(2026,10,25)&gt;=M$7,DATE(2026,10,25)&lt;=M$6,DATE(2026,10,25)&gt;$C$7),1,0)</f>
        <v>0</v>
      </c>
      <c r="N37" s="104" t="n">
        <f aca="false">IF(AND(DATE(2026,10,25)&gt;=N$7,DATE(2026,10,25)&lt;=N$6,DATE(2026,10,25)&gt;$C$7),1,0)</f>
        <v>1</v>
      </c>
      <c r="O37" s="104" t="n">
        <f aca="false">IF(AND(DATE(2026,10,25)&gt;=O$7,DATE(2026,10,25)&lt;=O$6,DATE(2026,10,25)&gt;$C$7),1,0)</f>
        <v>0</v>
      </c>
      <c r="P37" s="104" t="n">
        <f aca="false">IF(AND(DATE(2026,10,25)&gt;=P$7,DATE(2026,10,25)&lt;=P$6,DATE(2026,10,25)&gt;$C$7),1,0)</f>
        <v>0</v>
      </c>
      <c r="Q37" s="104" t="n">
        <f aca="false">IF(AND(DATE(2026,10,25)&gt;=Q$7,DATE(2026,10,25)&lt;=Q$6,DATE(2026,10,25)&gt;$C$7),1,0)</f>
        <v>0</v>
      </c>
      <c r="R37" s="104" t="n">
        <f aca="false">IF(AND(DATE(2026,10,25)&gt;=R$7,DATE(2026,10,25)&lt;=R$6,DATE(2026,10,25)&gt;$C$7),1,0)</f>
        <v>0</v>
      </c>
      <c r="S37" s="104" t="n">
        <f aca="false">IF(AND(DATE(2026,10,25)&gt;=S$7,DATE(2026,10,25)&lt;=S$6,DATE(2026,10,25)&gt;$C$7),1,0)</f>
        <v>0</v>
      </c>
      <c r="T37" s="104" t="n">
        <f aca="false">IF(AND(DATE(2026,10,25)&gt;=T$7,DATE(2026,10,25)&lt;=T$6,DATE(2026,10,25)&gt;$C$7),1,0)</f>
        <v>0</v>
      </c>
      <c r="U37" s="104" t="n">
        <f aca="false">SUM(H37:T37)</f>
        <v>1</v>
      </c>
    </row>
    <row r="38" customFormat="false" ht="15" hidden="false" customHeight="true" outlineLevel="1" collapsed="false">
      <c r="A38" s="14" t="s">
        <v>578</v>
      </c>
      <c r="H38" s="104" t="n">
        <f aca="false">IF(AND(DATE(2026,11,25)&gt;=H$7,DATE(2026,11,25)&lt;=H$6,DATE(2026,11,25)&gt;$C$7),1,0)</f>
        <v>0</v>
      </c>
      <c r="I38" s="104" t="n">
        <f aca="false">IF(AND(DATE(2026,11,25)&gt;=I$7,DATE(2026,11,25)&lt;=I$6,DATE(2026,11,25)&gt;$C$7),1,0)</f>
        <v>0</v>
      </c>
      <c r="J38" s="104" t="n">
        <f aca="false">IF(AND(DATE(2026,11,25)&gt;=J$7,DATE(2026,11,25)&lt;=J$6,DATE(2026,11,25)&gt;$C$7),1,0)</f>
        <v>0</v>
      </c>
      <c r="K38" s="104" t="n">
        <f aca="false">IF(AND(DATE(2026,11,25)&gt;=K$7,DATE(2026,11,25)&lt;=K$6,DATE(2026,11,25)&gt;$C$7),1,0)</f>
        <v>0</v>
      </c>
      <c r="L38" s="104" t="n">
        <f aca="false">IF(AND(DATE(2026,11,25)&gt;=L$7,DATE(2026,11,25)&lt;=L$6,DATE(2026,11,25)&gt;$C$7),1,0)</f>
        <v>0</v>
      </c>
      <c r="M38" s="104" t="n">
        <f aca="false">IF(AND(DATE(2026,11,25)&gt;=M$7,DATE(2026,11,25)&lt;=M$6,DATE(2026,11,25)&gt;$C$7),1,0)</f>
        <v>0</v>
      </c>
      <c r="N38" s="104" t="n">
        <f aca="false">IF(AND(DATE(2026,11,25)&gt;=N$7,DATE(2026,11,25)&lt;=N$6,DATE(2026,11,25)&gt;$C$7),1,0)</f>
        <v>0</v>
      </c>
      <c r="O38" s="104" t="n">
        <f aca="false">IF(AND(DATE(2026,11,25)&gt;=O$7,DATE(2026,11,25)&lt;=O$6,DATE(2026,11,25)&gt;$C$7),1,0)</f>
        <v>0</v>
      </c>
      <c r="P38" s="104" t="n">
        <f aca="false">IF(AND(DATE(2026,11,25)&gt;=P$7,DATE(2026,11,25)&lt;=P$6,DATE(2026,11,25)&gt;$C$7),1,0)</f>
        <v>0</v>
      </c>
      <c r="Q38" s="104" t="n">
        <f aca="false">IF(AND(DATE(2026,11,25)&gt;=Q$7,DATE(2026,11,25)&lt;=Q$6,DATE(2026,11,25)&gt;$C$7),1,0)</f>
        <v>0</v>
      </c>
      <c r="R38" s="104" t="n">
        <f aca="false">IF(AND(DATE(2026,11,25)&gt;=R$7,DATE(2026,11,25)&lt;=R$6,DATE(2026,11,25)&gt;$C$7),1,0)</f>
        <v>1</v>
      </c>
      <c r="S38" s="104" t="n">
        <f aca="false">IF(AND(DATE(2026,11,25)&gt;=S$7,DATE(2026,11,25)&lt;=S$6,DATE(2026,11,25)&gt;$C$7),1,0)</f>
        <v>0</v>
      </c>
      <c r="T38" s="104" t="n">
        <f aca="false">IF(AND(DATE(2026,11,25)&gt;=T$7,DATE(2026,11,25)&lt;=T$6,DATE(2026,11,25)&gt;$C$7),1,0)</f>
        <v>0</v>
      </c>
      <c r="U38" s="104" t="n">
        <f aca="false">SUM(H38:T38)</f>
        <v>1</v>
      </c>
    </row>
    <row r="39" customFormat="false" ht="15" hidden="false" customHeight="true" outlineLevel="1" collapsed="false">
      <c r="A39" s="14" t="s">
        <v>579</v>
      </c>
      <c r="H39" s="104" t="n">
        <f aca="false">IF(AND(DATE(2026,12,25)&gt;=H$7,DATE(2026,12,25)&lt;=H$6,DATE(2026,12,25)&gt;$C$7),1,0)</f>
        <v>0</v>
      </c>
      <c r="I39" s="104" t="n">
        <f aca="false">IF(AND(DATE(2026,12,25)&gt;=I$7,DATE(2026,12,25)&lt;=I$6,DATE(2026,12,25)&gt;$C$7),1,0)</f>
        <v>0</v>
      </c>
      <c r="J39" s="104" t="n">
        <f aca="false">IF(AND(DATE(2026,12,25)&gt;=J$7,DATE(2026,12,25)&lt;=J$6,DATE(2026,12,25)&gt;$C$7),1,0)</f>
        <v>0</v>
      </c>
      <c r="K39" s="104" t="n">
        <f aca="false">IF(AND(DATE(2026,12,25)&gt;=K$7,DATE(2026,12,25)&lt;=K$6,DATE(2026,12,25)&gt;$C$7),1,0)</f>
        <v>0</v>
      </c>
      <c r="L39" s="104" t="n">
        <f aca="false">IF(AND(DATE(2026,12,25)&gt;=L$7,DATE(2026,12,25)&lt;=L$6,DATE(2026,12,25)&gt;$C$7),1,0)</f>
        <v>0</v>
      </c>
      <c r="M39" s="104" t="n">
        <f aca="false">IF(AND(DATE(2026,12,25)&gt;=M$7,DATE(2026,12,25)&lt;=M$6,DATE(2026,12,25)&gt;$C$7),1,0)</f>
        <v>0</v>
      </c>
      <c r="N39" s="104" t="n">
        <f aca="false">IF(AND(DATE(2026,12,25)&gt;=N$7,DATE(2026,12,25)&lt;=N$6,DATE(2026,12,25)&gt;$C$7),1,0)</f>
        <v>0</v>
      </c>
      <c r="O39" s="104" t="n">
        <f aca="false">IF(AND(DATE(2026,12,25)&gt;=O$7,DATE(2026,12,25)&lt;=O$6,DATE(2026,12,25)&gt;$C$7),1,0)</f>
        <v>0</v>
      </c>
      <c r="P39" s="104" t="n">
        <f aca="false">IF(AND(DATE(2026,12,25)&gt;=P$7,DATE(2026,12,25)&lt;=P$6,DATE(2026,12,25)&gt;$C$7),1,0)</f>
        <v>0</v>
      </c>
      <c r="Q39" s="104" t="n">
        <f aca="false">IF(AND(DATE(2026,12,25)&gt;=Q$7,DATE(2026,12,25)&lt;=Q$6,DATE(2026,12,25)&gt;$C$7),1,0)</f>
        <v>0</v>
      </c>
      <c r="R39" s="104" t="n">
        <f aca="false">IF(AND(DATE(2026,12,25)&gt;=R$7,DATE(2026,12,25)&lt;=R$6,DATE(2026,12,25)&gt;$C$7),1,0)</f>
        <v>0</v>
      </c>
      <c r="S39" s="104" t="n">
        <f aca="false">IF(AND(DATE(2026,12,25)&gt;=S$7,DATE(2026,12,25)&lt;=S$6,DATE(2026,12,25)&gt;$C$7),1,0)</f>
        <v>0</v>
      </c>
      <c r="T39" s="104" t="n">
        <f aca="false">IF(AND(DATE(2026,12,25)&gt;=T$7,DATE(2026,12,25)&lt;=T$6,DATE(2026,12,25)&gt;$C$7),1,0)</f>
        <v>0</v>
      </c>
      <c r="U39" s="104" t="n">
        <f aca="false">SUM(H39:T39)</f>
        <v>0</v>
      </c>
    </row>
    <row r="40" customFormat="false" ht="15" hidden="false" customHeight="true" outlineLevel="1" collapsed="false">
      <c r="A40" s="14" t="s">
        <v>580</v>
      </c>
      <c r="H40" s="104" t="n">
        <f aca="false">IF(AND(Assumptions!M$61&gt;=H$7,Assumptions!M$61&lt;=H$6,Assumptions!M$61&gt;$C$7),1,0)</f>
        <v>0</v>
      </c>
      <c r="I40" s="104" t="n">
        <f aca="false">IF(AND(Assumptions!M$61&gt;=I$7,Assumptions!M$61&lt;=I$6,Assumptions!M$61&gt;$C$7),1,0)</f>
        <v>0</v>
      </c>
      <c r="J40" s="104" t="n">
        <f aca="false">IF(AND(Assumptions!M$61&gt;=J$7,Assumptions!M$61&lt;=J$6,Assumptions!M$61&gt;$C$7),1,0)</f>
        <v>1</v>
      </c>
      <c r="K40" s="104" t="n">
        <f aca="false">IF(AND(Assumptions!M$61&gt;=K$7,Assumptions!M$61&lt;=K$6,Assumptions!M$61&gt;$C$7),1,0)</f>
        <v>0</v>
      </c>
      <c r="L40" s="104" t="n">
        <f aca="false">IF(AND(Assumptions!M$61&gt;=L$7,Assumptions!M$61&lt;=L$6,Assumptions!M$61&gt;$C$7),1,0)</f>
        <v>0</v>
      </c>
      <c r="M40" s="104" t="n">
        <f aca="false">IF(AND(Assumptions!M$61&gt;=M$7,Assumptions!M$61&lt;=M$6,Assumptions!M$61&gt;$C$7),1,0)</f>
        <v>0</v>
      </c>
      <c r="N40" s="104" t="n">
        <f aca="false">IF(AND(Assumptions!M$61&gt;=N$7,Assumptions!M$61&lt;=N$6,Assumptions!M$61&gt;$C$7),1,0)</f>
        <v>0</v>
      </c>
      <c r="O40" s="104" t="n">
        <f aca="false">IF(AND(Assumptions!M$61&gt;=O$7,Assumptions!M$61&lt;=O$6,Assumptions!M$61&gt;$C$7),1,0)</f>
        <v>0</v>
      </c>
      <c r="P40" s="104" t="n">
        <f aca="false">IF(AND(Assumptions!M$61&gt;=P$7,Assumptions!M$61&lt;=P$6,Assumptions!M$61&gt;$C$7),1,0)</f>
        <v>0</v>
      </c>
      <c r="Q40" s="104" t="n">
        <f aca="false">IF(AND(Assumptions!M$61&gt;=Q$7,Assumptions!M$61&lt;=Q$6,Assumptions!M$61&gt;$C$7),1,0)</f>
        <v>0</v>
      </c>
      <c r="R40" s="104" t="n">
        <f aca="false">IF(AND(Assumptions!M$61&gt;=R$7,Assumptions!M$61&lt;=R$6,Assumptions!M$61&gt;$C$7),1,0)</f>
        <v>0</v>
      </c>
      <c r="S40" s="104" t="n">
        <f aca="false">IF(AND(Assumptions!M$61&gt;=S$7,Assumptions!M$61&lt;=S$6,Assumptions!M$61&gt;$C$7),1,0)</f>
        <v>0</v>
      </c>
      <c r="T40" s="104" t="n">
        <f aca="false">IF(AND(Assumptions!M$61&gt;=T$7,Assumptions!M$61&lt;=T$6,Assumptions!M$61&gt;$C$7),1,0)</f>
        <v>0</v>
      </c>
      <c r="U40" s="104" t="n">
        <f aca="false">SUM(H40:T40)</f>
        <v>1</v>
      </c>
    </row>
    <row r="41" customFormat="false" ht="15" hidden="false" customHeight="true" outlineLevel="1" collapsed="false">
      <c r="A41" s="14" t="s">
        <v>581</v>
      </c>
      <c r="H41" s="104" t="n">
        <f aca="false">IF(AND(Assumptions!N$61&gt;=H$7,Assumptions!N$61&lt;=H$6,Assumptions!N$61&gt;$C$7),1,0)</f>
        <v>0</v>
      </c>
      <c r="I41" s="104" t="n">
        <f aca="false">IF(AND(Assumptions!N$61&gt;=I$7,Assumptions!N$61&lt;=I$6,Assumptions!N$61&gt;$C$7),1,0)</f>
        <v>0</v>
      </c>
      <c r="J41" s="104" t="n">
        <f aca="false">IF(AND(Assumptions!N$61&gt;=J$7,Assumptions!N$61&lt;=J$6,Assumptions!N$61&gt;$C$7),1,0)</f>
        <v>0</v>
      </c>
      <c r="K41" s="104" t="n">
        <f aca="false">IF(AND(Assumptions!N$61&gt;=K$7,Assumptions!N$61&lt;=K$6,Assumptions!N$61&gt;$C$7),1,0)</f>
        <v>0</v>
      </c>
      <c r="L41" s="104" t="n">
        <f aca="false">IF(AND(Assumptions!N$61&gt;=L$7,Assumptions!N$61&lt;=L$6,Assumptions!N$61&gt;$C$7),1,0)</f>
        <v>0</v>
      </c>
      <c r="M41" s="104" t="n">
        <f aca="false">IF(AND(Assumptions!N$61&gt;=M$7,Assumptions!N$61&lt;=M$6,Assumptions!N$61&gt;$C$7),1,0)</f>
        <v>0</v>
      </c>
      <c r="N41" s="104" t="n">
        <f aca="false">IF(AND(Assumptions!N$61&gt;=N$7,Assumptions!N$61&lt;=N$6,Assumptions!N$61&gt;$C$7),1,0)</f>
        <v>0</v>
      </c>
      <c r="O41" s="104" t="n">
        <f aca="false">IF(AND(Assumptions!N$61&gt;=O$7,Assumptions!N$61&lt;=O$6,Assumptions!N$61&gt;$C$7),1,0)</f>
        <v>1</v>
      </c>
      <c r="P41" s="104" t="n">
        <f aca="false">IF(AND(Assumptions!N$61&gt;=P$7,Assumptions!N$61&lt;=P$6,Assumptions!N$61&gt;$C$7),1,0)</f>
        <v>0</v>
      </c>
      <c r="Q41" s="104" t="n">
        <f aca="false">IF(AND(Assumptions!N$61&gt;=Q$7,Assumptions!N$61&lt;=Q$6,Assumptions!N$61&gt;$C$7),1,0)</f>
        <v>0</v>
      </c>
      <c r="R41" s="104" t="n">
        <f aca="false">IF(AND(Assumptions!N$61&gt;=R$7,Assumptions!N$61&lt;=R$6,Assumptions!N$61&gt;$C$7),1,0)</f>
        <v>0</v>
      </c>
      <c r="S41" s="104" t="n">
        <f aca="false">IF(AND(Assumptions!N$61&gt;=S$7,Assumptions!N$61&lt;=S$6,Assumptions!N$61&gt;$C$7),1,0)</f>
        <v>0</v>
      </c>
      <c r="T41" s="104" t="n">
        <f aca="false">IF(AND(Assumptions!N$61&gt;=T$7,Assumptions!N$61&lt;=T$6,Assumptions!N$61&gt;$C$7),1,0)</f>
        <v>0</v>
      </c>
      <c r="U41" s="104" t="n">
        <f aca="false">SUM(H41:T41)</f>
        <v>1</v>
      </c>
    </row>
    <row r="42" customFormat="false" ht="15" hidden="false" customHeight="true" outlineLevel="1" collapsed="false">
      <c r="A42" s="14" t="s">
        <v>582</v>
      </c>
      <c r="H42" s="104" t="n">
        <f aca="false">IF(AND(Assumptions!O$61&gt;=H$7,Assumptions!O$61&lt;=H$6,Assumptions!O$61&gt;$C$7),1,0)</f>
        <v>0</v>
      </c>
      <c r="I42" s="104" t="n">
        <f aca="false">IF(AND(Assumptions!O$61&gt;=I$7,Assumptions!O$61&lt;=I$6,Assumptions!O$61&gt;$C$7),1,0)</f>
        <v>0</v>
      </c>
      <c r="J42" s="104" t="n">
        <f aca="false">IF(AND(Assumptions!O$61&gt;=J$7,Assumptions!O$61&lt;=J$6,Assumptions!O$61&gt;$C$7),1,0)</f>
        <v>0</v>
      </c>
      <c r="K42" s="104" t="n">
        <f aca="false">IF(AND(Assumptions!O$61&gt;=K$7,Assumptions!O$61&lt;=K$6,Assumptions!O$61&gt;$C$7),1,0)</f>
        <v>0</v>
      </c>
      <c r="L42" s="104" t="n">
        <f aca="false">IF(AND(Assumptions!O$61&gt;=L$7,Assumptions!O$61&lt;=L$6,Assumptions!O$61&gt;$C$7),1,0)</f>
        <v>0</v>
      </c>
      <c r="M42" s="104" t="n">
        <f aca="false">IF(AND(Assumptions!O$61&gt;=M$7,Assumptions!O$61&lt;=M$6,Assumptions!O$61&gt;$C$7),1,0)</f>
        <v>0</v>
      </c>
      <c r="N42" s="104" t="n">
        <f aca="false">IF(AND(Assumptions!O$61&gt;=N$7,Assumptions!O$61&lt;=N$6,Assumptions!O$61&gt;$C$7),1,0)</f>
        <v>0</v>
      </c>
      <c r="O42" s="104" t="n">
        <f aca="false">IF(AND(Assumptions!O$61&gt;=O$7,Assumptions!O$61&lt;=O$6,Assumptions!O$61&gt;$C$7),1,0)</f>
        <v>0</v>
      </c>
      <c r="P42" s="104" t="n">
        <f aca="false">IF(AND(Assumptions!O$61&gt;=P$7,Assumptions!O$61&lt;=P$6,Assumptions!O$61&gt;$C$7),1,0)</f>
        <v>0</v>
      </c>
      <c r="Q42" s="104" t="n">
        <f aca="false">IF(AND(Assumptions!O$61&gt;=Q$7,Assumptions!O$61&lt;=Q$6,Assumptions!O$61&gt;$C$7),1,0)</f>
        <v>0</v>
      </c>
      <c r="R42" s="104" t="n">
        <f aca="false">IF(AND(Assumptions!O$61&gt;=R$7,Assumptions!O$61&lt;=R$6,Assumptions!O$61&gt;$C$7),1,0)</f>
        <v>0</v>
      </c>
      <c r="S42" s="104" t="n">
        <f aca="false">IF(AND(Assumptions!O$61&gt;=S$7,Assumptions!O$61&lt;=S$6,Assumptions!O$61&gt;$C$7),1,0)</f>
        <v>1</v>
      </c>
      <c r="T42" s="104" t="n">
        <f aca="false">IF(AND(Assumptions!O$61&gt;=T$7,Assumptions!O$61&lt;=T$6,Assumptions!O$61&gt;$C$7),1,0)</f>
        <v>0</v>
      </c>
      <c r="U42" s="104" t="n">
        <f aca="false">SUM(H42:T42)</f>
        <v>1</v>
      </c>
    </row>
    <row r="43" customFormat="false" ht="15" hidden="false" customHeight="true" outlineLevel="1" collapsed="false">
      <c r="A43" s="14" t="s">
        <v>583</v>
      </c>
      <c r="H43" s="104" t="n">
        <f aca="false">IF(AND(Assumptions!P$61&gt;=H$7,Assumptions!P$61&lt;=H$6,Assumptions!P$61&gt;$C$7),1,0)</f>
        <v>0</v>
      </c>
      <c r="I43" s="104" t="n">
        <f aca="false">IF(AND(Assumptions!P$61&gt;=I$7,Assumptions!P$61&lt;=I$6,Assumptions!P$61&gt;$C$7),1,0)</f>
        <v>0</v>
      </c>
      <c r="J43" s="104" t="n">
        <f aca="false">IF(AND(Assumptions!P$61&gt;=J$7,Assumptions!P$61&lt;=J$6,Assumptions!P$61&gt;$C$7),1,0)</f>
        <v>0</v>
      </c>
      <c r="K43" s="104" t="n">
        <f aca="false">IF(AND(Assumptions!P$61&gt;=K$7,Assumptions!P$61&lt;=K$6,Assumptions!P$61&gt;$C$7),1,0)</f>
        <v>0</v>
      </c>
      <c r="L43" s="104" t="n">
        <f aca="false">IF(AND(Assumptions!P$61&gt;=L$7,Assumptions!P$61&lt;=L$6,Assumptions!P$61&gt;$C$7),1,0)</f>
        <v>0</v>
      </c>
      <c r="M43" s="104" t="n">
        <f aca="false">IF(AND(Assumptions!P$61&gt;=M$7,Assumptions!P$61&lt;=M$6,Assumptions!P$61&gt;$C$7),1,0)</f>
        <v>0</v>
      </c>
      <c r="N43" s="104" t="n">
        <f aca="false">IF(AND(Assumptions!P$61&gt;=N$7,Assumptions!P$61&lt;=N$6,Assumptions!P$61&gt;$C$7),1,0)</f>
        <v>0</v>
      </c>
      <c r="O43" s="104" t="n">
        <f aca="false">IF(AND(Assumptions!P$61&gt;=O$7,Assumptions!P$61&lt;=O$6,Assumptions!P$61&gt;$C$7),1,0)</f>
        <v>0</v>
      </c>
      <c r="P43" s="104" t="n">
        <f aca="false">IF(AND(Assumptions!P$61&gt;=P$7,Assumptions!P$61&lt;=P$6,Assumptions!P$61&gt;$C$7),1,0)</f>
        <v>0</v>
      </c>
      <c r="Q43" s="104" t="n">
        <f aca="false">IF(AND(Assumptions!P$61&gt;=Q$7,Assumptions!P$61&lt;=Q$6,Assumptions!P$61&gt;$C$7),1,0)</f>
        <v>0</v>
      </c>
      <c r="R43" s="104" t="n">
        <f aca="false">IF(AND(Assumptions!P$61&gt;=R$7,Assumptions!P$61&lt;=R$6,Assumptions!P$61&gt;$C$7),1,0)</f>
        <v>0</v>
      </c>
      <c r="S43" s="104" t="n">
        <f aca="false">IF(AND(Assumptions!P$61&gt;=S$7,Assumptions!P$61&lt;=S$6,Assumptions!P$61&gt;$C$7),1,0)</f>
        <v>0</v>
      </c>
      <c r="T43" s="104" t="n">
        <f aca="false">IF(AND(Assumptions!P$61&gt;=T$7,Assumptions!P$61&lt;=T$6,Assumptions!P$61&gt;$C$7),1,0)</f>
        <v>0</v>
      </c>
      <c r="U43" s="104" t="n">
        <f aca="false">SUM(H43:T43)</f>
        <v>0</v>
      </c>
    </row>
    <row r="44" customFormat="false" ht="15" hidden="false" customHeight="true" outlineLevel="1" collapsed="false">
      <c r="A44" s="105" t="s">
        <v>584</v>
      </c>
      <c r="D44" s="106" t="n">
        <v>46326</v>
      </c>
    </row>
    <row r="45" customFormat="false" ht="15" hidden="false" customHeight="true" outlineLevel="1" collapsed="false">
      <c r="A45" s="14" t="s">
        <v>585</v>
      </c>
      <c r="H45" s="104" t="n">
        <f aca="false">IF(AND($D$44&gt;=H$7,$D$44&lt;=H$6),1,0)</f>
        <v>0</v>
      </c>
      <c r="I45" s="104" t="n">
        <f aca="false">IF(AND($D$44&gt;=I$7,$D$44&lt;=I$6),1,0)</f>
        <v>0</v>
      </c>
      <c r="J45" s="104" t="n">
        <f aca="false">IF(AND($D$44&gt;=J$7,$D$44&lt;=J$6),1,0)</f>
        <v>0</v>
      </c>
      <c r="K45" s="104" t="n">
        <f aca="false">IF(AND($D$44&gt;=K$7,$D$44&lt;=K$6),1,0)</f>
        <v>0</v>
      </c>
      <c r="L45" s="104" t="n">
        <f aca="false">IF(AND($D$44&gt;=L$7,$D$44&lt;=L$6),1,0)</f>
        <v>0</v>
      </c>
      <c r="M45" s="104" t="n">
        <f aca="false">IF(AND($D$44&gt;=M$7,$D$44&lt;=M$6),1,0)</f>
        <v>0</v>
      </c>
      <c r="N45" s="104" t="n">
        <f aca="false">IF(AND($D$44&gt;=N$7,$D$44&lt;=N$6),1,0)</f>
        <v>0</v>
      </c>
      <c r="O45" s="104" t="n">
        <f aca="false">IF(AND($D$44&gt;=O$7,$D$44&lt;=O$6),1,0)</f>
        <v>1</v>
      </c>
      <c r="P45" s="104" t="n">
        <f aca="false">IF(AND($D$44&gt;=P$7,$D$44&lt;=P$6),1,0)</f>
        <v>0</v>
      </c>
      <c r="Q45" s="104" t="n">
        <f aca="false">IF(AND($D$44&gt;=Q$7,$D$44&lt;=Q$6),1,0)</f>
        <v>0</v>
      </c>
      <c r="R45" s="104" t="n">
        <f aca="false">IF(AND($D$44&gt;=R$7,$D$44&lt;=R$6),1,0)</f>
        <v>0</v>
      </c>
      <c r="S45" s="104" t="n">
        <f aca="false">IF(AND($D$44&gt;=S$7,$D$44&lt;=S$6),1,0)</f>
        <v>0</v>
      </c>
      <c r="T45" s="104" t="n">
        <f aca="false">IF(AND($D$44&gt;=T$7,$D$44&lt;=T$6),1,0)</f>
        <v>0</v>
      </c>
      <c r="U45" s="104" t="n">
        <f aca="false">SUM(H45:T45)</f>
        <v>1</v>
      </c>
    </row>
    <row r="47" customFormat="false" ht="15" hidden="false" customHeight="true" outlineLevel="0" collapsed="false">
      <c r="A47" s="22" t="s">
        <v>586</v>
      </c>
      <c r="B47" s="23"/>
      <c r="C47" s="23"/>
      <c r="D47" s="23"/>
      <c r="E47" s="23"/>
      <c r="F47" s="23"/>
      <c r="G47" s="23"/>
      <c r="H47" s="23"/>
      <c r="I47" s="23"/>
      <c r="J47" s="23"/>
      <c r="K47" s="23"/>
      <c r="L47" s="23"/>
      <c r="M47" s="23"/>
      <c r="N47" s="23"/>
      <c r="O47" s="23"/>
      <c r="P47" s="23"/>
      <c r="Q47" s="23"/>
      <c r="R47" s="23"/>
      <c r="S47" s="23"/>
      <c r="T47" s="23"/>
      <c r="U47" s="23"/>
    </row>
    <row r="48" customFormat="false" ht="15" hidden="false" customHeight="true" outlineLevel="0" collapsed="false">
      <c r="A48" s="28" t="s">
        <v>587</v>
      </c>
      <c r="B48" s="55" t="s">
        <v>588</v>
      </c>
      <c r="C48" s="74" t="n">
        <v>68491</v>
      </c>
      <c r="D48" s="57" t="n">
        <f aca="false">-Settlements!M15</f>
        <v>186793.136355775</v>
      </c>
      <c r="E48" s="57" t="n">
        <f aca="false">-Settlements!N15</f>
        <v>216344.55360615</v>
      </c>
      <c r="F48" s="57" t="n">
        <f aca="false">-Settlements!O15</f>
        <v>303916.596179784</v>
      </c>
      <c r="G48" s="57" t="n">
        <f aca="false">-Settlements!P15</f>
        <v>284014.515772545</v>
      </c>
      <c r="H48" s="69" t="n">
        <f aca="false">(D48-$C48)*H$11+E48*H$12+F48*H$13+G48*H$14</f>
        <v>43584.997604759</v>
      </c>
      <c r="I48" s="69" t="n">
        <f aca="false">(D48-$C48)*I$11+E48*I$12+F48*I$13+G48*I$14</f>
        <v>43584.997604759</v>
      </c>
      <c r="J48" s="69" t="n">
        <f aca="false">(D48-$C48)*J$11+E48*J$12+F48*J$13+G48*J$14</f>
        <v>45089.8542821371</v>
      </c>
      <c r="K48" s="69" t="n">
        <f aca="false">(D48-$C48)*K$11+E48*K$12+F48*K$13+G48*K$14</f>
        <v>48851.9959755822</v>
      </c>
      <c r="L48" s="69" t="n">
        <f aca="false">(D48-$C48)*L$11+E48*L$12+F48*L$13+G48*L$14</f>
        <v>48851.9959755822</v>
      </c>
      <c r="M48" s="69" t="n">
        <f aca="false">(D48-$C48)*M$11+E48*M$12+F48*M$13+G48*M$14</f>
        <v>48851.9959755822</v>
      </c>
      <c r="N48" s="69" t="n">
        <f aca="false">(D48-$C48)*N$11+E48*N$12+F48*N$13+G48*N$14</f>
        <v>48851.9959755822</v>
      </c>
      <c r="O48" s="69" t="n">
        <f aca="false">(D48-$C48)*O$11+E48*O$12+F48*O$13+G48*O$14</f>
        <v>67762.1758038972</v>
      </c>
      <c r="P48" s="69" t="n">
        <f aca="false">(D48-$C48)*P$11+E48*P$12+F48*P$13+G48*P$14</f>
        <v>70913.8724419497</v>
      </c>
      <c r="Q48" s="69" t="n">
        <f aca="false">(D48-$C48)*Q$11+E48*Q$12+F48*Q$13+G48*Q$14</f>
        <v>70913.8724419497</v>
      </c>
      <c r="R48" s="69" t="n">
        <f aca="false">(D48-$C48)*R$11+E48*R$12+F48*R$13+G48*R$14</f>
        <v>70913.8724419497</v>
      </c>
      <c r="S48" s="69" t="n">
        <f aca="false">(D48-$C48)*S$11+E48*S$12+F48*S$13+G48*S$14</f>
        <v>67038.69391121</v>
      </c>
      <c r="T48" s="69" t="n">
        <f aca="false">(D48-$C48)*T$11+E48*T$12+F48*T$13+G48*T$14</f>
        <v>64132.3100131553</v>
      </c>
      <c r="U48" s="56" t="n">
        <f aca="false">SUM(H48:T48)</f>
        <v>739342.630448096</v>
      </c>
      <c r="V48" s="108" t="n">
        <f aca="false">SUM(H$14:T$14)</f>
        <v>0.354838709677419</v>
      </c>
      <c r="W48" s="29" t="n">
        <f aca="false">G48*(1-V48)</f>
        <v>183235.171466158</v>
      </c>
    </row>
    <row r="49" customFormat="false" ht="15" hidden="false" customHeight="true" outlineLevel="0" collapsed="false">
      <c r="A49" s="28" t="s">
        <v>589</v>
      </c>
      <c r="B49" s="55" t="s">
        <v>590</v>
      </c>
      <c r="C49" s="74" t="n">
        <v>34036</v>
      </c>
      <c r="D49" s="57" t="n">
        <f aca="false">-Settlements!M26</f>
        <v>102108.455208319</v>
      </c>
      <c r="E49" s="57" t="n">
        <f aca="false">-Settlements!N26</f>
        <v>129806.075641341</v>
      </c>
      <c r="F49" s="57" t="n">
        <f aca="false">-Settlements!O26</f>
        <v>152729.146411028</v>
      </c>
      <c r="G49" s="57" t="n">
        <f aca="false">-Settlements!P26</f>
        <v>196127.898412424</v>
      </c>
      <c r="H49" s="69" t="n">
        <f aca="false">(D49-$C49)*H$20+E49*H$21+F49*H$22+G49*H$23</f>
        <v>34036.2276041597</v>
      </c>
      <c r="I49" s="69" t="n">
        <f aca="false">(D49-$C49)*I$20+E49*I$21+F49*I$22+G49*I$23</f>
        <v>0</v>
      </c>
      <c r="J49" s="69" t="n">
        <f aca="false">(D49-$C49)*J$20+E49*J$21+F49*J$22+G49*J$23</f>
        <v>34036.2276041597</v>
      </c>
      <c r="K49" s="69" t="n">
        <f aca="false">(D49-$C49)*K$20+E49*K$21+F49*K$22+G49*K$23</f>
        <v>0</v>
      </c>
      <c r="L49" s="69" t="n">
        <f aca="false">(D49-$C49)*L$20+E49*L$21+F49*L$22+G49*L$23</f>
        <v>64903.0378206705</v>
      </c>
      <c r="M49" s="69" t="n">
        <f aca="false">(D49-$C49)*M$20+E49*M$21+F49*M$22+G49*M$23</f>
        <v>0</v>
      </c>
      <c r="N49" s="69" t="n">
        <f aca="false">(D49-$C49)*N$20+E49*N$21+F49*N$22+G49*N$23</f>
        <v>64903.0378206705</v>
      </c>
      <c r="O49" s="69" t="n">
        <f aca="false">(D49-$C49)*O$20+E49*O$21+F49*O$22+G49*O$23</f>
        <v>0</v>
      </c>
      <c r="P49" s="69" t="n">
        <f aca="false">(D49-$C49)*P$20+E49*P$21+F49*P$22+G49*P$23</f>
        <v>76364.5732055142</v>
      </c>
      <c r="Q49" s="69" t="n">
        <f aca="false">(D49-$C49)*Q$20+E49*Q$21+F49*Q$22+G49*Q$23</f>
        <v>0</v>
      </c>
      <c r="R49" s="69" t="n">
        <f aca="false">(D49-$C49)*R$20+E49*R$21+F49*R$22+G49*R$23</f>
        <v>76364.5732055142</v>
      </c>
      <c r="S49" s="69" t="n">
        <f aca="false">(D49-$C49)*S$20+E49*S$21+F49*S$22+G49*S$23</f>
        <v>0</v>
      </c>
      <c r="T49" s="69" t="n">
        <f aca="false">(D49-$C49)*T$20+E49*T$21+F49*T$22+G49*T$23</f>
        <v>98063.9492062118</v>
      </c>
      <c r="U49" s="56" t="n">
        <f aca="false">SUM(H49:T49)</f>
        <v>448671.6264669</v>
      </c>
      <c r="V49" s="108" t="n">
        <f aca="false">SUM(H$23:T$23)</f>
        <v>0.5</v>
      </c>
      <c r="W49" s="29" t="n">
        <f aca="false">G49*(1-V49)</f>
        <v>98063.9492062118</v>
      </c>
    </row>
    <row r="50" customFormat="false" ht="15" hidden="false" customHeight="true" outlineLevel="0" collapsed="false">
      <c r="A50" s="28" t="s">
        <v>591</v>
      </c>
      <c r="B50" s="55" t="s">
        <v>592</v>
      </c>
      <c r="C50" s="74" t="n">
        <v>14541</v>
      </c>
      <c r="D50" s="57" t="n">
        <f aca="false">-Settlements!M37</f>
        <v>29082.7410886202</v>
      </c>
      <c r="E50" s="57" t="n">
        <f aca="false">-Settlements!N37</f>
        <v>30205.1900177558</v>
      </c>
      <c r="F50" s="57" t="n">
        <f aca="false">-Settlements!O37</f>
        <v>35858.2413270612</v>
      </c>
      <c r="G50" s="57" t="n">
        <f aca="false">-Settlements!P37</f>
        <v>49850.0448089686</v>
      </c>
      <c r="H50" s="69" t="n">
        <f aca="false">(D50-$C50)*H$24+E50*H$25+F50*H$26+G50*H$27</f>
        <v>14541.7410886202</v>
      </c>
      <c r="I50" s="69" t="n">
        <f aca="false">(D50-$C50)*I$24+E50*I$25+F50*I$26+G50*I$27</f>
        <v>0</v>
      </c>
      <c r="J50" s="69" t="n">
        <f aca="false">(D50-$C50)*J$24+E50*J$25+F50*J$26+G50*J$27</f>
        <v>10068.3966725853</v>
      </c>
      <c r="K50" s="69" t="n">
        <f aca="false">(D50-$C50)*K$24+E50*K$25+F50*K$26+G50*K$27</f>
        <v>0</v>
      </c>
      <c r="L50" s="69" t="n">
        <f aca="false">(D50-$C50)*L$24+E50*L$25+F50*L$26+G50*L$27</f>
        <v>10068.3966725853</v>
      </c>
      <c r="M50" s="69" t="n">
        <f aca="false">(D50-$C50)*M$24+E50*M$25+F50*M$26+G50*M$27</f>
        <v>0</v>
      </c>
      <c r="N50" s="69" t="n">
        <f aca="false">(D50-$C50)*N$24+E50*N$25+F50*N$26+G50*N$27</f>
        <v>10068.3966725853</v>
      </c>
      <c r="O50" s="69" t="n">
        <f aca="false">(D50-$C50)*O$24+E50*O$25+F50*O$26+G50*O$27</f>
        <v>0</v>
      </c>
      <c r="P50" s="69" t="n">
        <f aca="false">(D50-$C50)*P$24+E50*P$25+F50*P$26+G50*P$27</f>
        <v>17929.1206635306</v>
      </c>
      <c r="Q50" s="69" t="n">
        <f aca="false">(D50-$C50)*Q$24+E50*Q$25+F50*Q$26+G50*Q$27</f>
        <v>0</v>
      </c>
      <c r="R50" s="69" t="n">
        <f aca="false">(D50-$C50)*R$24+E50*R$25+F50*R$26+G50*R$27</f>
        <v>17929.1206635306</v>
      </c>
      <c r="S50" s="69" t="n">
        <f aca="false">(D50-$C50)*S$24+E50*S$25+F50*S$26+G50*S$27</f>
        <v>0</v>
      </c>
      <c r="T50" s="69" t="n">
        <f aca="false">(D50-$C50)*T$24+E50*T$25+F50*T$26+G50*T$27</f>
        <v>24925.0224044843</v>
      </c>
      <c r="U50" s="56" t="n">
        <f aca="false">SUM(H50:T50)</f>
        <v>105530.194837921</v>
      </c>
      <c r="V50" s="108" t="n">
        <f aca="false">SUM(H$27:T$27)</f>
        <v>0.5</v>
      </c>
      <c r="W50" s="29" t="n">
        <f aca="false">G50*(1-V50)</f>
        <v>24925.0224044843</v>
      </c>
    </row>
    <row r="51" customFormat="false" ht="15" hidden="false" customHeight="true" outlineLevel="0" collapsed="false">
      <c r="A51" s="75" t="s">
        <v>593</v>
      </c>
      <c r="B51" s="109" t="s">
        <v>594</v>
      </c>
      <c r="C51" s="72" t="n">
        <f aca="false">C48+C49+C50</f>
        <v>117068</v>
      </c>
      <c r="D51" s="110" t="n">
        <f aca="false">D48+D49+D50</f>
        <v>317984.332652714</v>
      </c>
      <c r="E51" s="110" t="n">
        <f aca="false">E48+E49+E50</f>
        <v>376355.819265247</v>
      </c>
      <c r="F51" s="110" t="n">
        <f aca="false">F48+F49+F50</f>
        <v>492503.983917874</v>
      </c>
      <c r="G51" s="110" t="n">
        <f aca="false">G48+G49+G50</f>
        <v>529992.458993937</v>
      </c>
      <c r="H51" s="72" t="n">
        <f aca="false">H48+H49+H50</f>
        <v>92162.9662975389</v>
      </c>
      <c r="I51" s="72" t="n">
        <f aca="false">I48+I49+I50</f>
        <v>43584.997604759</v>
      </c>
      <c r="J51" s="72" t="n">
        <f aca="false">J48+J49+J50</f>
        <v>89194.478558882</v>
      </c>
      <c r="K51" s="72" t="n">
        <f aca="false">K48+K49+K50</f>
        <v>48851.9959755822</v>
      </c>
      <c r="L51" s="72" t="n">
        <f aca="false">L48+L49+L50</f>
        <v>123823.430468838</v>
      </c>
      <c r="M51" s="72" t="n">
        <f aca="false">M48+M49+M50</f>
        <v>48851.9959755822</v>
      </c>
      <c r="N51" s="72" t="n">
        <f aca="false">N48+N49+N50</f>
        <v>123823.430468838</v>
      </c>
      <c r="O51" s="72" t="n">
        <f aca="false">O48+O49+O50</f>
        <v>67762.1758038972</v>
      </c>
      <c r="P51" s="72" t="n">
        <f aca="false">P48+P49+P50</f>
        <v>165207.566310994</v>
      </c>
      <c r="Q51" s="72" t="n">
        <f aca="false">Q48+Q49+Q50</f>
        <v>70913.8724419497</v>
      </c>
      <c r="R51" s="72" t="n">
        <f aca="false">R48+R49+R50</f>
        <v>165207.566310994</v>
      </c>
      <c r="S51" s="72" t="n">
        <f aca="false">S48+S49+S50</f>
        <v>67038.69391121</v>
      </c>
      <c r="T51" s="72" t="n">
        <f aca="false">T48+T49+T50</f>
        <v>187121.281623851</v>
      </c>
      <c r="U51" s="72" t="n">
        <f aca="false">SUM(H51:T51)</f>
        <v>1293544.45175292</v>
      </c>
    </row>
    <row r="52" customFormat="false" ht="15" hidden="false" customHeight="true" outlineLevel="0" collapsed="false">
      <c r="A52" s="22" t="s">
        <v>595</v>
      </c>
      <c r="B52" s="23"/>
      <c r="C52" s="23"/>
      <c r="D52" s="23"/>
      <c r="E52" s="23"/>
      <c r="F52" s="23"/>
      <c r="G52" s="23"/>
      <c r="H52" s="23"/>
      <c r="I52" s="23"/>
      <c r="J52" s="23"/>
      <c r="K52" s="23"/>
      <c r="L52" s="23"/>
      <c r="M52" s="23"/>
      <c r="N52" s="23"/>
      <c r="O52" s="23"/>
      <c r="P52" s="23"/>
      <c r="Q52" s="23"/>
      <c r="R52" s="23"/>
      <c r="S52" s="23"/>
      <c r="T52" s="23"/>
      <c r="U52" s="23"/>
    </row>
    <row r="53" customFormat="false" ht="15" hidden="false" customHeight="true" outlineLevel="0" collapsed="false">
      <c r="A53" s="28" t="s">
        <v>596</v>
      </c>
      <c r="B53" s="55" t="s">
        <v>597</v>
      </c>
      <c r="C53" s="16" t="n">
        <f aca="false">-(SUMIFS(Purchase_Orders!$G$6:$G$24,Purchase_Orders!$H$6:$H$24,"&gt;="&amp;DATE(2026,9,1),Purchase_Orders!$H$6:$H$24,"&lt;="&amp;$C$7)+SUMIFS(Purchase_Orders!$J$6:$J$24,Purchase_Orders!$K$6:$K$24,"&gt;="&amp;DATE(2026,9,1),Purchase_Orders!$K$6:$K$24,"&lt;="&amp;$C$7))</f>
        <v>-99400</v>
      </c>
      <c r="D53" s="57" t="n">
        <f aca="false">-(SUMIFS(Purchase_Orders!$G$6:$G$24,Purchase_Orders!$P$6:$P$24,Assumptions!M$61)+SUMIFS(Purchase_Orders!$J$6:$J$24,Purchase_Orders!$Q$6:$Q$24,Assumptions!M$61))</f>
        <v>-206200</v>
      </c>
      <c r="E53" s="57" t="n">
        <f aca="false">-(SUMIFS(Purchase_Orders!$G$6:$G$24,Purchase_Orders!$P$6:$P$24,Assumptions!N$61)+SUMIFS(Purchase_Orders!$J$6:$J$24,Purchase_Orders!$Q$6:$Q$24,Assumptions!N$61))</f>
        <v>-37600</v>
      </c>
      <c r="F53" s="57" t="n">
        <f aca="false">-(SUMIFS(Purchase_Orders!$G$6:$G$24,Purchase_Orders!$P$6:$P$24,Assumptions!O$61)+SUMIFS(Purchase_Orders!$J$6:$J$24,Purchase_Orders!$Q$6:$Q$24,Assumptions!O$61))</f>
        <v>-68600</v>
      </c>
      <c r="G53" s="57" t="n">
        <f aca="false">-(SUMIFS(Purchase_Orders!$G$6:$G$24,Purchase_Orders!$P$6:$P$24,Assumptions!P$61)+SUMIFS(Purchase_Orders!$J$6:$J$24,Purchase_Orders!$Q$6:$Q$24,Assumptions!P$61))</f>
        <v>-42000</v>
      </c>
      <c r="H53" s="69" t="n">
        <f aca="false">-(SUMIFS(Purchase_Orders!$G$6:$G$24,Purchase_Orders!$H$6:$H$24,"&gt;="&amp;H$7,Purchase_Orders!$H$6:$H$24,"&lt;="&amp;H$6)+SUMIFS(Purchase_Orders!$J$6:$J$24,Purchase_Orders!$K$6:$K$24,"&gt;="&amp;H$7,Purchase_Orders!$K$6:$K$24,"&lt;="&amp;H$6))</f>
        <v>-34000</v>
      </c>
      <c r="I53" s="69" t="n">
        <f aca="false">-(SUMIFS(Purchase_Orders!$G$6:$G$24,Purchase_Orders!$H$6:$H$24,"&gt;="&amp;I$7,Purchase_Orders!$H$6:$H$24,"&lt;="&amp;I$6)+SUMIFS(Purchase_Orders!$J$6:$J$24,Purchase_Orders!$K$6:$K$24,"&gt;="&amp;I$7,Purchase_Orders!$K$6:$K$24,"&lt;="&amp;I$6))</f>
        <v>-29400</v>
      </c>
      <c r="J53" s="69" t="n">
        <f aca="false">-(SUMIFS(Purchase_Orders!$G$6:$G$24,Purchase_Orders!$H$6:$H$24,"&gt;="&amp;J$7,Purchase_Orders!$H$6:$H$24,"&lt;="&amp;J$6)+SUMIFS(Purchase_Orders!$J$6:$J$24,Purchase_Orders!$K$6:$K$24,"&gt;="&amp;J$7,Purchase_Orders!$K$6:$K$24,"&lt;="&amp;J$6))</f>
        <v>-43400</v>
      </c>
      <c r="K53" s="69" t="n">
        <f aca="false">-(SUMIFS(Purchase_Orders!$G$6:$G$24,Purchase_Orders!$H$6:$H$24,"&gt;="&amp;K$7,Purchase_Orders!$H$6:$H$24,"&lt;="&amp;K$6)+SUMIFS(Purchase_Orders!$J$6:$J$24,Purchase_Orders!$K$6:$K$24,"&gt;="&amp;K$7,Purchase_Orders!$K$6:$K$24,"&lt;="&amp;K$6))</f>
        <v>-0</v>
      </c>
      <c r="L53" s="69" t="n">
        <f aca="false">-(SUMIFS(Purchase_Orders!$G$6:$G$24,Purchase_Orders!$H$6:$H$24,"&gt;="&amp;L$7,Purchase_Orders!$H$6:$H$24,"&lt;="&amp;L$6)+SUMIFS(Purchase_Orders!$J$6:$J$24,Purchase_Orders!$K$6:$K$24,"&gt;="&amp;L$7,Purchase_Orders!$K$6:$K$24,"&lt;="&amp;L$6))</f>
        <v>-18000</v>
      </c>
      <c r="M53" s="69" t="n">
        <f aca="false">-(SUMIFS(Purchase_Orders!$G$6:$G$24,Purchase_Orders!$H$6:$H$24,"&gt;="&amp;M$7,Purchase_Orders!$H$6:$H$24,"&lt;="&amp;M$6)+SUMIFS(Purchase_Orders!$J$6:$J$24,Purchase_Orders!$K$6:$K$24,"&gt;="&amp;M$7,Purchase_Orders!$K$6:$K$24,"&lt;="&amp;M$6))</f>
        <v>-19600</v>
      </c>
      <c r="N53" s="69" t="n">
        <f aca="false">-(SUMIFS(Purchase_Orders!$G$6:$G$24,Purchase_Orders!$H$6:$H$24,"&gt;="&amp;N$7,Purchase_Orders!$H$6:$H$24,"&lt;="&amp;N$6)+SUMIFS(Purchase_Orders!$J$6:$J$24,Purchase_Orders!$K$6:$K$24,"&gt;="&amp;N$7,Purchase_Orders!$K$6:$K$24,"&lt;="&amp;N$6))</f>
        <v>-0</v>
      </c>
      <c r="O53" s="69" t="n">
        <f aca="false">-(SUMIFS(Purchase_Orders!$G$6:$G$24,Purchase_Orders!$H$6:$H$24,"&gt;="&amp;O$7,Purchase_Orders!$H$6:$H$24,"&lt;="&amp;O$6)+SUMIFS(Purchase_Orders!$J$6:$J$24,Purchase_Orders!$K$6:$K$24,"&gt;="&amp;O$7,Purchase_Orders!$K$6:$K$24,"&lt;="&amp;O$6))</f>
        <v>-0</v>
      </c>
      <c r="P53" s="69" t="n">
        <f aca="false">-(SUMIFS(Purchase_Orders!$G$6:$G$24,Purchase_Orders!$H$6:$H$24,"&gt;="&amp;P$7,Purchase_Orders!$H$6:$H$24,"&lt;="&amp;P$6)+SUMIFS(Purchase_Orders!$J$6:$J$24,Purchase_Orders!$K$6:$K$24,"&gt;="&amp;P$7,Purchase_Orders!$K$6:$K$24,"&lt;="&amp;P$6))</f>
        <v>-0</v>
      </c>
      <c r="Q53" s="69" t="n">
        <f aca="false">-(SUMIFS(Purchase_Orders!$G$6:$G$24,Purchase_Orders!$H$6:$H$24,"&gt;="&amp;Q$7,Purchase_Orders!$H$6:$H$24,"&lt;="&amp;Q$6)+SUMIFS(Purchase_Orders!$J$6:$J$24,Purchase_Orders!$K$6:$K$24,"&gt;="&amp;Q$7,Purchase_Orders!$K$6:$K$24,"&lt;="&amp;Q$6))</f>
        <v>-0</v>
      </c>
      <c r="R53" s="69" t="n">
        <f aca="false">-(SUMIFS(Purchase_Orders!$G$6:$G$24,Purchase_Orders!$H$6:$H$24,"&gt;="&amp;R$7,Purchase_Orders!$H$6:$H$24,"&lt;="&amp;R$6)+SUMIFS(Purchase_Orders!$J$6:$J$24,Purchase_Orders!$K$6:$K$24,"&gt;="&amp;R$7,Purchase_Orders!$K$6:$K$24,"&lt;="&amp;R$6))</f>
        <v>-68600</v>
      </c>
      <c r="S53" s="69" t="n">
        <f aca="false">-(SUMIFS(Purchase_Orders!$G$6:$G$24,Purchase_Orders!$H$6:$H$24,"&gt;="&amp;S$7,Purchase_Orders!$H$6:$H$24,"&lt;="&amp;S$6)+SUMIFS(Purchase_Orders!$J$6:$J$24,Purchase_Orders!$K$6:$K$24,"&gt;="&amp;S$7,Purchase_Orders!$K$6:$K$24,"&lt;="&amp;S$6))</f>
        <v>-0</v>
      </c>
      <c r="T53" s="69" t="n">
        <f aca="false">-(SUMIFS(Purchase_Orders!$G$6:$G$24,Purchase_Orders!$H$6:$H$24,"&gt;="&amp;T$7,Purchase_Orders!$H$6:$H$24,"&lt;="&amp;T$6)+SUMIFS(Purchase_Orders!$J$6:$J$24,Purchase_Orders!$K$6:$K$24,"&gt;="&amp;T$7,Purchase_Orders!$K$6:$K$24,"&lt;="&amp;T$6))</f>
        <v>-0</v>
      </c>
      <c r="U53" s="56" t="n">
        <f aca="false">SUM(H53:T53)</f>
        <v>-213000</v>
      </c>
      <c r="V53" s="108" t="n">
        <f aca="false">IF(G53=0,0,1-W53/G53)</f>
        <v>0</v>
      </c>
      <c r="W53" s="29" t="n">
        <f aca="false">-(SUMIFS(Purchase_Orders!$G$6:$G$24,Purchase_Orders!$H$6:$H$24,"&gt;"&amp;T$6,Purchase_Orders!$P$6:$P$24,Assumptions!P$61)+SUMIFS(Purchase_Orders!$J$6:$J$24,Purchase_Orders!$K$6:$K$24,"&gt;"&amp;T$6,Purchase_Orders!$Q$6:$Q$24,Assumptions!P$61))</f>
        <v>-42000</v>
      </c>
    </row>
    <row r="54" customFormat="false" ht="15" hidden="false" customHeight="true" outlineLevel="0" collapsed="false">
      <c r="A54" s="28" t="s">
        <v>598</v>
      </c>
      <c r="B54" s="55" t="s">
        <v>588</v>
      </c>
      <c r="C54" s="74" t="n">
        <v>-11628</v>
      </c>
      <c r="D54" s="57" t="n">
        <f aca="false">-(Inventory!M96+Inventory!M97)</f>
        <v>-31711.4065366597</v>
      </c>
      <c r="E54" s="57" t="n">
        <f aca="false">-(Inventory!N96+Inventory!N97)</f>
        <v>-13910.649578367</v>
      </c>
      <c r="F54" s="57" t="n">
        <f aca="false">-(Inventory!O96+Inventory!O97)</f>
        <v>-86964.697610693</v>
      </c>
      <c r="G54" s="57" t="n">
        <f aca="false">-(Inventory!P96+Inventory!P97)</f>
        <v>-66318.8230923527</v>
      </c>
      <c r="H54" s="69" t="n">
        <f aca="false">(D54-$C54)*H$11+E54*H$12+F54*H$13+G54*H$14</f>
        <v>-7399.1497766641</v>
      </c>
      <c r="I54" s="69" t="n">
        <f aca="false">(D54-$C54)*I$11+E54*I$12+F54*I$13+G54*I$14</f>
        <v>-7399.1497766641</v>
      </c>
      <c r="J54" s="69" t="n">
        <f aca="false">(D54-$C54)*J$11+E54*J$12+F54*J$13+G54*J$14</f>
        <v>-6182.56824645195</v>
      </c>
      <c r="K54" s="69" t="n">
        <f aca="false">(D54-$C54)*K$11+E54*K$12+F54*K$13+G54*K$14</f>
        <v>-3141.11442092159</v>
      </c>
      <c r="L54" s="69" t="n">
        <f aca="false">(D54-$C54)*L$11+E54*L$12+F54*L$13+G54*L$14</f>
        <v>-3141.11442092159</v>
      </c>
      <c r="M54" s="69" t="n">
        <f aca="false">(D54-$C54)*M$11+E54*M$12+F54*M$13+G54*M$14</f>
        <v>-3141.11442092159</v>
      </c>
      <c r="N54" s="69" t="n">
        <f aca="false">(D54-$C54)*N$11+E54*N$12+F54*N$13+G54*N$14</f>
        <v>-3141.11442092159</v>
      </c>
      <c r="O54" s="69" t="n">
        <f aca="false">(D54-$C54)*O$11+E54*O$12+F54*O$13+G54*O$14</f>
        <v>-17841.6701536988</v>
      </c>
      <c r="P54" s="69" t="n">
        <f aca="false">(D54-$C54)*P$11+E54*P$12+F54*P$13+G54*P$14</f>
        <v>-20291.7627758284</v>
      </c>
      <c r="Q54" s="69" t="n">
        <f aca="false">(D54-$C54)*Q$11+E54*Q$12+F54*Q$13+G54*Q$14</f>
        <v>-20291.7627758284</v>
      </c>
      <c r="R54" s="69" t="n">
        <f aca="false">(D54-$C54)*R$11+E54*R$12+F54*R$13+G54*R$14</f>
        <v>-20291.7627758284</v>
      </c>
      <c r="S54" s="69" t="n">
        <f aca="false">(D54-$C54)*S$11+E54*S$12+F54*S$13+G54*S$14</f>
        <v>-17253.7372568567</v>
      </c>
      <c r="T54" s="69" t="n">
        <f aca="false">(D54-$C54)*T$11+E54*T$12+F54*T$13+G54*T$14</f>
        <v>-14975.218117628</v>
      </c>
      <c r="U54" s="56" t="n">
        <f aca="false">SUM(H54:T54)</f>
        <v>-144491.239339135</v>
      </c>
      <c r="V54" s="108" t="n">
        <f aca="false">SUM(H$14:T$14)</f>
        <v>0.354838709677419</v>
      </c>
      <c r="W54" s="29" t="n">
        <f aca="false">G54*(1-V54)</f>
        <v>-42786.3374789372</v>
      </c>
    </row>
    <row r="55" customFormat="false" ht="15" hidden="false" customHeight="true" outlineLevel="0" collapsed="false">
      <c r="A55" s="28" t="s">
        <v>599</v>
      </c>
      <c r="B55" s="55" t="s">
        <v>588</v>
      </c>
      <c r="C55" s="74" t="n">
        <v>-11511</v>
      </c>
      <c r="D55" s="57" t="n">
        <f aca="false">AP_Schedule!M12</f>
        <v>-31393.7845</v>
      </c>
      <c r="E55" s="57" t="n">
        <f aca="false">AP_Schedule!N12</f>
        <v>-65684.6856882747</v>
      </c>
      <c r="F55" s="57" t="n">
        <f aca="false">AP_Schedule!O12</f>
        <v>-78251.5378357704</v>
      </c>
      <c r="G55" s="57" t="n">
        <f aca="false">AP_Schedule!P12</f>
        <v>-55746.3145741356</v>
      </c>
      <c r="H55" s="69" t="n">
        <f aca="false">(D55-$C55)*H$11+E55*H$12+F55*H$13+G55*H$14</f>
        <v>-7325.23639473685</v>
      </c>
      <c r="I55" s="69" t="n">
        <f aca="false">(D55-$C55)*I$11+E55*I$12+F55*I$13+G55*I$14</f>
        <v>-7325.23639473685</v>
      </c>
      <c r="J55" s="69" t="n">
        <f aca="false">(D55-$C55)*J$11+E55*J$12+F55*J$13+G55*J$14</f>
        <v>-9470.03336783437</v>
      </c>
      <c r="K55" s="69" t="n">
        <f aca="false">(D55-$C55)*K$11+E55*K$12+F55*K$13+G55*K$14</f>
        <v>-14832.0258005782</v>
      </c>
      <c r="L55" s="69" t="n">
        <f aca="false">(D55-$C55)*L$11+E55*L$12+F55*L$13+G55*L$14</f>
        <v>-14832.0258005782</v>
      </c>
      <c r="M55" s="69" t="n">
        <f aca="false">(D55-$C55)*M$11+E55*M$12+F55*M$13+G55*M$14</f>
        <v>-14832.0258005782</v>
      </c>
      <c r="N55" s="69" t="n">
        <f aca="false">(D55-$C55)*N$11+E55*N$12+F55*N$13+G55*N$14</f>
        <v>-14832.0258005782</v>
      </c>
      <c r="O55" s="69" t="n">
        <f aca="false">(D55-$C55)*O$11+E55*O$12+F55*O$13+G55*O$14</f>
        <v>-17769.1683958081</v>
      </c>
      <c r="P55" s="69" t="n">
        <f aca="false">(D55-$C55)*P$11+E55*P$12+F55*P$13+G55*P$14</f>
        <v>-18258.6921616798</v>
      </c>
      <c r="Q55" s="69" t="n">
        <f aca="false">(D55-$C55)*Q$11+E55*Q$12+F55*Q$13+G55*Q$14</f>
        <v>-18258.6921616798</v>
      </c>
      <c r="R55" s="69" t="n">
        <f aca="false">(D55-$C55)*R$11+E55*R$12+F55*R$13+G55*R$14</f>
        <v>-18258.6921616798</v>
      </c>
      <c r="S55" s="69" t="n">
        <f aca="false">(D55-$C55)*S$11+E55*S$12+F55*S$13+G55*S$14</f>
        <v>-15018.2266318526</v>
      </c>
      <c r="T55" s="69" t="n">
        <f aca="false">(D55-$C55)*T$11+E55*T$12+F55*T$13+G55*T$14</f>
        <v>-12587.8774844822</v>
      </c>
      <c r="U55" s="56" t="n">
        <f aca="false">SUM(H55:T55)</f>
        <v>-183599.958356803</v>
      </c>
      <c r="V55" s="108" t="n">
        <f aca="false">SUM(H$14:T$14)</f>
        <v>0.354838709677419</v>
      </c>
      <c r="W55" s="29" t="n">
        <f aca="false">G55*(1-V55)</f>
        <v>-35965.3642413778</v>
      </c>
    </row>
    <row r="56" customFormat="false" ht="15" hidden="false" customHeight="true" outlineLevel="0" collapsed="false">
      <c r="A56" s="28" t="s">
        <v>600</v>
      </c>
      <c r="B56" s="55" t="s">
        <v>588</v>
      </c>
      <c r="C56" s="74" t="n">
        <v>-10930</v>
      </c>
      <c r="D56" s="57" t="n">
        <f aca="false">AP_Schedule!M20</f>
        <v>-29808.1508590337</v>
      </c>
      <c r="E56" s="57" t="n">
        <f aca="false">AP_Schedule!N20</f>
        <v>-34134.3391205047</v>
      </c>
      <c r="F56" s="57" t="n">
        <f aca="false">AP_Schedule!O20</f>
        <v>-45240.6123609783</v>
      </c>
      <c r="G56" s="57" t="n">
        <f aca="false">AP_Schedule!P20</f>
        <v>-47538.5976069806</v>
      </c>
      <c r="H56" s="69" t="n">
        <f aca="false">(D56-$C56)*H$11+E56*H$12+F56*H$13+G56*H$14</f>
        <v>-6955.10821122293</v>
      </c>
      <c r="I56" s="69" t="n">
        <f aca="false">(D56-$C56)*I$11+E56*I$12+F56*I$13+G56*I$14</f>
        <v>-6955.10821122293</v>
      </c>
      <c r="J56" s="69" t="n">
        <f aca="false">(D56-$C56)*J$11+E56*J$12+F56*J$13+G56*J$14</f>
        <v>-7170.14986371714</v>
      </c>
      <c r="K56" s="69" t="n">
        <f aca="false">(D56-$C56)*K$11+E56*K$12+F56*K$13+G56*K$14</f>
        <v>-7707.75399495267</v>
      </c>
      <c r="L56" s="69" t="n">
        <f aca="false">(D56-$C56)*L$11+E56*L$12+F56*L$13+G56*L$14</f>
        <v>-7707.75399495267</v>
      </c>
      <c r="M56" s="69" t="n">
        <f aca="false">(D56-$C56)*M$11+E56*M$12+F56*M$13+G56*M$14</f>
        <v>-7707.75399495267</v>
      </c>
      <c r="N56" s="69" t="n">
        <f aca="false">(D56-$C56)*N$11+E56*N$12+F56*N$13+G56*N$14</f>
        <v>-7707.75399495267</v>
      </c>
      <c r="O56" s="69" t="n">
        <f aca="false">(D56-$C56)*O$11+E56*O$12+F56*O$13+G56*O$14</f>
        <v>-10149.2301857603</v>
      </c>
      <c r="P56" s="69" t="n">
        <f aca="false">(D56-$C56)*P$11+E56*P$12+F56*P$13+G56*P$14</f>
        <v>-10556.1428842283</v>
      </c>
      <c r="Q56" s="69" t="n">
        <f aca="false">(D56-$C56)*Q$11+E56*Q$12+F56*Q$13+G56*Q$14</f>
        <v>-10556.1428842283</v>
      </c>
      <c r="R56" s="69" t="n">
        <f aca="false">(D56-$C56)*R$11+E56*R$12+F56*R$13+G56*R$14</f>
        <v>-10556.1428842283</v>
      </c>
      <c r="S56" s="69" t="n">
        <f aca="false">(D56-$C56)*S$11+E56*S$12+F56*S$13+G56*S$14</f>
        <v>-10658.0738305469</v>
      </c>
      <c r="T56" s="69" t="n">
        <f aca="false">(D56-$C56)*T$11+E56*T$12+F56*T$13+G56*T$14</f>
        <v>-10734.5220402859</v>
      </c>
      <c r="U56" s="56" t="n">
        <f aca="false">SUM(H56:T56)</f>
        <v>-115121.636975252</v>
      </c>
      <c r="V56" s="108" t="n">
        <f aca="false">SUM(H$14:T$14)</f>
        <v>0.354838709677419</v>
      </c>
      <c r="W56" s="29" t="n">
        <f aca="false">G56*(1-V56)</f>
        <v>-30670.0629722455</v>
      </c>
    </row>
    <row r="57" customFormat="false" ht="15" hidden="false" customHeight="true" outlineLevel="0" collapsed="false">
      <c r="A57" s="28" t="s">
        <v>601</v>
      </c>
      <c r="B57" s="55" t="s">
        <v>588</v>
      </c>
      <c r="C57" s="74" t="n">
        <v>-13608</v>
      </c>
      <c r="D57" s="57" t="n">
        <f aca="false">AP_Schedule!M28</f>
        <v>-37113.0883333625</v>
      </c>
      <c r="E57" s="57" t="n">
        <f aca="false">AP_Schedule!N28</f>
        <v>-36448.6012394477</v>
      </c>
      <c r="F57" s="57" t="n">
        <f aca="false">AP_Schedule!O28</f>
        <v>-35438.8004416298</v>
      </c>
      <c r="G57" s="57" t="n">
        <f aca="false">AP_Schedule!P28</f>
        <v>-39120.6806004898</v>
      </c>
      <c r="H57" s="69" t="n">
        <f aca="false">(D57-$C57)*H$11+E57*H$12+F57*H$13+G57*H$14</f>
        <v>-8659.76938597567</v>
      </c>
      <c r="I57" s="69" t="n">
        <f aca="false">(D57-$C57)*I$11+E57*I$12+F57*I$13+G57*I$14</f>
        <v>-8659.76938597567</v>
      </c>
      <c r="J57" s="69" t="n">
        <f aca="false">(D57-$C57)*J$11+E57*J$12+F57*J$13+G57*J$14</f>
        <v>-8537.07222202072</v>
      </c>
      <c r="K57" s="69" t="n">
        <f aca="false">(D57-$C57)*K$11+E57*K$12+F57*K$13+G57*K$14</f>
        <v>-8230.32931213336</v>
      </c>
      <c r="L57" s="69" t="n">
        <f aca="false">(D57-$C57)*L$11+E57*L$12+F57*L$13+G57*L$14</f>
        <v>-8230.32931213336</v>
      </c>
      <c r="M57" s="69" t="n">
        <f aca="false">(D57-$C57)*M$11+E57*M$12+F57*M$13+G57*M$14</f>
        <v>-8230.32931213336</v>
      </c>
      <c r="N57" s="69" t="n">
        <f aca="false">(D57-$C57)*N$11+E57*N$12+F57*N$13+G57*N$14</f>
        <v>-8230.32931213336</v>
      </c>
      <c r="O57" s="69" t="n">
        <f aca="false">(D57-$C57)*O$11+E57*O$12+F57*O$13+G57*O$14</f>
        <v>-8263.52141863072</v>
      </c>
      <c r="P57" s="69" t="n">
        <f aca="false">(D57-$C57)*P$11+E57*P$12+F57*P$13+G57*P$14</f>
        <v>-8269.05343638028</v>
      </c>
      <c r="Q57" s="69" t="n">
        <f aca="false">(D57-$C57)*Q$11+E57*Q$12+F57*Q$13+G57*Q$14</f>
        <v>-8269.05343638028</v>
      </c>
      <c r="R57" s="69" t="n">
        <f aca="false">(D57-$C57)*R$11+E57*R$12+F57*R$13+G57*R$14</f>
        <v>-8269.05343638028</v>
      </c>
      <c r="S57" s="69" t="n">
        <f aca="false">(D57-$C57)*S$11+E57*S$12+F57*S$13+G57*S$14</f>
        <v>-8591.70979906489</v>
      </c>
      <c r="T57" s="69" t="n">
        <f aca="false">(D57-$C57)*T$11+E57*T$12+F57*T$13+G57*T$14</f>
        <v>-8833.70207107835</v>
      </c>
      <c r="U57" s="56" t="n">
        <f aca="false">SUM(H57:T57)</f>
        <v>-109274.02184042</v>
      </c>
      <c r="V57" s="108" t="n">
        <f aca="false">SUM(H$14:T$14)</f>
        <v>0.354838709677419</v>
      </c>
      <c r="W57" s="29" t="n">
        <f aca="false">G57*(1-V57)</f>
        <v>-25239.1487745096</v>
      </c>
    </row>
    <row r="58" customFormat="false" ht="15" hidden="false" customHeight="true" outlineLevel="0" collapsed="false">
      <c r="A58" s="28" t="s">
        <v>602</v>
      </c>
      <c r="B58" s="55" t="s">
        <v>603</v>
      </c>
      <c r="C58" s="69" t="n">
        <v>0</v>
      </c>
      <c r="D58" s="57" t="n">
        <f aca="false">-Opex!M58</f>
        <v>-33184</v>
      </c>
      <c r="E58" s="57" t="n">
        <f aca="false">-Opex!N58</f>
        <v>-35020</v>
      </c>
      <c r="F58" s="57" t="n">
        <f aca="false">-Opex!O58</f>
        <v>-37876</v>
      </c>
      <c r="G58" s="57" t="n">
        <f aca="false">-Opex!P58</f>
        <v>-37876</v>
      </c>
      <c r="H58" s="69" t="n">
        <f aca="false">(D58-$C58)*H$36+E58*H$37+F58*H$38+G58*H$39</f>
        <v>-0</v>
      </c>
      <c r="I58" s="69" t="n">
        <f aca="false">(D58-$C58)*I$36+E58*I$37+F58*I$38+G58*I$39</f>
        <v>-33184</v>
      </c>
      <c r="J58" s="69" t="n">
        <f aca="false">(D58-$C58)*J$36+E58*J$37+F58*J$38+G58*J$39</f>
        <v>-0</v>
      </c>
      <c r="K58" s="69" t="n">
        <f aca="false">(D58-$C58)*K$36+E58*K$37+F58*K$38+G58*K$39</f>
        <v>-0</v>
      </c>
      <c r="L58" s="69" t="n">
        <f aca="false">(D58-$C58)*L$36+E58*L$37+F58*L$38+G58*L$39</f>
        <v>-0</v>
      </c>
      <c r="M58" s="69" t="n">
        <f aca="false">(D58-$C58)*M$36+E58*M$37+F58*M$38+G58*M$39</f>
        <v>-0</v>
      </c>
      <c r="N58" s="69" t="n">
        <f aca="false">(D58-$C58)*N$36+E58*N$37+F58*N$38+G58*N$39</f>
        <v>-35020</v>
      </c>
      <c r="O58" s="69" t="n">
        <f aca="false">(D58-$C58)*O$36+E58*O$37+F58*O$38+G58*O$39</f>
        <v>-0</v>
      </c>
      <c r="P58" s="69" t="n">
        <f aca="false">(D58-$C58)*P$36+E58*P$37+F58*P$38+G58*P$39</f>
        <v>-0</v>
      </c>
      <c r="Q58" s="69" t="n">
        <f aca="false">(D58-$C58)*Q$36+E58*Q$37+F58*Q$38+G58*Q$39</f>
        <v>-0</v>
      </c>
      <c r="R58" s="69" t="n">
        <f aca="false">(D58-$C58)*R$36+E58*R$37+F58*R$38+G58*R$39</f>
        <v>-37876</v>
      </c>
      <c r="S58" s="69" t="n">
        <f aca="false">(D58-$C58)*S$36+E58*S$37+F58*S$38+G58*S$39</f>
        <v>-0</v>
      </c>
      <c r="T58" s="69" t="n">
        <f aca="false">(D58-$C58)*T$36+E58*T$37+F58*T$38+G58*T$39</f>
        <v>-0</v>
      </c>
      <c r="U58" s="56" t="n">
        <f aca="false">SUM(H58:T58)</f>
        <v>-106080</v>
      </c>
      <c r="V58" s="108" t="n">
        <f aca="false">SUM(H$39:T$39)</f>
        <v>0</v>
      </c>
      <c r="W58" s="29" t="n">
        <f aca="false">G58*(1-V58)</f>
        <v>-37876</v>
      </c>
    </row>
    <row r="59" customFormat="false" ht="15" hidden="false" customHeight="true" outlineLevel="0" collapsed="false">
      <c r="A59" s="28" t="s">
        <v>604</v>
      </c>
      <c r="B59" s="55" t="s">
        <v>605</v>
      </c>
      <c r="C59" s="69" t="n">
        <v>0</v>
      </c>
      <c r="D59" s="57" t="n">
        <f aca="false">Opex!M56</f>
        <v>-15328</v>
      </c>
      <c r="E59" s="57" t="n">
        <f aca="false">Opex!N56</f>
        <v>-15616</v>
      </c>
      <c r="F59" s="57" t="n">
        <f aca="false">Opex!O56</f>
        <v>-16480</v>
      </c>
      <c r="G59" s="57" t="n">
        <f aca="false">Opex!P56</f>
        <v>-17824</v>
      </c>
      <c r="H59" s="69" t="n">
        <f aca="false">(D59-$C59)*H$40+E59*H$41+F59*H$42+G59*H$43</f>
        <v>-0</v>
      </c>
      <c r="I59" s="69" t="n">
        <f aca="false">(D59-$C59)*I$40+E59*I$41+F59*I$42+G59*I$43</f>
        <v>-0</v>
      </c>
      <c r="J59" s="69" t="n">
        <f aca="false">(D59-$C59)*J$40+E59*J$41+F59*J$42+G59*J$43</f>
        <v>-15328</v>
      </c>
      <c r="K59" s="69" t="n">
        <f aca="false">(D59-$C59)*K$40+E59*K$41+F59*K$42+G59*K$43</f>
        <v>-0</v>
      </c>
      <c r="L59" s="69" t="n">
        <f aca="false">(D59-$C59)*L$40+E59*L$41+F59*L$42+G59*L$43</f>
        <v>-0</v>
      </c>
      <c r="M59" s="69" t="n">
        <f aca="false">(D59-$C59)*M$40+E59*M$41+F59*M$42+G59*M$43</f>
        <v>-0</v>
      </c>
      <c r="N59" s="69" t="n">
        <f aca="false">(D59-$C59)*N$40+E59*N$41+F59*N$42+G59*N$43</f>
        <v>-0</v>
      </c>
      <c r="O59" s="69" t="n">
        <f aca="false">(D59-$C59)*O$40+E59*O$41+F59*O$42+G59*O$43</f>
        <v>-15616</v>
      </c>
      <c r="P59" s="69" t="n">
        <f aca="false">(D59-$C59)*P$40+E59*P$41+F59*P$42+G59*P$43</f>
        <v>-0</v>
      </c>
      <c r="Q59" s="69" t="n">
        <f aca="false">(D59-$C59)*Q$40+E59*Q$41+F59*Q$42+G59*Q$43</f>
        <v>-0</v>
      </c>
      <c r="R59" s="69" t="n">
        <f aca="false">(D59-$C59)*R$40+E59*R$41+F59*R$42+G59*R$43</f>
        <v>-0</v>
      </c>
      <c r="S59" s="69" t="n">
        <f aca="false">(D59-$C59)*S$40+E59*S$41+F59*S$42+G59*S$43</f>
        <v>-16480</v>
      </c>
      <c r="T59" s="69" t="n">
        <f aca="false">(D59-$C59)*T$40+E59*T$41+F59*T$42+G59*T$43</f>
        <v>-0</v>
      </c>
      <c r="U59" s="56" t="n">
        <f aca="false">SUM(H59:T59)</f>
        <v>-47424</v>
      </c>
      <c r="V59" s="108" t="n">
        <f aca="false">SUM(H$43:T$43)</f>
        <v>0</v>
      </c>
      <c r="W59" s="29" t="n">
        <f aca="false">G59*(1-V59)</f>
        <v>-17824</v>
      </c>
    </row>
    <row r="60" customFormat="false" ht="15" hidden="false" customHeight="true" outlineLevel="0" collapsed="false">
      <c r="A60" s="28" t="s">
        <v>606</v>
      </c>
      <c r="B60" s="55" t="s">
        <v>607</v>
      </c>
      <c r="C60" s="69" t="n">
        <v>0</v>
      </c>
      <c r="D60" s="57" t="n">
        <f aca="false">VAT!M21</f>
        <v>0</v>
      </c>
      <c r="E60" s="57" t="n">
        <f aca="false">VAT!N21</f>
        <v>-149858.348941807</v>
      </c>
      <c r="F60" s="57" t="n">
        <f aca="false">VAT!O21</f>
        <v>0</v>
      </c>
      <c r="G60" s="57" t="n">
        <f aca="false">VAT!P21</f>
        <v>0</v>
      </c>
      <c r="H60" s="69" t="n">
        <f aca="false">E60*H$45</f>
        <v>-0</v>
      </c>
      <c r="I60" s="69" t="n">
        <f aca="false">E60*I$45</f>
        <v>-0</v>
      </c>
      <c r="J60" s="69" t="n">
        <f aca="false">E60*J$45</f>
        <v>-0</v>
      </c>
      <c r="K60" s="69" t="n">
        <f aca="false">E60*K$45</f>
        <v>-0</v>
      </c>
      <c r="L60" s="69" t="n">
        <f aca="false">E60*L$45</f>
        <v>-0</v>
      </c>
      <c r="M60" s="69" t="n">
        <f aca="false">E60*M$45</f>
        <v>-0</v>
      </c>
      <c r="N60" s="69" t="n">
        <f aca="false">E60*N$45</f>
        <v>-0</v>
      </c>
      <c r="O60" s="69" t="n">
        <f aca="false">E60*O$45</f>
        <v>-149858.348941807</v>
      </c>
      <c r="P60" s="69" t="n">
        <f aca="false">E60*P$45</f>
        <v>-0</v>
      </c>
      <c r="Q60" s="69" t="n">
        <f aca="false">E60*Q$45</f>
        <v>-0</v>
      </c>
      <c r="R60" s="69" t="n">
        <f aca="false">E60*R$45</f>
        <v>-0</v>
      </c>
      <c r="S60" s="69" t="n">
        <f aca="false">E60*S$45</f>
        <v>-0</v>
      </c>
      <c r="T60" s="69" t="n">
        <f aca="false">E60*T$45</f>
        <v>-0</v>
      </c>
      <c r="U60" s="56" t="n">
        <f aca="false">SUM(H60:T60)</f>
        <v>-149858.348941807</v>
      </c>
      <c r="V60" s="108" t="n">
        <v>0</v>
      </c>
      <c r="W60" s="29" t="n">
        <f aca="false">G60</f>
        <v>0</v>
      </c>
    </row>
    <row r="61" customFormat="false" ht="15" hidden="false" customHeight="true" outlineLevel="0" collapsed="false">
      <c r="A61" s="28" t="s">
        <v>608</v>
      </c>
      <c r="B61" s="55" t="s">
        <v>609</v>
      </c>
      <c r="C61" s="69" t="n">
        <f aca="false">D61</f>
        <v>-9671.56077509249</v>
      </c>
      <c r="D61" s="57" t="n">
        <f aca="false">-Debt!M18</f>
        <v>-9671.56077509249</v>
      </c>
      <c r="E61" s="57" t="n">
        <f aca="false">-Debt!N18</f>
        <v>-9671.56077509249</v>
      </c>
      <c r="F61" s="57" t="n">
        <f aca="false">-Debt!O18</f>
        <v>-9671.56077509249</v>
      </c>
      <c r="G61" s="57" t="n">
        <f aca="false">-Debt!P18</f>
        <v>-9671.56077509249</v>
      </c>
      <c r="H61" s="69" t="n">
        <f aca="false">(D61-$C61)*H$28+E61*H$29+F61*H$30+G61*H$31</f>
        <v>0</v>
      </c>
      <c r="I61" s="69" t="n">
        <f aca="false">(D61-$C61)*I$28+E61*I$29+F61*I$30+G61*I$31</f>
        <v>0</v>
      </c>
      <c r="J61" s="69" t="n">
        <f aca="false">(D61-$C61)*J$28+E61*J$29+F61*J$30+G61*J$31</f>
        <v>-9671.56077509249</v>
      </c>
      <c r="K61" s="69" t="n">
        <f aca="false">(D61-$C61)*K$28+E61*K$29+F61*K$30+G61*K$31</f>
        <v>0</v>
      </c>
      <c r="L61" s="69" t="n">
        <f aca="false">(D61-$C61)*L$28+E61*L$29+F61*L$30+G61*L$31</f>
        <v>0</v>
      </c>
      <c r="M61" s="69" t="n">
        <f aca="false">(D61-$C61)*M$28+E61*M$29+F61*M$30+G61*M$31</f>
        <v>0</v>
      </c>
      <c r="N61" s="69" t="n">
        <f aca="false">(D61-$C61)*N$28+E61*N$29+F61*N$30+G61*N$31</f>
        <v>0</v>
      </c>
      <c r="O61" s="69" t="n">
        <f aca="false">(D61-$C61)*O$28+E61*O$29+F61*O$30+G61*O$31</f>
        <v>-9671.56077509249</v>
      </c>
      <c r="P61" s="69" t="n">
        <f aca="false">(D61-$C61)*P$28+E61*P$29+F61*P$30+G61*P$31</f>
        <v>0</v>
      </c>
      <c r="Q61" s="69" t="n">
        <f aca="false">(D61-$C61)*Q$28+E61*Q$29+F61*Q$30+G61*Q$31</f>
        <v>0</v>
      </c>
      <c r="R61" s="69" t="n">
        <f aca="false">(D61-$C61)*R$28+E61*R$29+F61*R$30+G61*R$31</f>
        <v>0</v>
      </c>
      <c r="S61" s="69" t="n">
        <f aca="false">(D61-$C61)*S$28+E61*S$29+F61*S$30+G61*S$31</f>
        <v>-9671.56077509249</v>
      </c>
      <c r="T61" s="69" t="n">
        <f aca="false">(D61-$C61)*T$28+E61*T$29+F61*T$30+G61*T$31</f>
        <v>0</v>
      </c>
      <c r="U61" s="56" t="n">
        <f aca="false">SUM(H61:T61)</f>
        <v>-29014.6823252775</v>
      </c>
      <c r="V61" s="108" t="n">
        <f aca="false">SUM(H$31:T$31)</f>
        <v>1</v>
      </c>
      <c r="W61" s="29" t="n">
        <f aca="false">G61*(1-V61)</f>
        <v>-0</v>
      </c>
    </row>
    <row r="62" customFormat="false" ht="15" hidden="false" customHeight="true" outlineLevel="0" collapsed="false">
      <c r="A62" s="28" t="s">
        <v>610</v>
      </c>
      <c r="B62" s="55" t="s">
        <v>588</v>
      </c>
      <c r="C62" s="74" t="n">
        <v>-666</v>
      </c>
      <c r="D62" s="57" t="n">
        <f aca="false">-Fixed_Assets!M27*(1+Assumptions!$C$19*Assumptions!$C$25)</f>
        <v>-1815</v>
      </c>
      <c r="E62" s="57" t="n">
        <f aca="false">-Fixed_Assets!N27*(1+Assumptions!$C$19*Assumptions!$C$25)</f>
        <v>-1815</v>
      </c>
      <c r="F62" s="57" t="n">
        <f aca="false">-Fixed_Assets!O27*(1+Assumptions!$C$19*Assumptions!$C$25)</f>
        <v>-1815</v>
      </c>
      <c r="G62" s="57" t="n">
        <f aca="false">-Fixed_Assets!P27*(1+Assumptions!$C$19*Assumptions!$C$25)</f>
        <v>-1815</v>
      </c>
      <c r="H62" s="69" t="n">
        <f aca="false">(D62-$C62)*H$11+E62*H$12+F62*H$13+G62*H$14</f>
        <v>-423.315789473684</v>
      </c>
      <c r="I62" s="69" t="n">
        <f aca="false">(D62-$C62)*I$11+E62*I$12+F62*I$13+G62*I$14</f>
        <v>-423.315789473684</v>
      </c>
      <c r="J62" s="69" t="n">
        <f aca="false">(D62-$C62)*J$11+E62*J$12+F62*J$13+G62*J$14</f>
        <v>-419.46519524618</v>
      </c>
      <c r="K62" s="69" t="n">
        <f aca="false">(D62-$C62)*K$11+E62*K$12+F62*K$13+G62*K$14</f>
        <v>-409.838709677419</v>
      </c>
      <c r="L62" s="69" t="n">
        <f aca="false">(D62-$C62)*L$11+E62*L$12+F62*L$13+G62*L$14</f>
        <v>-409.838709677419</v>
      </c>
      <c r="M62" s="69" t="n">
        <f aca="false">(D62-$C62)*M$11+E62*M$12+F62*M$13+G62*M$14</f>
        <v>-409.838709677419</v>
      </c>
      <c r="N62" s="69" t="n">
        <f aca="false">(D62-$C62)*N$11+E62*N$12+F62*N$13+G62*N$14</f>
        <v>-409.838709677419</v>
      </c>
      <c r="O62" s="69" t="n">
        <f aca="false">(D62-$C62)*O$11+E62*O$12+F62*O$13+G62*O$14</f>
        <v>-421.548387096774</v>
      </c>
      <c r="P62" s="69" t="n">
        <f aca="false">(D62-$C62)*P$11+E62*P$12+F62*P$13+G62*P$14</f>
        <v>-423.5</v>
      </c>
      <c r="Q62" s="69" t="n">
        <f aca="false">(D62-$C62)*Q$11+E62*Q$12+F62*Q$13+G62*Q$14</f>
        <v>-423.5</v>
      </c>
      <c r="R62" s="69" t="n">
        <f aca="false">(D62-$C62)*R$11+E62*R$12+F62*R$13+G62*R$14</f>
        <v>-423.5</v>
      </c>
      <c r="S62" s="69" t="n">
        <f aca="false">(D62-$C62)*S$11+E62*S$12+F62*S$13+G62*S$14</f>
        <v>-415.693548387097</v>
      </c>
      <c r="T62" s="69" t="n">
        <f aca="false">(D62-$C62)*T$11+E62*T$12+F62*T$13+G62*T$14</f>
        <v>-409.838709677419</v>
      </c>
      <c r="U62" s="56" t="n">
        <f aca="false">SUM(H62:T62)</f>
        <v>-5423.03225806452</v>
      </c>
      <c r="V62" s="108" t="n">
        <f aca="false">SUM(H$14:T$14)</f>
        <v>0.354838709677419</v>
      </c>
      <c r="W62" s="29" t="n">
        <f aca="false">G62*(1-V62)</f>
        <v>-1170.96774193548</v>
      </c>
    </row>
    <row r="63" customFormat="false" ht="15" hidden="false" customHeight="true" outlineLevel="0" collapsed="false">
      <c r="A63" s="28" t="s">
        <v>611</v>
      </c>
      <c r="B63" s="55" t="s">
        <v>588</v>
      </c>
      <c r="C63" s="74" t="n">
        <v>-194</v>
      </c>
      <c r="D63" s="57" t="n">
        <f aca="false">-Opex!M49</f>
        <v>-530.424197002129</v>
      </c>
      <c r="E63" s="57" t="n">
        <f aca="false">-Opex!N49</f>
        <v>-614.549368513455</v>
      </c>
      <c r="F63" s="57" t="n">
        <f aca="false">-Opex!O49</f>
        <v>-887.932176817908</v>
      </c>
      <c r="G63" s="57" t="n">
        <f aca="false">-Opex!P49</f>
        <v>-794.364214771471</v>
      </c>
      <c r="H63" s="69" t="n">
        <f aca="false">(D63-$C63)*H$11+E63*H$12+F63*H$13+G63*H$14</f>
        <v>-123.945756790258</v>
      </c>
      <c r="I63" s="69" t="n">
        <f aca="false">(D63-$C63)*I$11+E63*I$12+F63*I$13+G63*I$14</f>
        <v>-123.945756790258</v>
      </c>
      <c r="J63" s="69" t="n">
        <f aca="false">(D63-$C63)*J$11+E63*J$12+F63*J$13+G63*J$14</f>
        <v>-128.18102977732</v>
      </c>
      <c r="K63" s="69" t="n">
        <f aca="false">(D63-$C63)*K$11+E63*K$12+F63*K$13+G63*K$14</f>
        <v>-138.769212244974</v>
      </c>
      <c r="L63" s="69" t="n">
        <f aca="false">(D63-$C63)*L$11+E63*L$12+F63*L$13+G63*L$14</f>
        <v>-138.769212244974</v>
      </c>
      <c r="M63" s="69" t="n">
        <f aca="false">(D63-$C63)*M$11+E63*M$12+F63*M$13+G63*M$14</f>
        <v>-138.769212244974</v>
      </c>
      <c r="N63" s="69" t="n">
        <f aca="false">(D63-$C63)*N$11+E63*N$12+F63*N$13+G63*N$14</f>
        <v>-138.769212244974</v>
      </c>
      <c r="O63" s="69" t="n">
        <f aca="false">(D63-$C63)*O$11+E63*O$12+F63*O$13+G63*O$14</f>
        <v>-197.410608541435</v>
      </c>
      <c r="P63" s="69" t="n">
        <f aca="false">(D63-$C63)*P$11+E63*P$12+F63*P$13+G63*P$14</f>
        <v>-207.184174590845</v>
      </c>
      <c r="Q63" s="69" t="n">
        <f aca="false">(D63-$C63)*Q$11+E63*Q$12+F63*Q$13+G63*Q$14</f>
        <v>-207.184174590845</v>
      </c>
      <c r="R63" s="69" t="n">
        <f aca="false">(D63-$C63)*R$11+E63*R$12+F63*R$13+G63*R$14</f>
        <v>-207.184174590845</v>
      </c>
      <c r="S63" s="69" t="n">
        <f aca="false">(D63-$C63)*S$11+E63*S$12+F63*S$13+G63*S$14</f>
        <v>-191.2918260394</v>
      </c>
      <c r="T63" s="69" t="n">
        <f aca="false">(D63-$C63)*T$11+E63*T$12+F63*T$13+G63*T$14</f>
        <v>-179.372564625816</v>
      </c>
      <c r="U63" s="56" t="n">
        <f aca="false">SUM(H63:T63)</f>
        <v>-2120.77691531692</v>
      </c>
      <c r="V63" s="108" t="n">
        <f aca="false">SUM(H$14:T$14)</f>
        <v>0.354838709677419</v>
      </c>
      <c r="W63" s="29" t="n">
        <f aca="false">G63*(1-V63)</f>
        <v>-512.493041788046</v>
      </c>
    </row>
    <row r="64" customFormat="false" ht="15" hidden="false" customHeight="true" outlineLevel="0" collapsed="false">
      <c r="A64" s="28" t="s">
        <v>612</v>
      </c>
      <c r="B64" s="55" t="s">
        <v>594</v>
      </c>
      <c r="D64" s="57" t="n">
        <f aca="false">BS!M25</f>
        <v>0</v>
      </c>
      <c r="E64" s="57" t="n">
        <f aca="false">BS!N25</f>
        <v>0</v>
      </c>
      <c r="F64" s="57" t="n">
        <f aca="false">BS!O25</f>
        <v>0</v>
      </c>
      <c r="G64" s="57" t="n">
        <f aca="false">BS!P25</f>
        <v>0</v>
      </c>
      <c r="U64" s="56" t="n">
        <f aca="false">SUM(H64:T64)</f>
        <v>0</v>
      </c>
      <c r="V64" s="108" t="n">
        <v>0</v>
      </c>
      <c r="W64" s="29" t="n">
        <f aca="false">G64</f>
        <v>0</v>
      </c>
    </row>
    <row r="65" customFormat="false" ht="15" hidden="false" customHeight="true" outlineLevel="0" collapsed="false">
      <c r="A65" s="75" t="s">
        <v>613</v>
      </c>
      <c r="B65" s="109" t="s">
        <v>594</v>
      </c>
      <c r="C65" s="72" t="n">
        <f aca="false">C53+C54+C55+C56+C57+C58+C59+C60+C61+C62+C63</f>
        <v>-157608.560775092</v>
      </c>
      <c r="D65" s="110" t="n">
        <f aca="false">D53+D54+D55+D56+D57+D58+D59+D60+D61+D62+D63+D64</f>
        <v>-396755.415201151</v>
      </c>
      <c r="E65" s="110" t="n">
        <f aca="false">E53+E54+E55+E56+E57+E58+E59+E60+E61+E62+E63+E64</f>
        <v>-400373.734712007</v>
      </c>
      <c r="F65" s="110" t="n">
        <f aca="false">F53+F54+F55+F56+F57+F58+F59+F60+F61+F62+F63+F64</f>
        <v>-381226.141200982</v>
      </c>
      <c r="G65" s="110" t="n">
        <f aca="false">G53+G54+G55+G56+G57+G58+G59+G60+G61+G62+G63+G64</f>
        <v>-318705.340863823</v>
      </c>
      <c r="H65" s="72" t="n">
        <f aca="false">H53+H54+H55+H56+H57+H58+H59+H60+H61+H62+H63+H64</f>
        <v>-64886.5253148635</v>
      </c>
      <c r="I65" s="72" t="n">
        <f aca="false">I53+I54+I55+I56+I57+I58+I59+I60+I61+I62+I63+I64</f>
        <v>-93470.5253148635</v>
      </c>
      <c r="J65" s="72" t="n">
        <f aca="false">J53+J54+J55+J56+J57+J58+J59+J60+J61+J62+J63+J64</f>
        <v>-100307.03070014</v>
      </c>
      <c r="K65" s="72" t="n">
        <f aca="false">K53+K54+K55+K56+K57+K58+K59+K60+K61+K62+K63+K64</f>
        <v>-34459.8314505082</v>
      </c>
      <c r="L65" s="72" t="n">
        <f aca="false">L53+L54+L55+L56+L57+L58+L59+L60+L61+L62+L63+L64</f>
        <v>-52459.8314505082</v>
      </c>
      <c r="M65" s="72" t="n">
        <f aca="false">M53+M54+M55+M56+M57+M58+M59+M60+M61+M62+M63+M64</f>
        <v>-54059.8314505082</v>
      </c>
      <c r="N65" s="72" t="n">
        <f aca="false">N53+N54+N55+N56+N57+N58+N59+N60+N61+N62+N63+N64</f>
        <v>-69479.8314505082</v>
      </c>
      <c r="O65" s="72" t="n">
        <f aca="false">O53+O54+O55+O56+O57+O58+O59+O60+O61+O62+O63+O64</f>
        <v>-229788.458866435</v>
      </c>
      <c r="P65" s="72" t="n">
        <f aca="false">P53+P54+P55+P56+P57+P58+P59+P60+P61+P62+P63+P64</f>
        <v>-58006.3354327075</v>
      </c>
      <c r="Q65" s="72" t="n">
        <f aca="false">Q53+Q54+Q55+Q56+Q57+Q58+Q59+Q60+Q61+Q62+Q63+Q64</f>
        <v>-58006.3354327075</v>
      </c>
      <c r="R65" s="72" t="n">
        <f aca="false">R53+R54+R55+R56+R57+R58+R59+R60+R61+R62+R63+R64</f>
        <v>-164482.335432707</v>
      </c>
      <c r="S65" s="72" t="n">
        <f aca="false">S53+S54+S55+S56+S57+S58+S59+S60+S61+S62+S63+S64</f>
        <v>-78280.2936678402</v>
      </c>
      <c r="T65" s="72" t="n">
        <f aca="false">T53+T54+T55+T56+T57+T58+T59+T60+T61+T62+T63+T64</f>
        <v>-47720.5309877778</v>
      </c>
      <c r="U65" s="72" t="n">
        <f aca="false">SUM(H65:T65)</f>
        <v>-1105407.69695208</v>
      </c>
    </row>
    <row r="66" customFormat="false" ht="15" hidden="false" customHeight="true" outlineLevel="0" collapsed="false">
      <c r="A66" s="22" t="s">
        <v>429</v>
      </c>
      <c r="B66" s="23"/>
      <c r="C66" s="23"/>
      <c r="D66" s="23"/>
      <c r="E66" s="23"/>
      <c r="F66" s="23"/>
      <c r="G66" s="23"/>
      <c r="H66" s="23"/>
      <c r="I66" s="23"/>
      <c r="J66" s="23"/>
      <c r="K66" s="23"/>
      <c r="L66" s="23"/>
      <c r="M66" s="23"/>
      <c r="N66" s="23"/>
      <c r="O66" s="23"/>
      <c r="P66" s="23"/>
      <c r="Q66" s="23"/>
      <c r="R66" s="23"/>
      <c r="S66" s="23"/>
      <c r="T66" s="23"/>
      <c r="U66" s="23"/>
    </row>
    <row r="67" customFormat="false" ht="15" hidden="false" customHeight="true" outlineLevel="0" collapsed="false">
      <c r="A67" s="75" t="s">
        <v>614</v>
      </c>
      <c r="B67" s="109" t="s">
        <v>594</v>
      </c>
      <c r="C67" s="72" t="n">
        <f aca="false">C51+C65</f>
        <v>-40540.5607750925</v>
      </c>
      <c r="D67" s="110" t="n">
        <f aca="false">D51+D65</f>
        <v>-78771.0825484365</v>
      </c>
      <c r="E67" s="110" t="n">
        <f aca="false">E51+E65</f>
        <v>-24017.91544676</v>
      </c>
      <c r="F67" s="110" t="n">
        <f aca="false">F51+F65</f>
        <v>111277.842716892</v>
      </c>
      <c r="G67" s="110" t="n">
        <f aca="false">G51+G65</f>
        <v>211287.118130114</v>
      </c>
      <c r="H67" s="72" t="n">
        <f aca="false">H51+H65</f>
        <v>27276.4409826754</v>
      </c>
      <c r="I67" s="72" t="n">
        <f aca="false">I51+I65</f>
        <v>-49885.5277101044</v>
      </c>
      <c r="J67" s="72" t="n">
        <f aca="false">J51+J65</f>
        <v>-11112.5521412582</v>
      </c>
      <c r="K67" s="72" t="n">
        <f aca="false">K51+K65</f>
        <v>14392.1645250741</v>
      </c>
      <c r="L67" s="72" t="n">
        <f aca="false">L51+L65</f>
        <v>71363.5990183298</v>
      </c>
      <c r="M67" s="72" t="n">
        <f aca="false">M51+M65</f>
        <v>-5207.83547492592</v>
      </c>
      <c r="N67" s="72" t="n">
        <f aca="false">N51+N65</f>
        <v>54343.5990183298</v>
      </c>
      <c r="O67" s="72" t="n">
        <f aca="false">O51+O65</f>
        <v>-162026.283062538</v>
      </c>
      <c r="P67" s="72" t="n">
        <f aca="false">P51+P65</f>
        <v>107201.230878287</v>
      </c>
      <c r="Q67" s="72" t="n">
        <f aca="false">Q51+Q65</f>
        <v>12907.5370092422</v>
      </c>
      <c r="R67" s="72" t="n">
        <f aca="false">R51+R65</f>
        <v>725.230878286995</v>
      </c>
      <c r="S67" s="72" t="n">
        <f aca="false">S51+S65</f>
        <v>-11241.5997566301</v>
      </c>
      <c r="T67" s="72" t="n">
        <f aca="false">T51+T65</f>
        <v>139400.750636074</v>
      </c>
      <c r="U67" s="72" t="n">
        <f aca="false">SUM(H67:T67)</f>
        <v>188136.754800842</v>
      </c>
    </row>
    <row r="68" customFormat="false" ht="15" hidden="false" customHeight="true" outlineLevel="0" collapsed="false">
      <c r="A68" s="1" t="s">
        <v>431</v>
      </c>
      <c r="B68" s="55" t="s">
        <v>615</v>
      </c>
      <c r="C68" s="85" t="n">
        <f aca="false">INDEX(BS!$E$9:$AB$9,Assumptions!$C$10)+C67</f>
        <v>350911.635424168</v>
      </c>
      <c r="H68" s="29" t="n">
        <f aca="false">C68</f>
        <v>350911.635424168</v>
      </c>
      <c r="I68" s="29" t="n">
        <f aca="false">H69</f>
        <v>378188.076406843</v>
      </c>
      <c r="J68" s="29" t="n">
        <f aca="false">I69</f>
        <v>328302.548696739</v>
      </c>
      <c r="K68" s="29" t="n">
        <f aca="false">J69</f>
        <v>317189.99655548</v>
      </c>
      <c r="L68" s="29" t="n">
        <f aca="false">K69</f>
        <v>331582.161080555</v>
      </c>
      <c r="M68" s="29" t="n">
        <f aca="false">L69</f>
        <v>402945.760098884</v>
      </c>
      <c r="N68" s="29" t="n">
        <f aca="false">M69</f>
        <v>397737.924623958</v>
      </c>
      <c r="O68" s="29" t="n">
        <f aca="false">N69</f>
        <v>452081.523642288</v>
      </c>
      <c r="P68" s="29" t="n">
        <f aca="false">O69</f>
        <v>290055.24057975</v>
      </c>
      <c r="Q68" s="29" t="n">
        <f aca="false">P69</f>
        <v>397256.471458037</v>
      </c>
      <c r="R68" s="29" t="n">
        <f aca="false">Q69</f>
        <v>410164.008467279</v>
      </c>
      <c r="S68" s="29" t="n">
        <f aca="false">R69</f>
        <v>410889.239345566</v>
      </c>
      <c r="T68" s="29" t="n">
        <f aca="false">S69</f>
        <v>399647.639588936</v>
      </c>
    </row>
    <row r="69" customFormat="false" ht="15" hidden="false" customHeight="true" outlineLevel="0" collapsed="false">
      <c r="A69" s="75" t="s">
        <v>616</v>
      </c>
      <c r="B69" s="111"/>
      <c r="C69" s="111"/>
      <c r="D69" s="111"/>
      <c r="E69" s="111"/>
      <c r="F69" s="111"/>
      <c r="G69" s="111"/>
      <c r="H69" s="72" t="n">
        <f aca="false">H68+H67</f>
        <v>378188.076406843</v>
      </c>
      <c r="I69" s="72" t="n">
        <f aca="false">I68+I67</f>
        <v>328302.548696739</v>
      </c>
      <c r="J69" s="72" t="n">
        <f aca="false">J68+J67</f>
        <v>317189.99655548</v>
      </c>
      <c r="K69" s="72" t="n">
        <f aca="false">K68+K67</f>
        <v>331582.161080555</v>
      </c>
      <c r="L69" s="72" t="n">
        <f aca="false">L68+L67</f>
        <v>402945.760098884</v>
      </c>
      <c r="M69" s="72" t="n">
        <f aca="false">M68+M67</f>
        <v>397737.924623958</v>
      </c>
      <c r="N69" s="72" t="n">
        <f aca="false">N68+N67</f>
        <v>452081.523642288</v>
      </c>
      <c r="O69" s="72" t="n">
        <f aca="false">O68+O67</f>
        <v>290055.24057975</v>
      </c>
      <c r="P69" s="72" t="n">
        <f aca="false">P68+P67</f>
        <v>397256.471458037</v>
      </c>
      <c r="Q69" s="72" t="n">
        <f aca="false">Q68+Q67</f>
        <v>410164.008467279</v>
      </c>
      <c r="R69" s="72" t="n">
        <f aca="false">R68+R67</f>
        <v>410889.239345566</v>
      </c>
      <c r="S69" s="72" t="n">
        <f aca="false">S68+S67</f>
        <v>399647.639588936</v>
      </c>
      <c r="T69" s="72" t="n">
        <f aca="false">T68+T67</f>
        <v>539048.39022501</v>
      </c>
      <c r="U69" s="111"/>
    </row>
    <row r="71" customFormat="false" ht="15" hidden="false" customHeight="true" outlineLevel="0" collapsed="false">
      <c r="A71" s="22" t="s">
        <v>617</v>
      </c>
      <c r="B71" s="23"/>
      <c r="C71" s="23"/>
      <c r="D71" s="23"/>
      <c r="E71" s="23"/>
      <c r="F71" s="23"/>
      <c r="G71" s="23"/>
      <c r="H71" s="23"/>
      <c r="I71" s="23"/>
      <c r="J71" s="23"/>
      <c r="K71" s="23"/>
      <c r="L71" s="23"/>
      <c r="M71" s="23"/>
      <c r="N71" s="23"/>
      <c r="O71" s="23"/>
      <c r="P71" s="23"/>
      <c r="Q71" s="23"/>
      <c r="R71" s="23"/>
      <c r="S71" s="23"/>
      <c r="T71" s="23"/>
      <c r="U71" s="23"/>
    </row>
    <row r="72" customFormat="false" ht="15" hidden="false" customHeight="true" outlineLevel="0" collapsed="false">
      <c r="A72" s="1" t="s">
        <v>618</v>
      </c>
      <c r="B72" s="55" t="s">
        <v>71</v>
      </c>
      <c r="H72" s="57" t="n">
        <f aca="false">Assumptions!$C$13</f>
        <v>150000</v>
      </c>
      <c r="I72" s="57" t="n">
        <f aca="false">Assumptions!$C$13</f>
        <v>150000</v>
      </c>
      <c r="J72" s="57" t="n">
        <f aca="false">Assumptions!$C$13</f>
        <v>150000</v>
      </c>
      <c r="K72" s="57" t="n">
        <f aca="false">Assumptions!$C$13</f>
        <v>150000</v>
      </c>
      <c r="L72" s="57" t="n">
        <f aca="false">Assumptions!$C$13</f>
        <v>150000</v>
      </c>
      <c r="M72" s="57" t="n">
        <f aca="false">Assumptions!$C$13</f>
        <v>150000</v>
      </c>
      <c r="N72" s="57" t="n">
        <f aca="false">Assumptions!$C$13</f>
        <v>150000</v>
      </c>
      <c r="O72" s="57" t="n">
        <f aca="false">Assumptions!$C$13</f>
        <v>150000</v>
      </c>
      <c r="P72" s="57" t="n">
        <f aca="false">Assumptions!$C$13</f>
        <v>150000</v>
      </c>
      <c r="Q72" s="57" t="n">
        <f aca="false">Assumptions!$C$13</f>
        <v>150000</v>
      </c>
      <c r="R72" s="57" t="n">
        <f aca="false">Assumptions!$C$13</f>
        <v>150000</v>
      </c>
      <c r="S72" s="57" t="n">
        <f aca="false">Assumptions!$C$13</f>
        <v>150000</v>
      </c>
      <c r="T72" s="57" t="n">
        <f aca="false">Assumptions!$C$13</f>
        <v>150000</v>
      </c>
    </row>
    <row r="73" customFormat="false" ht="15" hidden="false" customHeight="true" outlineLevel="0" collapsed="false">
      <c r="A73" s="6" t="s">
        <v>619</v>
      </c>
      <c r="H73" s="35" t="n">
        <f aca="false">H69-H72</f>
        <v>228188.076406843</v>
      </c>
      <c r="I73" s="35" t="n">
        <f aca="false">I69-I72</f>
        <v>178302.548696739</v>
      </c>
      <c r="J73" s="35" t="n">
        <f aca="false">J69-J72</f>
        <v>167189.99655548</v>
      </c>
      <c r="K73" s="35" t="n">
        <f aca="false">K69-K72</f>
        <v>181582.161080554</v>
      </c>
      <c r="L73" s="35" t="n">
        <f aca="false">L69-L72</f>
        <v>252945.760098884</v>
      </c>
      <c r="M73" s="35" t="n">
        <f aca="false">M69-M72</f>
        <v>247737.924623958</v>
      </c>
      <c r="N73" s="35" t="n">
        <f aca="false">N69-N72</f>
        <v>302081.523642288</v>
      </c>
      <c r="O73" s="35" t="n">
        <f aca="false">O69-O72</f>
        <v>140055.24057975</v>
      </c>
      <c r="P73" s="35" t="n">
        <f aca="false">P69-P72</f>
        <v>247256.471458037</v>
      </c>
      <c r="Q73" s="35" t="n">
        <f aca="false">Q69-Q72</f>
        <v>260164.008467279</v>
      </c>
      <c r="R73" s="35" t="n">
        <f aca="false">R69-R72</f>
        <v>260889.239345566</v>
      </c>
      <c r="S73" s="35" t="n">
        <f aca="false">S69-S72</f>
        <v>249647.639588936</v>
      </c>
      <c r="T73" s="35" t="n">
        <f aca="false">T69-T72</f>
        <v>389048.39022501</v>
      </c>
    </row>
    <row r="74" customFormat="false" ht="15" hidden="false" customHeight="true" outlineLevel="0" collapsed="false">
      <c r="A74" s="1" t="s">
        <v>132</v>
      </c>
      <c r="H74" s="31" t="str">
        <f aca="false">IF(H69&lt;0,"NEGATIVE",IF(H73&lt;0,"BELOW BUFFER","OK"))</f>
        <v>OK</v>
      </c>
      <c r="I74" s="31" t="str">
        <f aca="false">IF(I69&lt;0,"NEGATIVE",IF(I73&lt;0,"BELOW BUFFER","OK"))</f>
        <v>OK</v>
      </c>
      <c r="J74" s="31" t="str">
        <f aca="false">IF(J69&lt;0,"NEGATIVE",IF(J73&lt;0,"BELOW BUFFER","OK"))</f>
        <v>OK</v>
      </c>
      <c r="K74" s="31" t="str">
        <f aca="false">IF(K69&lt;0,"NEGATIVE",IF(K73&lt;0,"BELOW BUFFER","OK"))</f>
        <v>OK</v>
      </c>
      <c r="L74" s="31" t="str">
        <f aca="false">IF(L69&lt;0,"NEGATIVE",IF(L73&lt;0,"BELOW BUFFER","OK"))</f>
        <v>OK</v>
      </c>
      <c r="M74" s="31" t="str">
        <f aca="false">IF(M69&lt;0,"NEGATIVE",IF(M73&lt;0,"BELOW BUFFER","OK"))</f>
        <v>OK</v>
      </c>
      <c r="N74" s="31" t="str">
        <f aca="false">IF(N69&lt;0,"NEGATIVE",IF(N73&lt;0,"BELOW BUFFER","OK"))</f>
        <v>OK</v>
      </c>
      <c r="O74" s="31" t="str">
        <f aca="false">IF(O69&lt;0,"NEGATIVE",IF(O73&lt;0,"BELOW BUFFER","OK"))</f>
        <v>OK</v>
      </c>
      <c r="P74" s="31" t="str">
        <f aca="false">IF(P69&lt;0,"NEGATIVE",IF(P73&lt;0,"BELOW BUFFER","OK"))</f>
        <v>OK</v>
      </c>
      <c r="Q74" s="31" t="str">
        <f aca="false">IF(Q69&lt;0,"NEGATIVE",IF(Q73&lt;0,"BELOW BUFFER","OK"))</f>
        <v>OK</v>
      </c>
      <c r="R74" s="31" t="str">
        <f aca="false">IF(R69&lt;0,"NEGATIVE",IF(R73&lt;0,"BELOW BUFFER","OK"))</f>
        <v>OK</v>
      </c>
      <c r="S74" s="31" t="str">
        <f aca="false">IF(S69&lt;0,"NEGATIVE",IF(S73&lt;0,"BELOW BUFFER","OK"))</f>
        <v>OK</v>
      </c>
      <c r="T74" s="31" t="str">
        <f aca="false">IF(T69&lt;0,"NEGATIVE",IF(T73&lt;0,"BELOW BUFFER","OK"))</f>
        <v>OK</v>
      </c>
    </row>
    <row r="75" customFormat="false" ht="15" hidden="false" customHeight="true" outlineLevel="0" collapsed="false">
      <c r="A75" s="1" t="s">
        <v>620</v>
      </c>
      <c r="C75" s="35" t="n">
        <f aca="false">MIN(H69:T69)</f>
        <v>290055.24057975</v>
      </c>
    </row>
    <row r="76" customFormat="false" ht="15" hidden="false" customHeight="true" outlineLevel="0" collapsed="false">
      <c r="A76" s="1" t="s">
        <v>621</v>
      </c>
      <c r="C76" s="112" t="n">
        <f aca="false">INDEX(H$6:T$6,MATCH(MIN(H69:T69),H69:T69,0))</f>
        <v>46332</v>
      </c>
    </row>
    <row r="77" customFormat="false" ht="15" hidden="false" customHeight="true" outlineLevel="0" collapsed="false">
      <c r="A77" s="1" t="s">
        <v>622</v>
      </c>
      <c r="C77" s="35" t="n">
        <f aca="false">MIN(H73:T73)</f>
        <v>140055.24057975</v>
      </c>
    </row>
    <row r="78" customFormat="false" ht="15" hidden="false" customHeight="true" outlineLevel="0" collapsed="false">
      <c r="A78" s="1" t="s">
        <v>623</v>
      </c>
      <c r="C78" s="35" t="n">
        <f aca="false">Assumptions!$C$14</f>
        <v>150000</v>
      </c>
    </row>
    <row r="79" customFormat="false" ht="15" hidden="false" customHeight="true" outlineLevel="0" collapsed="false">
      <c r="A79" s="1" t="s">
        <v>624</v>
      </c>
      <c r="C79" s="35" t="n">
        <f aca="false">Assumptions!$C$14+MIN(0,MIN(H73:T73))</f>
        <v>150000</v>
      </c>
    </row>
    <row r="81" customFormat="false" ht="15" hidden="false" customHeight="true" outlineLevel="0" collapsed="false">
      <c r="A81" s="22" t="s">
        <v>625</v>
      </c>
      <c r="B81" s="23"/>
      <c r="C81" s="23"/>
      <c r="D81" s="23"/>
      <c r="E81" s="23"/>
      <c r="F81" s="23"/>
      <c r="G81" s="23"/>
      <c r="H81" s="23"/>
      <c r="I81" s="23"/>
      <c r="J81" s="23"/>
      <c r="K81" s="23"/>
      <c r="L81" s="23"/>
      <c r="M81" s="23"/>
      <c r="N81" s="23"/>
      <c r="O81" s="23"/>
      <c r="P81" s="23"/>
      <c r="Q81" s="23"/>
      <c r="R81" s="23"/>
      <c r="S81" s="23"/>
      <c r="T81" s="23"/>
      <c r="U81" s="23"/>
    </row>
    <row r="82" customFormat="false" ht="15" hidden="false" customHeight="true" outlineLevel="0" collapsed="false">
      <c r="A82" s="1" t="s">
        <v>626</v>
      </c>
      <c r="C82" s="29" t="n">
        <f aca="false">T69</f>
        <v>539048.39022501</v>
      </c>
    </row>
    <row r="83" customFormat="false" ht="15" hidden="false" customHeight="true" outlineLevel="0" collapsed="false">
      <c r="A83" s="1" t="s">
        <v>627</v>
      </c>
      <c r="C83" s="29" t="n">
        <f aca="false">SUM(W48:W64)</f>
        <v>72179.7688260604</v>
      </c>
    </row>
    <row r="84" customFormat="false" ht="15" hidden="false" customHeight="true" outlineLevel="0" collapsed="false">
      <c r="A84" s="81" t="s">
        <v>628</v>
      </c>
      <c r="C84" s="35" t="n">
        <f aca="false">C82+C83</f>
        <v>611228.15905107</v>
      </c>
    </row>
    <row r="85" customFormat="false" ht="15" hidden="false" customHeight="true" outlineLevel="0" collapsed="false">
      <c r="A85" s="1" t="s">
        <v>629</v>
      </c>
      <c r="C85" s="57" t="n">
        <f aca="false">BS!P9</f>
        <v>611228.15905107</v>
      </c>
    </row>
    <row r="86" customFormat="false" ht="15" hidden="false" customHeight="true" outlineLevel="0" collapsed="false">
      <c r="A86" s="6" t="s">
        <v>630</v>
      </c>
      <c r="C86" s="35" t="n">
        <f aca="false">ROUND(C84-C85,0)</f>
        <v>0</v>
      </c>
    </row>
    <row r="88" customFormat="false" ht="15" hidden="false" customHeight="true" outlineLevel="0" collapsed="false">
      <c r="A88" s="22" t="s">
        <v>631</v>
      </c>
      <c r="B88" s="23"/>
      <c r="C88" s="23"/>
      <c r="D88" s="23"/>
      <c r="E88" s="23"/>
      <c r="F88" s="23"/>
      <c r="G88" s="23"/>
      <c r="H88" s="23"/>
      <c r="I88" s="23"/>
      <c r="J88" s="23"/>
      <c r="K88" s="23"/>
      <c r="L88" s="23"/>
      <c r="M88" s="23"/>
      <c r="N88" s="23"/>
      <c r="O88" s="23"/>
      <c r="P88" s="23"/>
      <c r="Q88" s="23"/>
      <c r="R88" s="23"/>
      <c r="S88" s="23"/>
      <c r="T88" s="23"/>
      <c r="U88" s="23"/>
    </row>
    <row r="89" customFormat="false" ht="15" hidden="false" customHeight="true" outlineLevel="0" collapsed="false">
      <c r="A89" s="13" t="s">
        <v>632</v>
      </c>
    </row>
    <row r="90" customFormat="false" ht="15" hidden="false" customHeight="true" outlineLevel="0" collapsed="false">
      <c r="A90" s="13" t="s">
        <v>633</v>
      </c>
    </row>
    <row r="91" customFormat="false" ht="15" hidden="false" customHeight="true" outlineLevel="0" collapsed="false">
      <c r="A91" s="13" t="s">
        <v>634</v>
      </c>
    </row>
    <row r="92" customFormat="false" ht="15" hidden="false" customHeight="true" outlineLevel="0" collapsed="false">
      <c r="A92" s="13" t="s">
        <v>635</v>
      </c>
    </row>
    <row r="93" customFormat="false" ht="15" hidden="false" customHeight="true" outlineLevel="0" collapsed="false">
      <c r="A93" s="13" t="s">
        <v>636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4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637</v>
      </c>
    </row>
    <row r="3" customFormat="false" ht="15" hidden="false" customHeight="true" outlineLevel="0" collapsed="false">
      <c r="A3" s="25" t="s">
        <v>638</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639</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640</v>
      </c>
      <c r="B9" s="55" t="s">
        <v>641</v>
      </c>
      <c r="C9" s="113" t="n">
        <f aca="false">IFERROR(SUMIFS(Inputs_Actuals!$E$15:$AB$15,Assumptions!$E$62:$AB$62,"&gt;"&amp;(Assumptions!$C$10-Assumptions!$C$27),Assumptions!$E$62:$AB$62,"&lt;="&amp;Assumptions!$C$10)/SUMIFS(Assumptions!$E$69:$AB$69,Assumptions!$E$62:$AB$62,"&gt;"&amp;(Assumptions!$C$10-Assumptions!$C$27),Assumptions!$E$62:$AB$62,"&lt;="&amp;Assumptions!$C$10),0)</f>
        <v>2905.69444444444</v>
      </c>
    </row>
    <row r="10" customFormat="false" ht="15" hidden="false" customHeight="true" outlineLevel="0" collapsed="false">
      <c r="A10" s="28" t="s">
        <v>642</v>
      </c>
      <c r="B10" s="55" t="s">
        <v>643</v>
      </c>
      <c r="C10" s="56" t="n">
        <f aca="false">SUM(E10:P10)</f>
        <v>36319.3932356992</v>
      </c>
      <c r="D10" s="56" t="n">
        <f aca="false">SUM(Q10:AB10)</f>
        <v>42911.5392249802</v>
      </c>
      <c r="E10" s="57" t="n">
        <f aca="false">IF(E$5="A",Volume_Price!E30,Channel_PL!$C$9*Assumptions!E$69*(1+Assumptions!$F$78)^(Assumptions!E$68/12))</f>
        <v>2296</v>
      </c>
      <c r="F10" s="57" t="n">
        <f aca="false">IF(F$5="A",Volume_Price!F30,Channel_PL!$C$9*Assumptions!F$69*(1+Assumptions!$F$78)^(Assumptions!F$68/12))</f>
        <v>2270</v>
      </c>
      <c r="G10" s="57" t="n">
        <f aca="false">IF(G$5="A",Volume_Price!G30,Channel_PL!$C$9*Assumptions!G$69*(1+Assumptions!$F$78)^(Assumptions!G$68/12))</f>
        <v>2649</v>
      </c>
      <c r="H10" s="57" t="n">
        <f aca="false">IF(H$5="A",Volume_Price!H30,Channel_PL!$C$9*Assumptions!H$69*(1+Assumptions!$F$78)^(Assumptions!H$68/12))</f>
        <v>2630</v>
      </c>
      <c r="I10" s="57" t="n">
        <f aca="false">IF(I$5="A",Volume_Price!I30,Channel_PL!$C$9*Assumptions!I$69*(1+Assumptions!$F$78)^(Assumptions!I$68/12))</f>
        <v>2929</v>
      </c>
      <c r="J10" s="57" t="n">
        <f aca="false">IF(J$5="A",Volume_Price!J30,Channel_PL!$C$9*Assumptions!J$69*(1+Assumptions!$F$78)^(Assumptions!J$68/12))</f>
        <v>2821</v>
      </c>
      <c r="K10" s="57" t="n">
        <f aca="false">IF(K$5="A",Volume_Price!K30,Channel_PL!$C$9*Assumptions!K$69*(1+Assumptions!$F$78)^(Assumptions!K$68/12))</f>
        <v>2659</v>
      </c>
      <c r="L10" s="57" t="n">
        <f aca="false">IF(L$5="A",Volume_Price!L30,Channel_PL!$C$9*Assumptions!L$69*(1+Assumptions!$F$78)^(Assumptions!L$68/12))</f>
        <v>2667</v>
      </c>
      <c r="M10" s="57" t="n">
        <f aca="false">IF(M$5="A",Volume_Price!M30,Channel_PL!$C$9*Assumptions!M$69*(1+Assumptions!$F$78)^(Assumptions!M$68/12))</f>
        <v>2924.70313206359</v>
      </c>
      <c r="N10" s="57" t="n">
        <f aca="false">IF(N$5="A",Volume_Price!N30,Channel_PL!$C$9*Assumptions!N$69*(1+Assumptions!$F$78)^(Assumptions!N$68/12))</f>
        <v>3364.04092723362</v>
      </c>
      <c r="O10" s="57" t="n">
        <f aca="false">IF(O$5="A",Volume_Price!O30,Channel_PL!$C$9*Assumptions!O$69*(1+Assumptions!$F$78)^(Assumptions!O$68/12))</f>
        <v>4824.99633355009</v>
      </c>
      <c r="P10" s="57" t="n">
        <f aca="false">IF(P$5="A",Volume_Price!P30,Channel_PL!$C$9*Assumptions!P$69*(1+Assumptions!$F$78)^(Assumptions!P$68/12))</f>
        <v>4284.65284285189</v>
      </c>
      <c r="Q10" s="57" t="n">
        <f aca="false">IF(Q$5="A",Volume_Price!Q30,Channel_PL!$C$9*Assumptions!Q$69*(1+Assumptions!$F$78)^(Assumptions!Q$68/12))</f>
        <v>2714.7613471553</v>
      </c>
      <c r="R10" s="57" t="n">
        <f aca="false">IF(R$5="A",Volume_Price!R30,Channel_PL!$C$9*Assumptions!R$69*(1+Assumptions!$F$78)^(Assumptions!R$68/12))</f>
        <v>2567.55553156194</v>
      </c>
      <c r="S10" s="57" t="n">
        <f aca="false">IF(S$5="A",Volume_Price!S30,Channel_PL!$C$9*Assumptions!S$69*(1+Assumptions!$F$78)^(Assumptions!S$68/12))</f>
        <v>2936.76381470369</v>
      </c>
      <c r="T10" s="57" t="n">
        <f aca="false">IF(T$5="A",Volume_Price!T30,Channel_PL!$C$9*Assumptions!T$69*(1+Assumptions!$F$78)^(Assumptions!T$68/12))</f>
        <v>3085.3618983604</v>
      </c>
      <c r="U10" s="57" t="n">
        <f aca="false">IF(U$5="A",Volume_Price!U30,Channel_PL!$C$9*Assumptions!U$69*(1+Assumptions!$F$78)^(Assumptions!U$68/12))</f>
        <v>3305.56644825647</v>
      </c>
      <c r="V10" s="57" t="n">
        <f aca="false">IF(V$5="A",Volume_Price!V30,Channel_PL!$C$9*Assumptions!V$69*(1+Assumptions!$F$78)^(Assumptions!V$68/12))</f>
        <v>3257.91743539754</v>
      </c>
      <c r="W10" s="57" t="n">
        <f aca="false">IF(W$5="A",Volume_Price!W30,Channel_PL!$C$9*Assumptions!W$69*(1+Assumptions!$F$78)^(Assumptions!W$68/12))</f>
        <v>3138.01944643632</v>
      </c>
      <c r="X10" s="57" t="n">
        <f aca="false">IF(X$5="A",Volume_Price!X30,Channel_PL!$C$9*Assumptions!X$69*(1+Assumptions!$F$78)^(Assumptions!X$68/12))</f>
        <v>3119.55355555556</v>
      </c>
      <c r="Y10" s="57" t="n">
        <f aca="false">IF(Y$5="A",Volume_Price!Y30,Channel_PL!$C$9*Assumptions!Y$69*(1+Assumptions!$F$78)^(Assumptions!Y$68/12))</f>
        <v>3568.13782111757</v>
      </c>
      <c r="Z10" s="57" t="n">
        <f aca="false">IF(Z$5="A",Volume_Price!Z30,Channel_PL!$C$9*Assumptions!Z$69*(1+Assumptions!$F$78)^(Assumptions!Z$68/12))</f>
        <v>4104.12993122502</v>
      </c>
      <c r="AA10" s="57" t="n">
        <f aca="false">IF(AA$5="A",Volume_Price!AA30,Channel_PL!$C$9*Assumptions!AA$69*(1+Assumptions!$F$78)^(Assumptions!AA$68/12))</f>
        <v>5886.49552693111</v>
      </c>
      <c r="AB10" s="57" t="n">
        <f aca="false">IF(AB$5="A",Volume_Price!AB30,Channel_PL!$C$9*Assumptions!AB$69*(1+Assumptions!$F$78)^(Assumptions!AB$68/12))</f>
        <v>5227.27646827931</v>
      </c>
    </row>
    <row r="11" customFormat="false" ht="15" hidden="false" customHeight="true" outlineLevel="0" collapsed="false">
      <c r="A11" s="28" t="s">
        <v>644</v>
      </c>
      <c r="B11" s="55" t="s">
        <v>645</v>
      </c>
      <c r="C11" s="56" t="n">
        <f aca="false">SUM(E11:P11)</f>
        <v>27020.217211629</v>
      </c>
      <c r="D11" s="56" t="n">
        <f aca="false">SUM(Q11:AB11)</f>
        <v>31786.3253518372</v>
      </c>
      <c r="E11" s="57" t="n">
        <f aca="false">IF(E$5="A",Inputs_Actuals!E9,E10/Assumptions!$F$90)</f>
        <v>1715</v>
      </c>
      <c r="F11" s="57" t="n">
        <f aca="false">IF(F$5="A",Inputs_Actuals!F9,F10/Assumptions!$F$90)</f>
        <v>1697</v>
      </c>
      <c r="G11" s="57" t="n">
        <f aca="false">IF(G$5="A",Inputs_Actuals!G9,G10/Assumptions!$F$90)</f>
        <v>1954</v>
      </c>
      <c r="H11" s="57" t="n">
        <f aca="false">IF(H$5="A",Inputs_Actuals!H9,H10/Assumptions!$F$90)</f>
        <v>1940</v>
      </c>
      <c r="I11" s="57" t="n">
        <f aca="false">IF(I$5="A",Inputs_Actuals!I9,I10/Assumptions!$F$90)</f>
        <v>2188</v>
      </c>
      <c r="J11" s="57" t="n">
        <f aca="false">IF(J$5="A",Inputs_Actuals!J9,J10/Assumptions!$F$90)</f>
        <v>2135</v>
      </c>
      <c r="K11" s="57" t="n">
        <f aca="false">IF(K$5="A",Inputs_Actuals!K9,K10/Assumptions!$F$90)</f>
        <v>2007</v>
      </c>
      <c r="L11" s="57" t="n">
        <f aca="false">IF(L$5="A",Inputs_Actuals!L9,L10/Assumptions!$F$90)</f>
        <v>1978</v>
      </c>
      <c r="M11" s="57" t="n">
        <f aca="false">IF(M$5="A",Inputs_Actuals!M9,M10/Assumptions!$F$90)</f>
        <v>2166.44676449155</v>
      </c>
      <c r="N11" s="57" t="n">
        <f aca="false">IF(N$5="A",Inputs_Actuals!N9,N10/Assumptions!$F$90)</f>
        <v>2491.8821683212</v>
      </c>
      <c r="O11" s="57" t="n">
        <f aca="false">IF(O$5="A",Inputs_Actuals!O9,O10/Assumptions!$F$90)</f>
        <v>3574.07135818525</v>
      </c>
      <c r="P11" s="57" t="n">
        <f aca="false">IF(P$5="A",Inputs_Actuals!P9,P10/Assumptions!$F$90)</f>
        <v>3173.81692063103</v>
      </c>
      <c r="Q11" s="57" t="n">
        <f aca="false">IF(Q$5="A",Inputs_Actuals!Q9,Q10/Assumptions!$F$90)</f>
        <v>2010.93433122615</v>
      </c>
      <c r="R11" s="57" t="n">
        <f aca="false">IF(R$5="A",Inputs_Actuals!R9,R10/Assumptions!$F$90)</f>
        <v>1901.89298634218</v>
      </c>
      <c r="S11" s="57" t="n">
        <f aca="false">IF(S$5="A",Inputs_Actuals!S9,S10/Assumptions!$F$90)</f>
        <v>2175.38060348422</v>
      </c>
      <c r="T11" s="57" t="n">
        <f aca="false">IF(T$5="A",Inputs_Actuals!T9,T10/Assumptions!$F$90)</f>
        <v>2285.45325804474</v>
      </c>
      <c r="U11" s="57" t="n">
        <f aca="false">IF(U$5="A",Inputs_Actuals!U9,U10/Assumptions!$F$90)</f>
        <v>2448.56773944924</v>
      </c>
      <c r="V11" s="57" t="n">
        <f aca="false">IF(V$5="A",Inputs_Actuals!V9,V10/Assumptions!$F$90)</f>
        <v>2413.27217436855</v>
      </c>
      <c r="W11" s="57" t="n">
        <f aca="false">IF(W$5="A",Inputs_Actuals!W9,W10/Assumptions!$F$90)</f>
        <v>2324.45884921209</v>
      </c>
      <c r="X11" s="57" t="n">
        <f aca="false">IF(X$5="A",Inputs_Actuals!X9,X10/Assumptions!$F$90)</f>
        <v>2310.78041152263</v>
      </c>
      <c r="Y11" s="57" t="n">
        <f aca="false">IF(Y$5="A",Inputs_Actuals!Y9,Y10/Assumptions!$F$90)</f>
        <v>2643.06505267968</v>
      </c>
      <c r="Z11" s="57" t="n">
        <f aca="false">IF(Z$5="A",Inputs_Actuals!Z9,Z10/Assumptions!$F$90)</f>
        <v>3040.09624535187</v>
      </c>
      <c r="AA11" s="57" t="n">
        <f aca="false">IF(AA$5="A",Inputs_Actuals!AA9,AA10/Assumptions!$F$90)</f>
        <v>4360.36705698601</v>
      </c>
      <c r="AB11" s="57" t="n">
        <f aca="false">IF(AB$5="A",Inputs_Actuals!AB9,AB10/Assumptions!$F$90)</f>
        <v>3872.05664316986</v>
      </c>
    </row>
    <row r="12" customFormat="false" ht="15" hidden="false" customHeight="true" outlineLevel="0" collapsed="false">
      <c r="A12" s="28" t="s">
        <v>646</v>
      </c>
      <c r="B12" s="55" t="s">
        <v>647</v>
      </c>
      <c r="C12" s="114" t="n">
        <f aca="false">AVERAGE(E12:P12)</f>
        <v>1.3434127086758</v>
      </c>
      <c r="D12" s="114" t="n">
        <f aca="false">AVERAGE(Q12:AB12)</f>
        <v>1.35</v>
      </c>
      <c r="E12" s="115" t="n">
        <f aca="false">IF(E11=0,0,E10/E11)</f>
        <v>1.33877551020408</v>
      </c>
      <c r="F12" s="115" t="n">
        <f aca="false">IF(F11=0,0,F10/F11)</f>
        <v>1.33765468473777</v>
      </c>
      <c r="G12" s="115" t="n">
        <f aca="false">IF(G11=0,0,G10/G11)</f>
        <v>1.35568065506653</v>
      </c>
      <c r="H12" s="115" t="n">
        <f aca="false">IF(H11=0,0,H10/H11)</f>
        <v>1.35567010309278</v>
      </c>
      <c r="I12" s="115" t="n">
        <f aca="false">IF(I11=0,0,I10/I11)</f>
        <v>1.33866544789762</v>
      </c>
      <c r="J12" s="115" t="n">
        <f aca="false">IF(J11=0,0,J10/J11)</f>
        <v>1.32131147540984</v>
      </c>
      <c r="K12" s="115" t="n">
        <f aca="false">IF(K11=0,0,K10/K11)</f>
        <v>1.3248629795715</v>
      </c>
      <c r="L12" s="115" t="n">
        <f aca="false">IF(L11=0,0,L10/L11)</f>
        <v>1.34833164812942</v>
      </c>
      <c r="M12" s="115" t="n">
        <f aca="false">IF(M11=0,0,M10/M11)</f>
        <v>1.35</v>
      </c>
      <c r="N12" s="115" t="n">
        <f aca="false">IF(N11=0,0,N10/N11)</f>
        <v>1.35</v>
      </c>
      <c r="O12" s="115" t="n">
        <f aca="false">IF(O11=0,0,O10/O11)</f>
        <v>1.35</v>
      </c>
      <c r="P12" s="115" t="n">
        <f aca="false">IF(P11=0,0,P10/P11)</f>
        <v>1.35</v>
      </c>
      <c r="Q12" s="115" t="n">
        <f aca="false">IF(Q11=0,0,Q10/Q11)</f>
        <v>1.35</v>
      </c>
      <c r="R12" s="115" t="n">
        <f aca="false">IF(R11=0,0,R10/R11)</f>
        <v>1.35</v>
      </c>
      <c r="S12" s="115" t="n">
        <f aca="false">IF(S11=0,0,S10/S11)</f>
        <v>1.35</v>
      </c>
      <c r="T12" s="115" t="n">
        <f aca="false">IF(T11=0,0,T10/T11)</f>
        <v>1.35</v>
      </c>
      <c r="U12" s="115" t="n">
        <f aca="false">IF(U11=0,0,U10/U11)</f>
        <v>1.35</v>
      </c>
      <c r="V12" s="115" t="n">
        <f aca="false">IF(V11=0,0,V10/V11)</f>
        <v>1.35</v>
      </c>
      <c r="W12" s="115" t="n">
        <f aca="false">IF(W11=0,0,W10/W11)</f>
        <v>1.35</v>
      </c>
      <c r="X12" s="115" t="n">
        <f aca="false">IF(X11=0,0,X10/X11)</f>
        <v>1.35</v>
      </c>
      <c r="Y12" s="115" t="n">
        <f aca="false">IF(Y11=0,0,Y10/Y11)</f>
        <v>1.35</v>
      </c>
      <c r="Z12" s="115" t="n">
        <f aca="false">IF(Z11=0,0,Z10/Z11)</f>
        <v>1.35</v>
      </c>
      <c r="AA12" s="115" t="n">
        <f aca="false">IF(AA11=0,0,AA10/AA11)</f>
        <v>1.35</v>
      </c>
      <c r="AB12" s="115" t="n">
        <f aca="false">IF(AB11=0,0,AB10/AB11)</f>
        <v>1.35</v>
      </c>
    </row>
    <row r="13" customFormat="false" ht="15" hidden="false" customHeight="true" outlineLevel="0" collapsed="false">
      <c r="A13" s="28" t="s">
        <v>648</v>
      </c>
      <c r="B13" s="55" t="s">
        <v>68</v>
      </c>
      <c r="C13" s="56" t="n">
        <f aca="false">SUM(E13:P13)</f>
        <v>2240762.50351048</v>
      </c>
      <c r="D13" s="56" t="n">
        <f aca="false">SUM(Q13:AB13)</f>
        <v>2723959.54797625</v>
      </c>
      <c r="E13" s="57" t="n">
        <f aca="false">Volume_Price!E52</f>
        <v>140655</v>
      </c>
      <c r="F13" s="57" t="n">
        <f aca="false">Volume_Price!F52</f>
        <v>141416.58</v>
      </c>
      <c r="G13" s="57" t="n">
        <f aca="false">Volume_Price!G52</f>
        <v>160707.58</v>
      </c>
      <c r="H13" s="57" t="n">
        <f aca="false">Volume_Price!H52</f>
        <v>160863.38</v>
      </c>
      <c r="I13" s="57" t="n">
        <f aca="false">Volume_Price!I52</f>
        <v>182524.64</v>
      </c>
      <c r="J13" s="57" t="n">
        <f aca="false">Volume_Price!J52</f>
        <v>171603.25</v>
      </c>
      <c r="K13" s="57" t="n">
        <f aca="false">Volume_Price!K52</f>
        <v>161802.43</v>
      </c>
      <c r="L13" s="57" t="n">
        <f aca="false">Volume_Price!L52</f>
        <v>164257.25</v>
      </c>
      <c r="M13" s="57" t="n">
        <f aca="false">Volume_Price!M52</f>
        <v>181004.344759684</v>
      </c>
      <c r="N13" s="57" t="n">
        <f aca="false">Volume_Price!N52</f>
        <v>208707.592783482</v>
      </c>
      <c r="O13" s="57" t="n">
        <f aca="false">Volume_Price!O52</f>
        <v>300084.618004086</v>
      </c>
      <c r="P13" s="57" t="n">
        <f aca="false">Volume_Price!P52</f>
        <v>267135.837963229</v>
      </c>
      <c r="Q13" s="57" t="n">
        <f aca="false">Volume_Price!Q52</f>
        <v>169675.03263974</v>
      </c>
      <c r="R13" s="57" t="n">
        <f aca="false">Volume_Price!R52</f>
        <v>160870.309898617</v>
      </c>
      <c r="S13" s="57" t="n">
        <f aca="false">Volume_Price!S52</f>
        <v>184456.873070975</v>
      </c>
      <c r="T13" s="57" t="n">
        <f aca="false">Volume_Price!T52</f>
        <v>194268.193890263</v>
      </c>
      <c r="U13" s="57" t="n">
        <f aca="false">Volume_Price!U52</f>
        <v>208646.570656317</v>
      </c>
      <c r="V13" s="57" t="n">
        <f aca="false">Volume_Price!V52</f>
        <v>206146.137450628</v>
      </c>
      <c r="W13" s="57" t="n">
        <f aca="false">Volume_Price!W52</f>
        <v>199049.241636833</v>
      </c>
      <c r="X13" s="57" t="n">
        <f aca="false">Volume_Price!X52</f>
        <v>198365.943047602</v>
      </c>
      <c r="Y13" s="57" t="n">
        <f aca="false">Volume_Price!Y52</f>
        <v>227450.059625019</v>
      </c>
      <c r="Z13" s="57" t="n">
        <f aca="false">Volume_Price!Z52</f>
        <v>262261.961091723</v>
      </c>
      <c r="AA13" s="57" t="n">
        <f aca="false">Volume_Price!AA52</f>
        <v>377086.330983934</v>
      </c>
      <c r="AB13" s="57" t="n">
        <f aca="false">Volume_Price!AB52</f>
        <v>335682.893984594</v>
      </c>
    </row>
    <row r="14" customFormat="false" ht="15" hidden="false" customHeight="true" outlineLevel="0" collapsed="false">
      <c r="A14" s="28" t="s">
        <v>649</v>
      </c>
      <c r="B14" s="55" t="s">
        <v>650</v>
      </c>
      <c r="C14" s="56" t="n">
        <f aca="false">SUM(E14:P14)</f>
        <v>-189670.253448391</v>
      </c>
      <c r="D14" s="56" t="n">
        <f aca="false">SUM(Q14:AB14)</f>
        <v>-231536.561577981</v>
      </c>
      <c r="E14" s="57" t="n">
        <f aca="false">-IF(E$5="A",Inputs_Actuals!E48,Assumptions!$F$84*E13)</f>
        <v>-11197</v>
      </c>
      <c r="F14" s="57" t="n">
        <f aca="false">-IF(F$5="A",Inputs_Actuals!F48,Assumptions!$F$84*F13)</f>
        <v>-12487</v>
      </c>
      <c r="G14" s="57" t="n">
        <f aca="false">-IF(G$5="A",Inputs_Actuals!G48,Assumptions!$F$84*G13)</f>
        <v>-13854</v>
      </c>
      <c r="H14" s="57" t="n">
        <f aca="false">-IF(H$5="A",Inputs_Actuals!H48,Assumptions!$F$84*H13)</f>
        <v>-14295</v>
      </c>
      <c r="I14" s="57" t="n">
        <f aca="false">-IF(I$5="A",Inputs_Actuals!I48,Assumptions!$F$84*I13)</f>
        <v>-13958</v>
      </c>
      <c r="J14" s="57" t="n">
        <f aca="false">-IF(J$5="A",Inputs_Actuals!J48,Assumptions!$F$84*J13)</f>
        <v>-14197</v>
      </c>
      <c r="K14" s="57" t="n">
        <f aca="false">-IF(K$5="A",Inputs_Actuals!K48,Assumptions!$F$84*K13)</f>
        <v>-14759</v>
      </c>
      <c r="L14" s="57" t="n">
        <f aca="false">-IF(L$5="A",Inputs_Actuals!L48,Assumptions!$F$84*L13)</f>
        <v>-13584</v>
      </c>
      <c r="M14" s="57" t="n">
        <f aca="false">-IF(M$5="A",Inputs_Actuals!M48,Assumptions!$F$84*M13)</f>
        <v>-15385.3693045731</v>
      </c>
      <c r="N14" s="57" t="n">
        <f aca="false">-IF(N$5="A",Inputs_Actuals!N48,Assumptions!$F$84*N13)</f>
        <v>-17740.1453865959</v>
      </c>
      <c r="O14" s="57" t="n">
        <f aca="false">-IF(O$5="A",Inputs_Actuals!O48,Assumptions!$F$84*O13)</f>
        <v>-25507.1925303473</v>
      </c>
      <c r="P14" s="57" t="n">
        <f aca="false">-IF(P$5="A",Inputs_Actuals!P48,Assumptions!$F$84*P13)</f>
        <v>-22706.5462268745</v>
      </c>
      <c r="Q14" s="57" t="n">
        <f aca="false">-IF(Q$5="A",Inputs_Actuals!Q48,Assumptions!$F$84*Q13)</f>
        <v>-14422.3777743779</v>
      </c>
      <c r="R14" s="57" t="n">
        <f aca="false">-IF(R$5="A",Inputs_Actuals!R48,Assumptions!$F$84*R13)</f>
        <v>-13673.9763413825</v>
      </c>
      <c r="S14" s="57" t="n">
        <f aca="false">-IF(S$5="A",Inputs_Actuals!S48,Assumptions!$F$84*S13)</f>
        <v>-15678.8342110329</v>
      </c>
      <c r="T14" s="57" t="n">
        <f aca="false">-IF(T$5="A",Inputs_Actuals!T48,Assumptions!$F$84*T13)</f>
        <v>-16512.7964806723</v>
      </c>
      <c r="U14" s="57" t="n">
        <f aca="false">-IF(U$5="A",Inputs_Actuals!U48,Assumptions!$F$84*U13)</f>
        <v>-17734.958505787</v>
      </c>
      <c r="V14" s="57" t="n">
        <f aca="false">-IF(V$5="A",Inputs_Actuals!V48,Assumptions!$F$84*V13)</f>
        <v>-17522.4216833034</v>
      </c>
      <c r="W14" s="57" t="n">
        <f aca="false">-IF(W$5="A",Inputs_Actuals!W48,Assumptions!$F$84*W13)</f>
        <v>-16919.1855391308</v>
      </c>
      <c r="X14" s="57" t="n">
        <f aca="false">-IF(X$5="A",Inputs_Actuals!X48,Assumptions!$F$84*X13)</f>
        <v>-16861.1051590461</v>
      </c>
      <c r="Y14" s="57" t="n">
        <f aca="false">-IF(Y$5="A",Inputs_Actuals!Y48,Assumptions!$F$84*Y13)</f>
        <v>-19333.2550681266</v>
      </c>
      <c r="Z14" s="57" t="n">
        <f aca="false">-IF(Z$5="A",Inputs_Actuals!Z48,Assumptions!$F$84*Z13)</f>
        <v>-22292.2666927965</v>
      </c>
      <c r="AA14" s="57" t="n">
        <f aca="false">-IF(AA$5="A",Inputs_Actuals!AA48,Assumptions!$F$84*AA13)</f>
        <v>-32052.3381336344</v>
      </c>
      <c r="AB14" s="57" t="n">
        <f aca="false">-IF(AB$5="A",Inputs_Actuals!AB48,Assumptions!$F$84*AB13)</f>
        <v>-28533.0459886905</v>
      </c>
    </row>
    <row r="15" customFormat="false" ht="15" hidden="false" customHeight="true" outlineLevel="0" collapsed="false">
      <c r="A15" s="28" t="s">
        <v>651</v>
      </c>
      <c r="B15" s="55" t="s">
        <v>650</v>
      </c>
      <c r="C15" s="56" t="n">
        <f aca="false">SUM(E15:P15)</f>
        <v>-142265.605578181</v>
      </c>
      <c r="D15" s="56" t="n">
        <f aca="false">SUM(Q15:AB15)</f>
        <v>-177057.370618456</v>
      </c>
      <c r="E15" s="57" t="n">
        <f aca="false">-IF(E$5="A",Inputs_Actuals!E49,Assumptions!$F$87*E13)</f>
        <v>-8595</v>
      </c>
      <c r="F15" s="57" t="n">
        <f aca="false">-IF(F$5="A",Inputs_Actuals!F49,Assumptions!$F$87*F13)</f>
        <v>-7412</v>
      </c>
      <c r="G15" s="57" t="n">
        <f aca="false">-IF(G$5="A",Inputs_Actuals!G49,Assumptions!$F$87*G13)</f>
        <v>-9280</v>
      </c>
      <c r="H15" s="57" t="n">
        <f aca="false">-IF(H$5="A",Inputs_Actuals!H49,Assumptions!$F$87*H13)</f>
        <v>-10168</v>
      </c>
      <c r="I15" s="57" t="n">
        <f aca="false">-IF(I$5="A",Inputs_Actuals!I49,Assumptions!$F$87*I13)</f>
        <v>-11576</v>
      </c>
      <c r="J15" s="57" t="n">
        <f aca="false">-IF(J$5="A",Inputs_Actuals!J49,Assumptions!$F$87*J13)</f>
        <v>-10932</v>
      </c>
      <c r="K15" s="57" t="n">
        <f aca="false">-IF(K$5="A",Inputs_Actuals!K49,Assumptions!$F$87*K13)</f>
        <v>-10534</v>
      </c>
      <c r="L15" s="57" t="n">
        <f aca="false">-IF(L$5="A",Inputs_Actuals!L49,Assumptions!$F$87*L13)</f>
        <v>-11568</v>
      </c>
      <c r="M15" s="57" t="n">
        <f aca="false">-IF(M$5="A",Inputs_Actuals!M49,Assumptions!$F$87*M13)</f>
        <v>-11765.2824093795</v>
      </c>
      <c r="N15" s="57" t="n">
        <f aca="false">-IF(N$5="A",Inputs_Actuals!N49,Assumptions!$F$87*N13)</f>
        <v>-13565.9935309263</v>
      </c>
      <c r="O15" s="57" t="n">
        <f aca="false">-IF(O$5="A",Inputs_Actuals!O49,Assumptions!$F$87*O13)</f>
        <v>-19505.5001702656</v>
      </c>
      <c r="P15" s="57" t="n">
        <f aca="false">-IF(P$5="A",Inputs_Actuals!P49,Assumptions!$F$87*P13)</f>
        <v>-17363.8294676099</v>
      </c>
      <c r="Q15" s="57" t="n">
        <f aca="false">-IF(Q$5="A",Inputs_Actuals!Q49,Assumptions!$F$87*Q13)</f>
        <v>-11028.8771215831</v>
      </c>
      <c r="R15" s="57" t="n">
        <f aca="false">-IF(R$5="A",Inputs_Actuals!R49,Assumptions!$F$87*R13)</f>
        <v>-10456.5701434101</v>
      </c>
      <c r="S15" s="57" t="n">
        <f aca="false">-IF(S$5="A",Inputs_Actuals!S49,Assumptions!$F$87*S13)</f>
        <v>-11989.6967496134</v>
      </c>
      <c r="T15" s="57" t="n">
        <f aca="false">-IF(T$5="A",Inputs_Actuals!T49,Assumptions!$F$87*T13)</f>
        <v>-12627.4326028671</v>
      </c>
      <c r="U15" s="57" t="n">
        <f aca="false">-IF(U$5="A",Inputs_Actuals!U49,Assumptions!$F$87*U13)</f>
        <v>-13562.0270926606</v>
      </c>
      <c r="V15" s="57" t="n">
        <f aca="false">-IF(V$5="A",Inputs_Actuals!V49,Assumptions!$F$87*V13)</f>
        <v>-13399.4989342908</v>
      </c>
      <c r="W15" s="57" t="n">
        <f aca="false">-IF(W$5="A",Inputs_Actuals!W49,Assumptions!$F$87*W13)</f>
        <v>-12938.2007063941</v>
      </c>
      <c r="X15" s="57" t="n">
        <f aca="false">-IF(X$5="A",Inputs_Actuals!X49,Assumptions!$F$87*X13)</f>
        <v>-12893.7862980941</v>
      </c>
      <c r="Y15" s="57" t="n">
        <f aca="false">-IF(Y$5="A",Inputs_Actuals!Y49,Assumptions!$F$87*Y13)</f>
        <v>-14784.2538756262</v>
      </c>
      <c r="Z15" s="57" t="n">
        <f aca="false">-IF(Z$5="A",Inputs_Actuals!Z49,Assumptions!$F$87*Z13)</f>
        <v>-17047.027470962</v>
      </c>
      <c r="AA15" s="57" t="n">
        <f aca="false">-IF(AA$5="A",Inputs_Actuals!AA49,Assumptions!$F$87*AA13)</f>
        <v>-24510.6115139557</v>
      </c>
      <c r="AB15" s="57" t="n">
        <f aca="false">-IF(AB$5="A",Inputs_Actuals!AB49,Assumptions!$F$87*AB13)</f>
        <v>-21819.3881089986</v>
      </c>
    </row>
    <row r="16" customFormat="false" ht="15" hidden="false" customHeight="true" outlineLevel="0" collapsed="false">
      <c r="A16" s="28" t="s">
        <v>652</v>
      </c>
      <c r="B16" s="55" t="s">
        <v>653</v>
      </c>
      <c r="C16" s="56" t="n">
        <f aca="false">SUM(E16:P16)</f>
        <v>1908826.64448391</v>
      </c>
      <c r="D16" s="56" t="n">
        <f aca="false">SUM(Q16:AB16)</f>
        <v>2315365.61577981</v>
      </c>
      <c r="E16" s="69" t="n">
        <f aca="false">E13+E14+E15</f>
        <v>120863</v>
      </c>
      <c r="F16" s="69" t="n">
        <f aca="false">F13+F14+F15</f>
        <v>121517.58</v>
      </c>
      <c r="G16" s="69" t="n">
        <f aca="false">G13+G14+G15</f>
        <v>137573.58</v>
      </c>
      <c r="H16" s="69" t="n">
        <f aca="false">H13+H14+H15</f>
        <v>136400.38</v>
      </c>
      <c r="I16" s="69" t="n">
        <f aca="false">I13+I14+I15</f>
        <v>156990.64</v>
      </c>
      <c r="J16" s="69" t="n">
        <f aca="false">J13+J14+J15</f>
        <v>146474.25</v>
      </c>
      <c r="K16" s="69" t="n">
        <f aca="false">K13+K14+K15</f>
        <v>136509.43</v>
      </c>
      <c r="L16" s="69" t="n">
        <f aca="false">L13+L14+L15</f>
        <v>139105.25</v>
      </c>
      <c r="M16" s="69" t="n">
        <f aca="false">M13+M14+M15</f>
        <v>153853.693045731</v>
      </c>
      <c r="N16" s="69" t="n">
        <f aca="false">N13+N14+N15</f>
        <v>177401.453865959</v>
      </c>
      <c r="O16" s="69" t="n">
        <f aca="false">O13+O14+O15</f>
        <v>255071.925303473</v>
      </c>
      <c r="P16" s="69" t="n">
        <f aca="false">P13+P14+P15</f>
        <v>227065.462268745</v>
      </c>
      <c r="Q16" s="69" t="n">
        <f aca="false">Q13+Q14+Q15</f>
        <v>144223.777743779</v>
      </c>
      <c r="R16" s="69" t="n">
        <f aca="false">R13+R14+R15</f>
        <v>136739.763413825</v>
      </c>
      <c r="S16" s="69" t="n">
        <f aca="false">S13+S14+S15</f>
        <v>156788.342110329</v>
      </c>
      <c r="T16" s="69" t="n">
        <f aca="false">T13+T14+T15</f>
        <v>165127.964806723</v>
      </c>
      <c r="U16" s="69" t="n">
        <f aca="false">U13+U14+U15</f>
        <v>177349.58505787</v>
      </c>
      <c r="V16" s="69" t="n">
        <f aca="false">V13+V14+V15</f>
        <v>175224.216833034</v>
      </c>
      <c r="W16" s="69" t="n">
        <f aca="false">W13+W14+W15</f>
        <v>169191.855391308</v>
      </c>
      <c r="X16" s="69" t="n">
        <f aca="false">X13+X14+X15</f>
        <v>168611.051590461</v>
      </c>
      <c r="Y16" s="69" t="n">
        <f aca="false">Y13+Y14+Y15</f>
        <v>193332.550681266</v>
      </c>
      <c r="Z16" s="69" t="n">
        <f aca="false">Z13+Z14+Z15</f>
        <v>222922.666927965</v>
      </c>
      <c r="AA16" s="69" t="n">
        <f aca="false">AA13+AA14+AA15</f>
        <v>320523.381336344</v>
      </c>
      <c r="AB16" s="69" t="n">
        <f aca="false">AB13+AB14+AB15</f>
        <v>285330.459886905</v>
      </c>
    </row>
    <row r="17" customFormat="false" ht="15" hidden="false" customHeight="true" outlineLevel="0" collapsed="false">
      <c r="A17" s="28" t="s">
        <v>654</v>
      </c>
      <c r="B17" s="55" t="s">
        <v>655</v>
      </c>
      <c r="C17" s="56" t="n">
        <f aca="false">SUM(E17:P17)</f>
        <v>92409.1385195387</v>
      </c>
      <c r="D17" s="56" t="n">
        <f aca="false">SUM(Q17:AB17)</f>
        <v>108073.506196247</v>
      </c>
      <c r="E17" s="57" t="n">
        <f aca="false">IF(E$5="A",Inputs_Actuals!E60,E11*Assumptions!$F$93)</f>
        <v>5655</v>
      </c>
      <c r="F17" s="57" t="n">
        <f aca="false">IF(F$5="A",Inputs_Actuals!F60,F11*Assumptions!$F$93)</f>
        <v>5759</v>
      </c>
      <c r="G17" s="57" t="n">
        <f aca="false">IF(G$5="A",Inputs_Actuals!G60,G11*Assumptions!$F$93)</f>
        <v>6668</v>
      </c>
      <c r="H17" s="57" t="n">
        <f aca="false">IF(H$5="A",Inputs_Actuals!H60,H11*Assumptions!$F$93)</f>
        <v>6672</v>
      </c>
      <c r="I17" s="57" t="n">
        <f aca="false">IF(I$5="A",Inputs_Actuals!I60,I11*Assumptions!$F$93)</f>
        <v>7610</v>
      </c>
      <c r="J17" s="57" t="n">
        <f aca="false">IF(J$5="A",Inputs_Actuals!J60,J11*Assumptions!$F$93)</f>
        <v>7608</v>
      </c>
      <c r="K17" s="57" t="n">
        <f aca="false">IF(K$5="A",Inputs_Actuals!K60,K11*Assumptions!$F$93)</f>
        <v>6829</v>
      </c>
      <c r="L17" s="57" t="n">
        <f aca="false">IF(L$5="A",Inputs_Actuals!L60,L11*Assumptions!$F$93)</f>
        <v>6827</v>
      </c>
      <c r="M17" s="57" t="n">
        <f aca="false">IF(M$5="A",Inputs_Actuals!M60,M11*Assumptions!$F$93)</f>
        <v>7365.91899927125</v>
      </c>
      <c r="N17" s="57" t="n">
        <f aca="false">IF(N$5="A",Inputs_Actuals!N60,N11*Assumptions!$F$93)</f>
        <v>8472.39937229208</v>
      </c>
      <c r="O17" s="57" t="n">
        <f aca="false">IF(O$5="A",Inputs_Actuals!O60,O11*Assumptions!$F$93)</f>
        <v>12151.8426178299</v>
      </c>
      <c r="P17" s="57" t="n">
        <f aca="false">IF(P$5="A",Inputs_Actuals!P60,P11*Assumptions!$F$93)</f>
        <v>10790.9775301455</v>
      </c>
      <c r="Q17" s="57" t="n">
        <f aca="false">IF(Q$5="A",Inputs_Actuals!Q60,Q11*Assumptions!$F$93)</f>
        <v>6837.17672616891</v>
      </c>
      <c r="R17" s="57" t="n">
        <f aca="false">IF(R$5="A",Inputs_Actuals!R60,R11*Assumptions!$F$93)</f>
        <v>6466.43615356341</v>
      </c>
      <c r="S17" s="57" t="n">
        <f aca="false">IF(S$5="A",Inputs_Actuals!S60,S11*Assumptions!$F$93)</f>
        <v>7396.29405184634</v>
      </c>
      <c r="T17" s="57" t="n">
        <f aca="false">IF(T$5="A",Inputs_Actuals!T60,T11*Assumptions!$F$93)</f>
        <v>7770.54107735213</v>
      </c>
      <c r="U17" s="57" t="n">
        <f aca="false">IF(U$5="A",Inputs_Actuals!U60,U11*Assumptions!$F$93)</f>
        <v>8325.13031412742</v>
      </c>
      <c r="V17" s="57" t="n">
        <f aca="false">IF(V$5="A",Inputs_Actuals!V60,V11*Assumptions!$F$93)</f>
        <v>8205.12539285305</v>
      </c>
      <c r="W17" s="57" t="n">
        <f aca="false">IF(W$5="A",Inputs_Actuals!W60,W11*Assumptions!$F$93)</f>
        <v>7903.16008732111</v>
      </c>
      <c r="X17" s="57" t="n">
        <f aca="false">IF(X$5="A",Inputs_Actuals!X60,X11*Assumptions!$F$93)</f>
        <v>7856.65339917695</v>
      </c>
      <c r="Y17" s="57" t="n">
        <f aca="false">IF(Y$5="A",Inputs_Actuals!Y60,Y11*Assumptions!$F$93)</f>
        <v>8986.42117911093</v>
      </c>
      <c r="Z17" s="57" t="n">
        <f aca="false">IF(Z$5="A",Inputs_Actuals!Z60,Z11*Assumptions!$F$93)</f>
        <v>10336.3272341963</v>
      </c>
      <c r="AA17" s="57" t="n">
        <f aca="false">IF(AA$5="A",Inputs_Actuals!AA60,AA11*Assumptions!$F$93)</f>
        <v>14825.2479937524</v>
      </c>
      <c r="AB17" s="57" t="n">
        <f aca="false">IF(AB$5="A",Inputs_Actuals!AB60,AB11*Assumptions!$F$93)</f>
        <v>13164.9925867775</v>
      </c>
    </row>
    <row r="18" customFormat="false" ht="15" hidden="false" customHeight="true" outlineLevel="0" collapsed="false">
      <c r="A18" s="70" t="s">
        <v>312</v>
      </c>
      <c r="B18" s="71" t="s">
        <v>656</v>
      </c>
      <c r="C18" s="72" t="n">
        <f aca="false">SUM(E18:P18)</f>
        <v>2001235.78300345</v>
      </c>
      <c r="D18" s="72" t="n">
        <f aca="false">SUM(Q18:AB18)</f>
        <v>2423439.12197606</v>
      </c>
      <c r="E18" s="72" t="n">
        <f aca="false">E16+E17</f>
        <v>126518</v>
      </c>
      <c r="F18" s="72" t="n">
        <f aca="false">F16+F17</f>
        <v>127276.58</v>
      </c>
      <c r="G18" s="72" t="n">
        <f aca="false">G16+G17</f>
        <v>144241.58</v>
      </c>
      <c r="H18" s="72" t="n">
        <f aca="false">H16+H17</f>
        <v>143072.38</v>
      </c>
      <c r="I18" s="72" t="n">
        <f aca="false">I16+I17</f>
        <v>164600.64</v>
      </c>
      <c r="J18" s="72" t="n">
        <f aca="false">J16+J17</f>
        <v>154082.25</v>
      </c>
      <c r="K18" s="72" t="n">
        <f aca="false">K16+K17</f>
        <v>143338.43</v>
      </c>
      <c r="L18" s="72" t="n">
        <f aca="false">L16+L17</f>
        <v>145932.25</v>
      </c>
      <c r="M18" s="72" t="n">
        <f aca="false">M16+M17</f>
        <v>161219.612045003</v>
      </c>
      <c r="N18" s="72" t="n">
        <f aca="false">N16+N17</f>
        <v>185873.853238251</v>
      </c>
      <c r="O18" s="72" t="n">
        <f aca="false">O16+O17</f>
        <v>267223.767921303</v>
      </c>
      <c r="P18" s="72" t="n">
        <f aca="false">P16+P17</f>
        <v>237856.43979889</v>
      </c>
      <c r="Q18" s="72" t="n">
        <f aca="false">Q16+Q17</f>
        <v>151060.954469948</v>
      </c>
      <c r="R18" s="72" t="n">
        <f aca="false">R16+R17</f>
        <v>143206.199567388</v>
      </c>
      <c r="S18" s="72" t="n">
        <f aca="false">S16+S17</f>
        <v>164184.636162175</v>
      </c>
      <c r="T18" s="72" t="n">
        <f aca="false">T16+T17</f>
        <v>172898.505884076</v>
      </c>
      <c r="U18" s="72" t="n">
        <f aca="false">U16+U17</f>
        <v>185674.715371997</v>
      </c>
      <c r="V18" s="72" t="n">
        <f aca="false">V16+V17</f>
        <v>183429.342225887</v>
      </c>
      <c r="W18" s="72" t="n">
        <f aca="false">W16+W17</f>
        <v>177095.015478629</v>
      </c>
      <c r="X18" s="72" t="n">
        <f aca="false">X16+X17</f>
        <v>176467.704989638</v>
      </c>
      <c r="Y18" s="72" t="n">
        <f aca="false">Y16+Y17</f>
        <v>202318.971860377</v>
      </c>
      <c r="Z18" s="72" t="n">
        <f aca="false">Z16+Z17</f>
        <v>233258.994162161</v>
      </c>
      <c r="AA18" s="72" t="n">
        <f aca="false">AA16+AA17</f>
        <v>335348.629330097</v>
      </c>
      <c r="AB18" s="72" t="n">
        <f aca="false">AB16+AB17</f>
        <v>298495.452473682</v>
      </c>
    </row>
    <row r="19" customFormat="false" ht="15" hidden="false" customHeight="true" outlineLevel="0" collapsed="false">
      <c r="A19" s="28" t="s">
        <v>657</v>
      </c>
      <c r="B19" s="55" t="s">
        <v>658</v>
      </c>
      <c r="C19" s="56" t="n">
        <f aca="false">SUM(E19:P19)</f>
        <v>2290.89556032045</v>
      </c>
      <c r="D19" s="56" t="n">
        <f aca="false">SUM(Q19:AB19)</f>
        <v>2789.25004962372</v>
      </c>
      <c r="E19" s="57" t="n">
        <f aca="false">IF(E$5="A",Inputs_Actuals!E50,E10*Assumptions!$F$87)</f>
        <v>132</v>
      </c>
      <c r="F19" s="57" t="n">
        <f aca="false">IF(F$5="A",Inputs_Actuals!F50,F10*Assumptions!$F$87)</f>
        <v>117</v>
      </c>
      <c r="G19" s="57" t="n">
        <f aca="false">IF(G$5="A",Inputs_Actuals!G50,G10*Assumptions!$F$87)</f>
        <v>161</v>
      </c>
      <c r="H19" s="57" t="n">
        <f aca="false">IF(H$5="A",Inputs_Actuals!H50,H10*Assumptions!$F$87)</f>
        <v>163</v>
      </c>
      <c r="I19" s="57" t="n">
        <f aca="false">IF(I$5="A",Inputs_Actuals!I50,I10*Assumptions!$F$87)</f>
        <v>190</v>
      </c>
      <c r="J19" s="57" t="n">
        <f aca="false">IF(J$5="A",Inputs_Actuals!J50,J10*Assumptions!$F$87)</f>
        <v>178</v>
      </c>
      <c r="K19" s="57" t="n">
        <f aca="false">IF(K$5="A",Inputs_Actuals!K50,K10*Assumptions!$F$87)</f>
        <v>174</v>
      </c>
      <c r="L19" s="57" t="n">
        <f aca="false">IF(L$5="A",Inputs_Actuals!L50,L10*Assumptions!$F$87)</f>
        <v>175</v>
      </c>
      <c r="M19" s="57" t="n">
        <f aca="false">IF(M$5="A",Inputs_Actuals!M50,M10*Assumptions!$F$87)</f>
        <v>190.105703584133</v>
      </c>
      <c r="N19" s="57" t="n">
        <f aca="false">IF(N$5="A",Inputs_Actuals!N50,N10*Assumptions!$F$87)</f>
        <v>218.662660270185</v>
      </c>
      <c r="O19" s="57" t="n">
        <f aca="false">IF(O$5="A",Inputs_Actuals!O50,O10*Assumptions!$F$87)</f>
        <v>313.624761680756</v>
      </c>
      <c r="P19" s="57" t="n">
        <f aca="false">IF(P$5="A",Inputs_Actuals!P50,P10*Assumptions!$F$87)</f>
        <v>278.502434785373</v>
      </c>
      <c r="Q19" s="57" t="n">
        <f aca="false">IF(Q$5="A",Inputs_Actuals!Q50,Q10*Assumptions!$F$87)</f>
        <v>176.459487565095</v>
      </c>
      <c r="R19" s="57" t="n">
        <f aca="false">IF(R$5="A",Inputs_Actuals!R50,R10*Assumptions!$F$87)</f>
        <v>166.891109551526</v>
      </c>
      <c r="S19" s="57" t="n">
        <f aca="false">IF(S$5="A",Inputs_Actuals!S50,S10*Assumptions!$F$87)</f>
        <v>190.88964795574</v>
      </c>
      <c r="T19" s="57" t="n">
        <f aca="false">IF(T$5="A",Inputs_Actuals!T50,T10*Assumptions!$F$87)</f>
        <v>200.548523393426</v>
      </c>
      <c r="U19" s="57" t="n">
        <f aca="false">IF(U$5="A",Inputs_Actuals!U50,U10*Assumptions!$F$87)</f>
        <v>214.861819136671</v>
      </c>
      <c r="V19" s="57" t="n">
        <f aca="false">IF(V$5="A",Inputs_Actuals!V50,V10*Assumptions!$F$87)</f>
        <v>211.76463330084</v>
      </c>
      <c r="W19" s="57" t="n">
        <f aca="false">IF(W$5="A",Inputs_Actuals!W50,W10*Assumptions!$F$87)</f>
        <v>203.971264018361</v>
      </c>
      <c r="X19" s="57" t="n">
        <f aca="false">IF(X$5="A",Inputs_Actuals!X50,X10*Assumptions!$F$87)</f>
        <v>202.770981111111</v>
      </c>
      <c r="Y19" s="57" t="n">
        <f aca="false">IF(Y$5="A",Inputs_Actuals!Y50,Y10*Assumptions!$F$87)</f>
        <v>231.928958372642</v>
      </c>
      <c r="Z19" s="57" t="n">
        <f aca="false">IF(Z$5="A",Inputs_Actuals!Z50,Z10*Assumptions!$F$87)</f>
        <v>266.768445529626</v>
      </c>
      <c r="AA19" s="57" t="n">
        <f aca="false">IF(AA$5="A",Inputs_Actuals!AA50,AA10*Assumptions!$F$87)</f>
        <v>382.622209250522</v>
      </c>
      <c r="AB19" s="57" t="n">
        <f aca="false">IF(AB$5="A",Inputs_Actuals!AB50,AB10*Assumptions!$F$87)</f>
        <v>339.772970438155</v>
      </c>
    </row>
    <row r="20" customFormat="false" ht="15" hidden="false" customHeight="true" outlineLevel="0" collapsed="false">
      <c r="A20" s="28" t="s">
        <v>659</v>
      </c>
      <c r="B20" s="55" t="s">
        <v>68</v>
      </c>
      <c r="C20" s="56" t="n">
        <f aca="false">SUM(E20:P20)</f>
        <v>-749201.059055722</v>
      </c>
      <c r="D20" s="56" t="n">
        <f aca="false">SUM(Q20:AB20)</f>
        <v>-914329.36247113</v>
      </c>
      <c r="E20" s="57" t="n">
        <f aca="false">-Volume_Price!E58</f>
        <v>-46183.83</v>
      </c>
      <c r="F20" s="57" t="n">
        <f aca="false">-Volume_Price!F58</f>
        <v>-46394.64</v>
      </c>
      <c r="G20" s="57" t="n">
        <f aca="false">-Volume_Price!G58</f>
        <v>-53391.54</v>
      </c>
      <c r="H20" s="57" t="n">
        <f aca="false">-Volume_Price!H58</f>
        <v>-53241.02</v>
      </c>
      <c r="I20" s="57" t="n">
        <f aca="false">-Volume_Price!I58</f>
        <v>-61143.51</v>
      </c>
      <c r="J20" s="57" t="n">
        <f aca="false">-Volume_Price!J58</f>
        <v>-58148.58</v>
      </c>
      <c r="K20" s="57" t="n">
        <f aca="false">-Volume_Price!K58</f>
        <v>-54381.8</v>
      </c>
      <c r="L20" s="57" t="n">
        <f aca="false">-Volume_Price!L58</f>
        <v>-55110.42</v>
      </c>
      <c r="M20" s="57" t="n">
        <f aca="false">-Volume_Price!M58</f>
        <v>-60756.2572915527</v>
      </c>
      <c r="N20" s="57" t="n">
        <f aca="false">-Volume_Price!N58</f>
        <v>-70055.1813973814</v>
      </c>
      <c r="O20" s="57" t="n">
        <f aca="false">-Volume_Price!O58</f>
        <v>-100726.964785845</v>
      </c>
      <c r="P20" s="57" t="n">
        <f aca="false">-Volume_Price!P58</f>
        <v>-89667.3155809436</v>
      </c>
      <c r="Q20" s="57" t="n">
        <f aca="false">-Volume_Price!Q58</f>
        <v>-56953.4391713054</v>
      </c>
      <c r="R20" s="57" t="n">
        <f aca="false">-Volume_Price!R58</f>
        <v>-53998.0294492313</v>
      </c>
      <c r="S20" s="57" t="n">
        <f aca="false">-Volume_Price!S58</f>
        <v>-61915.1394093588</v>
      </c>
      <c r="T20" s="57" t="n">
        <f aca="false">-Volume_Price!T58</f>
        <v>-65208.4257271984</v>
      </c>
      <c r="U20" s="57" t="n">
        <f aca="false">-Volume_Price!U58</f>
        <v>-70034.698595914</v>
      </c>
      <c r="V20" s="57" t="n">
        <f aca="false">-Volume_Price!V58</f>
        <v>-69195.3985040466</v>
      </c>
      <c r="W20" s="57" t="n">
        <f aca="false">-Volume_Price!W58</f>
        <v>-66813.2411662944</v>
      </c>
      <c r="X20" s="57" t="n">
        <f aca="false">-Volume_Price!X58</f>
        <v>-66583.8838823607</v>
      </c>
      <c r="Y20" s="57" t="n">
        <f aca="false">-Volume_Price!Y58</f>
        <v>-76346.3129125652</v>
      </c>
      <c r="Z20" s="57" t="n">
        <f aca="false">-Volume_Price!Z58</f>
        <v>-88031.3409439495</v>
      </c>
      <c r="AA20" s="57" t="n">
        <f aca="false">-Volume_Price!AA58</f>
        <v>-126573.503949892</v>
      </c>
      <c r="AB20" s="57" t="n">
        <f aca="false">-Volume_Price!AB58</f>
        <v>-112675.948759014</v>
      </c>
    </row>
    <row r="21" customFormat="false" ht="15" hidden="false" customHeight="true" outlineLevel="0" collapsed="false">
      <c r="A21" s="28" t="s">
        <v>660</v>
      </c>
      <c r="B21" s="55" t="s">
        <v>661</v>
      </c>
      <c r="C21" s="56" t="n">
        <f aca="false">SUM(E21:P21)</f>
        <v>30695.9416301043</v>
      </c>
      <c r="D21" s="56" t="n">
        <f aca="false">SUM(Q21:AB21)</f>
        <v>38630.4155644053</v>
      </c>
      <c r="E21" s="57" t="n">
        <f aca="false">IF(E$5="A",Inputs_Actuals!E51,E19*Assumptions!$F$95*IF(E10=0,0,-E20/E10))</f>
        <v>1733</v>
      </c>
      <c r="F21" s="57" t="n">
        <f aca="false">IF(F$5="A",Inputs_Actuals!F51,F19*Assumptions!$F$95*IF(F10=0,0,-F20/F10))</f>
        <v>1544</v>
      </c>
      <c r="G21" s="57" t="n">
        <f aca="false">IF(G$5="A",Inputs_Actuals!G51,G19*Assumptions!$F$95*IF(G10=0,0,-G20/G10))</f>
        <v>1936</v>
      </c>
      <c r="H21" s="57" t="n">
        <f aca="false">IF(H$5="A",Inputs_Actuals!H51,H19*Assumptions!$F$95*IF(H10=0,0,-H20/H10))</f>
        <v>2047</v>
      </c>
      <c r="I21" s="57" t="n">
        <f aca="false">IF(I$5="A",Inputs_Actuals!I51,I19*Assumptions!$F$95*IF(I10=0,0,-I20/I10))</f>
        <v>2557</v>
      </c>
      <c r="J21" s="57" t="n">
        <f aca="false">IF(J$5="A",Inputs_Actuals!J51,J19*Assumptions!$F$95*IF(J10=0,0,-J20/J10))</f>
        <v>2614</v>
      </c>
      <c r="K21" s="57" t="n">
        <f aca="false">IF(K$5="A",Inputs_Actuals!K51,K19*Assumptions!$F$95*IF(K10=0,0,-K20/K10))</f>
        <v>2331</v>
      </c>
      <c r="L21" s="57" t="n">
        <f aca="false">IF(L$5="A",Inputs_Actuals!L51,L19*Assumptions!$F$95*IF(L10=0,0,-L20/L10))</f>
        <v>2363</v>
      </c>
      <c r="M21" s="57" t="n">
        <f aca="false">IF(M$5="A",Inputs_Actuals!M51,M19*Assumptions!$F$95*IF(M10=0,0,-M20/M10))</f>
        <v>2566.9518705681</v>
      </c>
      <c r="N21" s="57" t="n">
        <f aca="false">IF(N$5="A",Inputs_Actuals!N51,N19*Assumptions!$F$95*IF(N10=0,0,-N20/N10))</f>
        <v>2959.83141403937</v>
      </c>
      <c r="O21" s="57" t="n">
        <f aca="false">IF(O$5="A",Inputs_Actuals!O51,O19*Assumptions!$F$95*IF(O10=0,0,-O20/O10))</f>
        <v>4255.71426220194</v>
      </c>
      <c r="P21" s="57" t="n">
        <f aca="false">IF(P$5="A",Inputs_Actuals!P51,P19*Assumptions!$F$95*IF(P10=0,0,-P20/P10))</f>
        <v>3788.44408329487</v>
      </c>
      <c r="Q21" s="57" t="n">
        <f aca="false">IF(Q$5="A",Inputs_Actuals!Q51,Q19*Assumptions!$F$95*IF(Q10=0,0,-Q20/Q10))</f>
        <v>2406.28280498765</v>
      </c>
      <c r="R21" s="57" t="n">
        <f aca="false">IF(R$5="A",Inputs_Actuals!R51,R19*Assumptions!$F$95*IF(R10=0,0,-R20/R10))</f>
        <v>2281.41674423002</v>
      </c>
      <c r="S21" s="57" t="n">
        <f aca="false">IF(S$5="A",Inputs_Actuals!S51,S19*Assumptions!$F$95*IF(S10=0,0,-S20/S10))</f>
        <v>2615.91464004541</v>
      </c>
      <c r="T21" s="57" t="n">
        <f aca="false">IF(T$5="A",Inputs_Actuals!T51,T19*Assumptions!$F$95*IF(T10=0,0,-T20/T10))</f>
        <v>2755.05598697413</v>
      </c>
      <c r="U21" s="57" t="n">
        <f aca="false">IF(U$5="A",Inputs_Actuals!U51,U19*Assumptions!$F$95*IF(U10=0,0,-U20/U10))</f>
        <v>2958.96601567737</v>
      </c>
      <c r="V21" s="57" t="n">
        <f aca="false">IF(V$5="A",Inputs_Actuals!V51,V19*Assumptions!$F$95*IF(V10=0,0,-V20/V10))</f>
        <v>2923.50558679597</v>
      </c>
      <c r="W21" s="57" t="n">
        <f aca="false">IF(W$5="A",Inputs_Actuals!W51,W19*Assumptions!$F$95*IF(W10=0,0,-W20/W10))</f>
        <v>2822.85943927594</v>
      </c>
      <c r="X21" s="57" t="n">
        <f aca="false">IF(X$5="A",Inputs_Actuals!X51,X19*Assumptions!$F$95*IF(X10=0,0,-X20/X10))</f>
        <v>2813.16909402974</v>
      </c>
      <c r="Y21" s="57" t="n">
        <f aca="false">IF(Y$5="A",Inputs_Actuals!Y51,Y19*Assumptions!$F$95*IF(Y10=0,0,-Y20/Y10))</f>
        <v>3225.63172055588</v>
      </c>
      <c r="Z21" s="57" t="n">
        <f aca="false">IF(Z$5="A",Inputs_Actuals!Z51,Z19*Assumptions!$F$95*IF(Z10=0,0,-Z20/Z10))</f>
        <v>3719.32415488187</v>
      </c>
      <c r="AA21" s="57" t="n">
        <f aca="false">IF(AA$5="A",Inputs_Actuals!AA51,AA19*Assumptions!$F$95*IF(AA10=0,0,-AA20/AA10))</f>
        <v>5347.73054188295</v>
      </c>
      <c r="AB21" s="57" t="n">
        <f aca="false">IF(AB$5="A",Inputs_Actuals!AB51,AB19*Assumptions!$F$95*IF(AB10=0,0,-AB20/AB10))</f>
        <v>4760.55883506833</v>
      </c>
    </row>
    <row r="22" customFormat="false" ht="15" hidden="false" customHeight="true" outlineLevel="0" collapsed="false">
      <c r="A22" s="70" t="s">
        <v>662</v>
      </c>
      <c r="B22" s="71" t="s">
        <v>663</v>
      </c>
      <c r="C22" s="72" t="n">
        <f aca="false">SUM(E22:P22)</f>
        <v>-718505.117425618</v>
      </c>
      <c r="D22" s="72" t="n">
        <f aca="false">SUM(Q22:AB22)</f>
        <v>-875698.946906725</v>
      </c>
      <c r="E22" s="72" t="n">
        <f aca="false">E20+E21</f>
        <v>-44450.83</v>
      </c>
      <c r="F22" s="72" t="n">
        <f aca="false">F20+F21</f>
        <v>-44850.64</v>
      </c>
      <c r="G22" s="72" t="n">
        <f aca="false">G20+G21</f>
        <v>-51455.54</v>
      </c>
      <c r="H22" s="72" t="n">
        <f aca="false">H20+H21</f>
        <v>-51194.02</v>
      </c>
      <c r="I22" s="72" t="n">
        <f aca="false">I20+I21</f>
        <v>-58586.51</v>
      </c>
      <c r="J22" s="72" t="n">
        <f aca="false">J20+J21</f>
        <v>-55534.58</v>
      </c>
      <c r="K22" s="72" t="n">
        <f aca="false">K20+K21</f>
        <v>-52050.8</v>
      </c>
      <c r="L22" s="72" t="n">
        <f aca="false">L20+L21</f>
        <v>-52747.42</v>
      </c>
      <c r="M22" s="72" t="n">
        <f aca="false">M20+M21</f>
        <v>-58189.3054209846</v>
      </c>
      <c r="N22" s="72" t="n">
        <f aca="false">N20+N21</f>
        <v>-67095.3499833421</v>
      </c>
      <c r="O22" s="72" t="n">
        <f aca="false">O20+O21</f>
        <v>-96471.2505236427</v>
      </c>
      <c r="P22" s="72" t="n">
        <f aca="false">P20+P21</f>
        <v>-85878.8714976488</v>
      </c>
      <c r="Q22" s="72" t="n">
        <f aca="false">Q20+Q21</f>
        <v>-54547.1563663177</v>
      </c>
      <c r="R22" s="72" t="n">
        <f aca="false">R20+R21</f>
        <v>-51716.6127050013</v>
      </c>
      <c r="S22" s="72" t="n">
        <f aca="false">S20+S21</f>
        <v>-59299.2247693134</v>
      </c>
      <c r="T22" s="72" t="n">
        <f aca="false">T20+T21</f>
        <v>-62453.3697402243</v>
      </c>
      <c r="U22" s="72" t="n">
        <f aca="false">U20+U21</f>
        <v>-67075.7325802366</v>
      </c>
      <c r="V22" s="72" t="n">
        <f aca="false">V20+V21</f>
        <v>-66271.8929172507</v>
      </c>
      <c r="W22" s="72" t="n">
        <f aca="false">W20+W21</f>
        <v>-63990.3817270184</v>
      </c>
      <c r="X22" s="72" t="n">
        <f aca="false">X20+X21</f>
        <v>-63770.714788331</v>
      </c>
      <c r="Y22" s="72" t="n">
        <f aca="false">Y20+Y21</f>
        <v>-73120.6811920093</v>
      </c>
      <c r="Z22" s="72" t="n">
        <f aca="false">Z20+Z21</f>
        <v>-84312.0167890677</v>
      </c>
      <c r="AA22" s="72" t="n">
        <f aca="false">AA20+AA21</f>
        <v>-121225.773408009</v>
      </c>
      <c r="AB22" s="72" t="n">
        <f aca="false">AB20+AB21</f>
        <v>-107915.389923945</v>
      </c>
    </row>
    <row r="23" customFormat="false" ht="15" hidden="false" customHeight="true" outlineLevel="0" collapsed="false">
      <c r="A23" s="70" t="s">
        <v>319</v>
      </c>
      <c r="B23" s="71" t="s">
        <v>664</v>
      </c>
      <c r="C23" s="72" t="n">
        <f aca="false">SUM(E23:P23)</f>
        <v>1282730.66557783</v>
      </c>
      <c r="D23" s="72" t="n">
        <f aca="false">SUM(Q23:AB23)</f>
        <v>1547740.17506933</v>
      </c>
      <c r="E23" s="72" t="n">
        <f aca="false">E18+E22</f>
        <v>82067.17</v>
      </c>
      <c r="F23" s="72" t="n">
        <f aca="false">F18+F22</f>
        <v>82425.94</v>
      </c>
      <c r="G23" s="72" t="n">
        <f aca="false">G18+G22</f>
        <v>92786.04</v>
      </c>
      <c r="H23" s="72" t="n">
        <f aca="false">H18+H22</f>
        <v>91878.36</v>
      </c>
      <c r="I23" s="72" t="n">
        <f aca="false">I18+I22</f>
        <v>106014.13</v>
      </c>
      <c r="J23" s="72" t="n">
        <f aca="false">J18+J22</f>
        <v>98547.67</v>
      </c>
      <c r="K23" s="72" t="n">
        <f aca="false">K18+K22</f>
        <v>91287.63</v>
      </c>
      <c r="L23" s="72" t="n">
        <f aca="false">L18+L22</f>
        <v>93184.83</v>
      </c>
      <c r="M23" s="72" t="n">
        <f aca="false">M18+M22</f>
        <v>103030.306624018</v>
      </c>
      <c r="N23" s="72" t="n">
        <f aca="false">N18+N22</f>
        <v>118778.503254909</v>
      </c>
      <c r="O23" s="72" t="n">
        <f aca="false">O18+O22</f>
        <v>170752.51739766</v>
      </c>
      <c r="P23" s="72" t="n">
        <f aca="false">P18+P22</f>
        <v>151977.568301242</v>
      </c>
      <c r="Q23" s="72" t="n">
        <f aca="false">Q18+Q22</f>
        <v>96513.7981036301</v>
      </c>
      <c r="R23" s="72" t="n">
        <f aca="false">R18+R22</f>
        <v>91489.586862387</v>
      </c>
      <c r="S23" s="72" t="n">
        <f aca="false">S18+S22</f>
        <v>104885.411392862</v>
      </c>
      <c r="T23" s="72" t="n">
        <f aca="false">T18+T22</f>
        <v>110445.136143851</v>
      </c>
      <c r="U23" s="72" t="n">
        <f aca="false">U18+U22</f>
        <v>118598.982791761</v>
      </c>
      <c r="V23" s="72" t="n">
        <f aca="false">V18+V22</f>
        <v>117157.449308637</v>
      </c>
      <c r="W23" s="72" t="n">
        <f aca="false">W18+W22</f>
        <v>113104.63375161</v>
      </c>
      <c r="X23" s="72" t="n">
        <f aca="false">X18+X22</f>
        <v>112696.990201307</v>
      </c>
      <c r="Y23" s="72" t="n">
        <f aca="false">Y18+Y22</f>
        <v>129198.290668368</v>
      </c>
      <c r="Z23" s="72" t="n">
        <f aca="false">Z18+Z22</f>
        <v>148946.977373093</v>
      </c>
      <c r="AA23" s="72" t="n">
        <f aca="false">AA18+AA22</f>
        <v>214122.855922087</v>
      </c>
      <c r="AB23" s="72" t="n">
        <f aca="false">AB18+AB22</f>
        <v>190580.062549737</v>
      </c>
    </row>
    <row r="24" customFormat="false" ht="15" hidden="false" customHeight="true" outlineLevel="0" collapsed="false">
      <c r="A24" s="28" t="s">
        <v>269</v>
      </c>
      <c r="B24" s="55" t="s">
        <v>665</v>
      </c>
      <c r="C24" s="59" t="n">
        <f aca="false">IF(C18=0,0,C23/C18)</f>
        <v>0.640969283315888</v>
      </c>
      <c r="D24" s="59" t="n">
        <f aca="false">IF(D18=0,0,D23/D18)</f>
        <v>0.638654448149419</v>
      </c>
      <c r="E24" s="58" t="n">
        <f aca="false">IF(E18=0,0,E23/E18)</f>
        <v>0.648660032564536</v>
      </c>
      <c r="F24" s="58" t="n">
        <f aca="false">IF(F18=0,0,F23/F18)</f>
        <v>0.647612781550227</v>
      </c>
      <c r="G24" s="58" t="n">
        <f aca="false">IF(G18=0,0,G23/G18)</f>
        <v>0.643268328036895</v>
      </c>
      <c r="H24" s="58" t="n">
        <f aca="false">IF(H18=0,0,H23/H18)</f>
        <v>0.642180971617303</v>
      </c>
      <c r="I24" s="58" t="n">
        <f aca="false">IF(I18=0,0,I23/I18)</f>
        <v>0.64406875939243</v>
      </c>
      <c r="J24" s="58" t="n">
        <f aca="false">IF(J18=0,0,J23/J18)</f>
        <v>0.639578342086775</v>
      </c>
      <c r="K24" s="58" t="n">
        <f aca="false">IF(K18=0,0,K23/K18)</f>
        <v>0.636867796026509</v>
      </c>
      <c r="L24" s="58" t="n">
        <f aca="false">IF(L18=0,0,L23/L18)</f>
        <v>0.638548573053592</v>
      </c>
      <c r="M24" s="58" t="n">
        <f aca="false">IF(M18=0,0,M23/M18)</f>
        <v>0.639068071912109</v>
      </c>
      <c r="N24" s="58" t="n">
        <f aca="false">IF(N18=0,0,N23/N18)</f>
        <v>0.639027497335304</v>
      </c>
      <c r="O24" s="58" t="n">
        <f aca="false">IF(O18=0,0,O23/O18)</f>
        <v>0.638987013490307</v>
      </c>
      <c r="P24" s="58" t="n">
        <f aca="false">IF(P18=0,0,P23/P18)</f>
        <v>0.638946620195526</v>
      </c>
      <c r="Q24" s="58" t="n">
        <f aca="false">IF(Q18=0,0,Q23/Q18)</f>
        <v>0.638906317269633</v>
      </c>
      <c r="R24" s="58" t="n">
        <f aca="false">IF(R18=0,0,R23/R18)</f>
        <v>0.638866104531564</v>
      </c>
      <c r="S24" s="58" t="n">
        <f aca="false">IF(S18=0,0,S23/S18)</f>
        <v>0.638825981800515</v>
      </c>
      <c r="T24" s="58" t="n">
        <f aca="false">IF(T18=0,0,T23/T18)</f>
        <v>0.638785948895951</v>
      </c>
      <c r="U24" s="58" t="n">
        <f aca="false">IF(U18=0,0,U23/U18)</f>
        <v>0.638746005637595</v>
      </c>
      <c r="V24" s="58" t="n">
        <f aca="false">IF(V18=0,0,V23/V18)</f>
        <v>0.638706151845439</v>
      </c>
      <c r="W24" s="58" t="n">
        <f aca="false">IF(W18=0,0,W23/W18)</f>
        <v>0.638666387339735</v>
      </c>
      <c r="X24" s="58" t="n">
        <f aca="false">IF(X18=0,0,X23/X18)</f>
        <v>0.638626711941001</v>
      </c>
      <c r="Y24" s="58" t="n">
        <f aca="false">IF(Y18=0,0,Y23/Y18)</f>
        <v>0.638587125470018</v>
      </c>
      <c r="Z24" s="58" t="n">
        <f aca="false">IF(Z18=0,0,Z23/Z18)</f>
        <v>0.638547627747832</v>
      </c>
      <c r="AA24" s="58" t="n">
        <f aca="false">IF(AA18=0,0,AA23/AA18)</f>
        <v>0.638508218595752</v>
      </c>
      <c r="AB24" s="58" t="n">
        <f aca="false">IF(AB18=0,0,AB23/AB18)</f>
        <v>0.638468897835353</v>
      </c>
    </row>
    <row r="25" customFormat="false" ht="15" hidden="false" customHeight="true" outlineLevel="0" collapsed="false">
      <c r="A25" s="28" t="s">
        <v>666</v>
      </c>
      <c r="B25" s="55" t="s">
        <v>667</v>
      </c>
      <c r="C25" s="56" t="n">
        <f aca="false">SUM(E25:P25)</f>
        <v>-58491.4722832462</v>
      </c>
      <c r="D25" s="56" t="n">
        <f aca="false">SUM(Q25:AB25)</f>
        <v>-70753.6999934821</v>
      </c>
      <c r="E25" s="57" t="n">
        <f aca="false">-IF(E$5="A",Inputs_Actuals!E62,(Assumptions!$F$104*(E13+E14+E17)*(1+Assumptions!$C$20)+Assumptions!$F$105*E11+Assumptions!$F$106*E13))</f>
        <v>-3706</v>
      </c>
      <c r="F25" s="57" t="n">
        <f aca="false">-IF(F$5="A",Inputs_Actuals!F62,(Assumptions!$F$104*(F13+F14+F17)*(1+Assumptions!$C$20)+Assumptions!$F$105*F11+Assumptions!$F$106*F13))</f>
        <v>-3694</v>
      </c>
      <c r="G25" s="57" t="n">
        <f aca="false">-IF(G$5="A",Inputs_Actuals!G62,(Assumptions!$F$104*(G13+G14+G17)*(1+Assumptions!$C$20)+Assumptions!$F$105*G11+Assumptions!$F$106*G13))</f>
        <v>-4179</v>
      </c>
      <c r="H25" s="57" t="n">
        <f aca="false">-IF(H$5="A",Inputs_Actuals!H62,(Assumptions!$F$104*(H13+H14+H17)*(1+Assumptions!$C$20)+Assumptions!$F$105*H11+Assumptions!$F$106*H13))</f>
        <v>-4145</v>
      </c>
      <c r="I25" s="57" t="n">
        <f aca="false">-IF(I$5="A",Inputs_Actuals!I62,(Assumptions!$F$104*(I13+I14+I17)*(1+Assumptions!$C$20)+Assumptions!$F$105*I11+Assumptions!$F$106*I13))</f>
        <v>-4838</v>
      </c>
      <c r="J25" s="57" t="n">
        <f aca="false">-IF(J$5="A",Inputs_Actuals!J62,(Assumptions!$F$104*(J13+J14+J17)*(1+Assumptions!$C$20)+Assumptions!$F$105*J11+Assumptions!$F$106*J13))</f>
        <v>-4506</v>
      </c>
      <c r="K25" s="57" t="n">
        <f aca="false">-IF(K$5="A",Inputs_Actuals!K62,(Assumptions!$F$104*(K13+K14+K17)*(1+Assumptions!$C$20)+Assumptions!$F$105*K11+Assumptions!$F$106*K13))</f>
        <v>-4186</v>
      </c>
      <c r="L25" s="57" t="n">
        <f aca="false">-IF(L$5="A",Inputs_Actuals!L62,(Assumptions!$F$104*(L13+L14+L17)*(1+Assumptions!$C$20)+Assumptions!$F$105*L11+Assumptions!$F$106*L13))</f>
        <v>-4303</v>
      </c>
      <c r="M25" s="57" t="n">
        <f aca="false">-IF(M$5="A",Inputs_Actuals!M62,(Assumptions!$F$104*(M13+M14+M17)*(1+Assumptions!$C$20)+Assumptions!$F$105*M11+Assumptions!$F$106*M13))</f>
        <v>-4719.30606336758</v>
      </c>
      <c r="N25" s="57" t="n">
        <f aca="false">-IF(N$5="A",Inputs_Actuals!N62,(Assumptions!$F$104*(N13+N14+N17)*(1+Assumptions!$C$20)+Assumptions!$F$105*N11+Assumptions!$F$106*N13))</f>
        <v>-5439.5949452008</v>
      </c>
      <c r="O25" s="57" t="n">
        <f aca="false">-IF(O$5="A",Inputs_Actuals!O62,(Assumptions!$F$104*(O13+O14+O17)*(1+Assumptions!$C$20)+Assumptions!$F$105*O11+Assumptions!$F$106*O13))</f>
        <v>-7818.28597410767</v>
      </c>
      <c r="P25" s="57" t="n">
        <f aca="false">-IF(P$5="A",Inputs_Actuals!P62,(Assumptions!$F$104*(P13+P14+P17)*(1+Assumptions!$C$20)+Assumptions!$F$105*P11+Assumptions!$F$106*P13))</f>
        <v>-6957.28530057016</v>
      </c>
      <c r="Q25" s="57" t="n">
        <f aca="false">-IF(Q$5="A",Inputs_Actuals!Q62,(Assumptions!$F$104*(Q13+Q14+Q17)*(1+Assumptions!$C$20)+Assumptions!$F$105*Q11+Assumptions!$F$106*Q13))</f>
        <v>-4417.39031626233</v>
      </c>
      <c r="R25" s="57" t="n">
        <f aca="false">-IF(R$5="A",Inputs_Actuals!R62,(Assumptions!$F$104*(R13+R14+R17)*(1+Assumptions!$C$20)+Assumptions!$F$105*R11+Assumptions!$F$106*R13))</f>
        <v>-4186.62673099261</v>
      </c>
      <c r="S25" s="57" t="n">
        <f aca="false">-IF(S$5="A",Inputs_Actuals!S62,(Assumptions!$F$104*(S13+S14+S17)*(1+Assumptions!$C$20)+Assumptions!$F$105*S11+Assumptions!$F$106*S13))</f>
        <v>-4798.70475057163</v>
      </c>
      <c r="T25" s="57" t="n">
        <f aca="false">-IF(T$5="A",Inputs_Actuals!T62,(Assumptions!$F$104*(T13+T14+T17)*(1+Assumptions!$C$20)+Assumptions!$F$105*T11+Assumptions!$F$106*T13))</f>
        <v>-5052.10150883805</v>
      </c>
      <c r="U25" s="57" t="n">
        <f aca="false">-IF(U$5="A",Inputs_Actuals!U62,(Assumptions!$F$104*(U13+U14+U17)*(1+Assumptions!$C$20)+Assumptions!$F$105*U11+Assumptions!$F$106*U13))</f>
        <v>-5424.04303837823</v>
      </c>
      <c r="V25" s="57" t="n">
        <f aca="false">-IF(V$5="A",Inputs_Actuals!V62,(Assumptions!$F$104*(V13+V14+V17)*(1+Assumptions!$C$20)+Assumptions!$F$105*V11+Assumptions!$F$106*V13))</f>
        <v>-5357.08972689517</v>
      </c>
      <c r="W25" s="57" t="n">
        <f aca="false">-IF(W$5="A",Inputs_Actuals!W62,(Assumptions!$F$104*(W13+W14+W17)*(1+Assumptions!$C$20)+Assumptions!$F$105*W11+Assumptions!$F$106*W13))</f>
        <v>-5170.78428682332</v>
      </c>
      <c r="X25" s="57" t="n">
        <f aca="false">-IF(X$5="A",Inputs_Actuals!X62,(Assumptions!$F$104*(X13+X14+X17)*(1+Assumptions!$C$20)+Assumptions!$F$105*X11+Assumptions!$F$106*X13))</f>
        <v>-5151.16557757041</v>
      </c>
      <c r="Y25" s="57" t="n">
        <f aca="false">-IF(Y$5="A",Inputs_Actuals!Y62,(Assumptions!$F$104*(Y13+Y14+Y17)*(1+Assumptions!$C$20)+Assumptions!$F$105*Y11+Assumptions!$F$106*Y13))</f>
        <v>-5904.28468794574</v>
      </c>
      <c r="Z25" s="57" t="n">
        <f aca="false">-IF(Z$5="A",Inputs_Actuals!Z62,(Assumptions!$F$104*(Z13+Z14+Z17)*(1+Assumptions!$C$20)+Assumptions!$F$105*Z11+Assumptions!$F$106*Z13))</f>
        <v>-6805.49477993838</v>
      </c>
      <c r="AA25" s="57" t="n">
        <f aca="false">-IF(AA$5="A",Inputs_Actuals!AA62,(Assumptions!$F$104*(AA13+AA14+AA17)*(1+Assumptions!$C$20)+Assumptions!$F$105*AA11+Assumptions!$F$106*AA13))</f>
        <v>-9781.5726805518</v>
      </c>
      <c r="AB25" s="57" t="n">
        <f aca="false">-IF(AB$5="A",Inputs_Actuals!AB62,(Assumptions!$F$104*(AB13+AB14+AB17)*(1+Assumptions!$C$20)+Assumptions!$F$105*AB11+Assumptions!$F$106*AB13))</f>
        <v>-8704.44190871446</v>
      </c>
    </row>
    <row r="26" customFormat="false" ht="15" hidden="false" customHeight="true" outlineLevel="0" collapsed="false">
      <c r="A26" s="28" t="s">
        <v>668</v>
      </c>
      <c r="B26" s="55" t="s">
        <v>669</v>
      </c>
      <c r="C26" s="56" t="n">
        <f aca="false">SUM(E26:P26)</f>
        <v>-170978.479293844</v>
      </c>
      <c r="D26" s="56" t="n">
        <f aca="false">SUM(Q26:AB26)</f>
        <v>-201843.165984166</v>
      </c>
      <c r="E26" s="57" t="n">
        <f aca="false">-IF(E$5="A",Inputs_Actuals!E63,E11*Assumptions!$F$107)</f>
        <v>-10361</v>
      </c>
      <c r="F26" s="57" t="n">
        <f aca="false">-IF(F$5="A",Inputs_Actuals!F63,F11*Assumptions!$F$107)</f>
        <v>-10561</v>
      </c>
      <c r="G26" s="57" t="n">
        <f aca="false">-IF(G$5="A",Inputs_Actuals!G63,G11*Assumptions!$F$107)</f>
        <v>-12292</v>
      </c>
      <c r="H26" s="57" t="n">
        <f aca="false">-IF(H$5="A",Inputs_Actuals!H63,H11*Assumptions!$F$107)</f>
        <v>-12426</v>
      </c>
      <c r="I26" s="57" t="n">
        <f aca="false">-IF(I$5="A",Inputs_Actuals!I63,I11*Assumptions!$F$107)</f>
        <v>-13945</v>
      </c>
      <c r="J26" s="57" t="n">
        <f aca="false">-IF(J$5="A",Inputs_Actuals!J63,J11*Assumptions!$F$107)</f>
        <v>-13225</v>
      </c>
      <c r="K26" s="57" t="n">
        <f aca="false">-IF(K$5="A",Inputs_Actuals!K63,K11*Assumptions!$F$107)</f>
        <v>-12987</v>
      </c>
      <c r="L26" s="57" t="n">
        <f aca="false">-IF(L$5="A",Inputs_Actuals!L63,L11*Assumptions!$F$107)</f>
        <v>-12752</v>
      </c>
      <c r="M26" s="57" t="n">
        <f aca="false">-IF(M$5="A",Inputs_Actuals!M63,M11*Assumptions!$F$107)</f>
        <v>-13756.9369545213</v>
      </c>
      <c r="N26" s="57" t="n">
        <f aca="false">-IF(N$5="A",Inputs_Actuals!N63,N11*Assumptions!$F$107)</f>
        <v>-15823.4517688396</v>
      </c>
      <c r="O26" s="57" t="n">
        <f aca="false">-IF(O$5="A",Inputs_Actuals!O63,O11*Assumptions!$F$107)</f>
        <v>-22695.3531244763</v>
      </c>
      <c r="P26" s="57" t="n">
        <f aca="false">-IF(P$5="A",Inputs_Actuals!P63,P11*Assumptions!$F$107)</f>
        <v>-20153.737446007</v>
      </c>
      <c r="Q26" s="57" t="n">
        <f aca="false">-IF(Q$5="A",Inputs_Actuals!Q63,Q11*Assumptions!$F$107)</f>
        <v>-12769.4330032861</v>
      </c>
      <c r="R26" s="57" t="n">
        <f aca="false">-IF(R$5="A",Inputs_Actuals!R63,R11*Assumptions!$F$107)</f>
        <v>-12077.0204632728</v>
      </c>
      <c r="S26" s="57" t="n">
        <f aca="false">-IF(S$5="A",Inputs_Actuals!S63,S11*Assumptions!$F$107)</f>
        <v>-13813.6668321248</v>
      </c>
      <c r="T26" s="57" t="n">
        <f aca="false">-IF(T$5="A",Inputs_Actuals!T63,T11*Assumptions!$F$107)</f>
        <v>-14512.6281885841</v>
      </c>
      <c r="U26" s="57" t="n">
        <f aca="false">-IF(U$5="A",Inputs_Actuals!U63,U11*Assumptions!$F$107)</f>
        <v>-15548.4051455027</v>
      </c>
      <c r="V26" s="57" t="n">
        <f aca="false">-IF(V$5="A",Inputs_Actuals!V63,V11*Assumptions!$F$107)</f>
        <v>-15324.2783072403</v>
      </c>
      <c r="W26" s="57" t="n">
        <f aca="false">-IF(W$5="A",Inputs_Actuals!W63,W11*Assumptions!$F$107)</f>
        <v>-14760.3136924968</v>
      </c>
      <c r="X26" s="57" t="n">
        <f aca="false">-IF(X$5="A",Inputs_Actuals!X63,X11*Assumptions!$F$107)</f>
        <v>-14673.4556131687</v>
      </c>
      <c r="Y26" s="57" t="n">
        <f aca="false">-IF(Y$5="A",Inputs_Actuals!Y63,Y11*Assumptions!$F$107)</f>
        <v>-16783.463084516</v>
      </c>
      <c r="Z26" s="57" t="n">
        <f aca="false">-IF(Z$5="A",Inputs_Actuals!Z63,Z11*Assumptions!$F$107)</f>
        <v>-19304.6111579843</v>
      </c>
      <c r="AA26" s="57" t="n">
        <f aca="false">-IF(AA$5="A",Inputs_Actuals!AA63,AA11*Assumptions!$F$107)</f>
        <v>-27688.3308118611</v>
      </c>
      <c r="AB26" s="57" t="n">
        <f aca="false">-IF(AB$5="A",Inputs_Actuals!AB63,AB11*Assumptions!$F$107)</f>
        <v>-24587.5596841286</v>
      </c>
    </row>
    <row r="27" customFormat="false" ht="15" hidden="false" customHeight="true" outlineLevel="0" collapsed="false">
      <c r="A27" s="28" t="s">
        <v>670</v>
      </c>
      <c r="B27" s="55" t="s">
        <v>655</v>
      </c>
      <c r="C27" s="56" t="n">
        <f aca="false">SUM(E27:P27)</f>
        <v>-102311.62540419</v>
      </c>
      <c r="D27" s="56" t="n">
        <f aca="false">SUM(Q27:AB27)</f>
        <v>-120788.036336981</v>
      </c>
      <c r="E27" s="57" t="n">
        <f aca="false">-IF(E$5="A",Inputs_Actuals!E64,E11*Assumptions!$F$108)</f>
        <v>-6356</v>
      </c>
      <c r="F27" s="57" t="n">
        <f aca="false">-IF(F$5="A",Inputs_Actuals!F64,F11*Assumptions!$F$108)</f>
        <v>-6513</v>
      </c>
      <c r="G27" s="57" t="n">
        <f aca="false">-IF(G$5="A",Inputs_Actuals!G64,G11*Assumptions!$F$108)</f>
        <v>-7539</v>
      </c>
      <c r="H27" s="57" t="n">
        <f aca="false">-IF(H$5="A",Inputs_Actuals!H64,H11*Assumptions!$F$108)</f>
        <v>-7346</v>
      </c>
      <c r="I27" s="57" t="n">
        <f aca="false">-IF(I$5="A",Inputs_Actuals!I64,I11*Assumptions!$F$108)</f>
        <v>-8127</v>
      </c>
      <c r="J27" s="57" t="n">
        <f aca="false">-IF(J$5="A",Inputs_Actuals!J64,J11*Assumptions!$F$108)</f>
        <v>-8133</v>
      </c>
      <c r="K27" s="57" t="n">
        <f aca="false">-IF(K$5="A",Inputs_Actuals!K64,K11*Assumptions!$F$108)</f>
        <v>-7609</v>
      </c>
      <c r="L27" s="57" t="n">
        <f aca="false">-IF(L$5="A",Inputs_Actuals!L64,L11*Assumptions!$F$108)</f>
        <v>-7345</v>
      </c>
      <c r="M27" s="57" t="n">
        <f aca="false">-IF(M$5="A",Inputs_Actuals!M64,M11*Assumptions!$F$108)</f>
        <v>-8232.49770506787</v>
      </c>
      <c r="N27" s="57" t="n">
        <f aca="false">-IF(N$5="A",Inputs_Actuals!N64,N11*Assumptions!$F$108)</f>
        <v>-9469.15223962056</v>
      </c>
      <c r="O27" s="57" t="n">
        <f aca="false">-IF(O$5="A",Inputs_Actuals!O64,O11*Assumptions!$F$108)</f>
        <v>-13581.471161104</v>
      </c>
      <c r="P27" s="57" t="n">
        <f aca="false">-IF(P$5="A",Inputs_Actuals!P64,P11*Assumptions!$F$108)</f>
        <v>-12060.5042983979</v>
      </c>
      <c r="Q27" s="57" t="n">
        <f aca="false">-IF(Q$5="A",Inputs_Actuals!Q64,Q11*Assumptions!$F$108)</f>
        <v>-7641.55045865937</v>
      </c>
      <c r="R27" s="57" t="n">
        <f aca="false">-IF(R$5="A",Inputs_Actuals!R64,R11*Assumptions!$F$108)</f>
        <v>-7227.19334810028</v>
      </c>
      <c r="S27" s="57" t="n">
        <f aca="false">-IF(S$5="A",Inputs_Actuals!S64,S11*Assumptions!$F$108)</f>
        <v>-8266.44629324002</v>
      </c>
      <c r="T27" s="57" t="n">
        <f aca="false">-IF(T$5="A",Inputs_Actuals!T64,T11*Assumptions!$F$108)</f>
        <v>-8684.72238057002</v>
      </c>
      <c r="U27" s="57" t="n">
        <f aca="false">-IF(U$5="A",Inputs_Actuals!U64,U11*Assumptions!$F$108)</f>
        <v>-9304.55740990711</v>
      </c>
      <c r="V27" s="57" t="n">
        <f aca="false">-IF(V$5="A",Inputs_Actuals!V64,V11*Assumptions!$F$108)</f>
        <v>-9170.43426260047</v>
      </c>
      <c r="W27" s="57" t="n">
        <f aca="false">-IF(W$5="A",Inputs_Actuals!W64,W11*Assumptions!$F$108)</f>
        <v>-8832.94362700594</v>
      </c>
      <c r="X27" s="57" t="n">
        <f aca="false">-IF(X$5="A",Inputs_Actuals!X64,X11*Assumptions!$F$108)</f>
        <v>-8780.96556378601</v>
      </c>
      <c r="Y27" s="57" t="n">
        <f aca="false">-IF(Y$5="A",Inputs_Actuals!Y64,Y11*Assumptions!$F$108)</f>
        <v>-10043.6472001828</v>
      </c>
      <c r="Z27" s="57" t="n">
        <f aca="false">-IF(Z$5="A",Inputs_Actuals!Z64,Z11*Assumptions!$F$108)</f>
        <v>-11552.3657323371</v>
      </c>
      <c r="AA27" s="57" t="n">
        <f aca="false">-IF(AA$5="A",Inputs_Actuals!AA64,AA11*Assumptions!$F$108)</f>
        <v>-16569.3948165468</v>
      </c>
      <c r="AB27" s="57" t="n">
        <f aca="false">-IF(AB$5="A",Inputs_Actuals!AB64,AB11*Assumptions!$F$108)</f>
        <v>-14713.8152440454</v>
      </c>
    </row>
    <row r="28" customFormat="false" ht="15" hidden="false" customHeight="true" outlineLevel="0" collapsed="false">
      <c r="A28" s="28" t="s">
        <v>323</v>
      </c>
      <c r="B28" s="55" t="s">
        <v>310</v>
      </c>
      <c r="C28" s="56" t="n">
        <f aca="false">SUM(E28:P28)</f>
        <v>-331781.576981281</v>
      </c>
      <c r="D28" s="56" t="n">
        <f aca="false">SUM(Q28:AB28)</f>
        <v>-393384.90231463</v>
      </c>
      <c r="E28" s="69" t="n">
        <f aca="false">E25+E26+E27</f>
        <v>-20423</v>
      </c>
      <c r="F28" s="69" t="n">
        <f aca="false">F25+F26+F27</f>
        <v>-20768</v>
      </c>
      <c r="G28" s="69" t="n">
        <f aca="false">G25+G26+G27</f>
        <v>-24010</v>
      </c>
      <c r="H28" s="69" t="n">
        <f aca="false">H25+H26+H27</f>
        <v>-23917</v>
      </c>
      <c r="I28" s="69" t="n">
        <f aca="false">I25+I26+I27</f>
        <v>-26910</v>
      </c>
      <c r="J28" s="69" t="n">
        <f aca="false">J25+J26+J27</f>
        <v>-25864</v>
      </c>
      <c r="K28" s="69" t="n">
        <f aca="false">K25+K26+K27</f>
        <v>-24782</v>
      </c>
      <c r="L28" s="69" t="n">
        <f aca="false">L25+L26+L27</f>
        <v>-24400</v>
      </c>
      <c r="M28" s="69" t="n">
        <f aca="false">M25+M26+M27</f>
        <v>-26708.7407229568</v>
      </c>
      <c r="N28" s="69" t="n">
        <f aca="false">N25+N26+N27</f>
        <v>-30732.198953661</v>
      </c>
      <c r="O28" s="69" t="n">
        <f aca="false">O25+O26+O27</f>
        <v>-44095.110259688</v>
      </c>
      <c r="P28" s="69" t="n">
        <f aca="false">P25+P26+P27</f>
        <v>-39171.5270449751</v>
      </c>
      <c r="Q28" s="69" t="n">
        <f aca="false">Q25+Q26+Q27</f>
        <v>-24828.3737782078</v>
      </c>
      <c r="R28" s="69" t="n">
        <f aca="false">R25+R26+R27</f>
        <v>-23490.8405423657</v>
      </c>
      <c r="S28" s="69" t="n">
        <f aca="false">S25+S26+S27</f>
        <v>-26878.8178759364</v>
      </c>
      <c r="T28" s="69" t="n">
        <f aca="false">T25+T26+T27</f>
        <v>-28249.4520779922</v>
      </c>
      <c r="U28" s="69" t="n">
        <f aca="false">U25+U26+U27</f>
        <v>-30277.005593788</v>
      </c>
      <c r="V28" s="69" t="n">
        <f aca="false">V25+V26+V27</f>
        <v>-29851.8022967359</v>
      </c>
      <c r="W28" s="69" t="n">
        <f aca="false">W25+W26+W27</f>
        <v>-28764.041606326</v>
      </c>
      <c r="X28" s="69" t="n">
        <f aca="false">X25+X26+X27</f>
        <v>-28605.5867545251</v>
      </c>
      <c r="Y28" s="69" t="n">
        <f aca="false">Y25+Y26+Y27</f>
        <v>-32731.3949726445</v>
      </c>
      <c r="Z28" s="69" t="n">
        <f aca="false">Z25+Z26+Z27</f>
        <v>-37662.4716702598</v>
      </c>
      <c r="AA28" s="69" t="n">
        <f aca="false">AA25+AA26+AA27</f>
        <v>-54039.2983089598</v>
      </c>
      <c r="AB28" s="69" t="n">
        <f aca="false">AB25+AB26+AB27</f>
        <v>-48005.8168368885</v>
      </c>
    </row>
    <row r="29" customFormat="false" ht="15" hidden="false" customHeight="true" outlineLevel="0" collapsed="false">
      <c r="A29" s="70" t="s">
        <v>324</v>
      </c>
      <c r="B29" s="71" t="s">
        <v>671</v>
      </c>
      <c r="C29" s="72" t="n">
        <f aca="false">SUM(E29:P29)</f>
        <v>950949.088596548</v>
      </c>
      <c r="D29" s="72" t="n">
        <f aca="false">SUM(Q29:AB29)</f>
        <v>1154355.2727547</v>
      </c>
      <c r="E29" s="72" t="n">
        <f aca="false">E23+E28</f>
        <v>61644.17</v>
      </c>
      <c r="F29" s="72" t="n">
        <f aca="false">F23+F28</f>
        <v>61657.94</v>
      </c>
      <c r="G29" s="72" t="n">
        <f aca="false">G23+G28</f>
        <v>68776.04</v>
      </c>
      <c r="H29" s="72" t="n">
        <f aca="false">H23+H28</f>
        <v>67961.36</v>
      </c>
      <c r="I29" s="72" t="n">
        <f aca="false">I23+I28</f>
        <v>79104.13</v>
      </c>
      <c r="J29" s="72" t="n">
        <f aca="false">J23+J28</f>
        <v>72683.67</v>
      </c>
      <c r="K29" s="72" t="n">
        <f aca="false">K23+K28</f>
        <v>66505.63</v>
      </c>
      <c r="L29" s="72" t="n">
        <f aca="false">L23+L28</f>
        <v>68784.83</v>
      </c>
      <c r="M29" s="72" t="n">
        <f aca="false">M23+M28</f>
        <v>76321.5659010612</v>
      </c>
      <c r="N29" s="72" t="n">
        <f aca="false">N23+N28</f>
        <v>88046.3043012484</v>
      </c>
      <c r="O29" s="72" t="n">
        <f aca="false">O23+O28</f>
        <v>126657.407137972</v>
      </c>
      <c r="P29" s="72" t="n">
        <f aca="false">P23+P28</f>
        <v>112806.041256266</v>
      </c>
      <c r="Q29" s="72" t="n">
        <f aca="false">Q23+Q28</f>
        <v>71685.4243254224</v>
      </c>
      <c r="R29" s="72" t="n">
        <f aca="false">R23+R28</f>
        <v>67998.7463200213</v>
      </c>
      <c r="S29" s="72" t="n">
        <f aca="false">S23+S28</f>
        <v>78006.5935169257</v>
      </c>
      <c r="T29" s="72" t="n">
        <f aca="false">T23+T28</f>
        <v>82195.6840658591</v>
      </c>
      <c r="U29" s="72" t="n">
        <f aca="false">U23+U28</f>
        <v>88321.9771979727</v>
      </c>
      <c r="V29" s="72" t="n">
        <f aca="false">V23+V28</f>
        <v>87305.6470119006</v>
      </c>
      <c r="W29" s="72" t="n">
        <f aca="false">W23+W28</f>
        <v>84340.5921452843</v>
      </c>
      <c r="X29" s="72" t="n">
        <f aca="false">X23+X28</f>
        <v>84091.4034467822</v>
      </c>
      <c r="Y29" s="72" t="n">
        <f aca="false">Y23+Y28</f>
        <v>96466.8956957231</v>
      </c>
      <c r="Z29" s="72" t="n">
        <f aca="false">Z23+Z28</f>
        <v>111284.505702833</v>
      </c>
      <c r="AA29" s="72" t="n">
        <f aca="false">AA23+AA28</f>
        <v>160083.557613127</v>
      </c>
      <c r="AB29" s="72" t="n">
        <f aca="false">AB23+AB28</f>
        <v>142574.245712848</v>
      </c>
    </row>
    <row r="30" customFormat="false" ht="15" hidden="false" customHeight="true" outlineLevel="0" collapsed="false">
      <c r="A30" s="28" t="s">
        <v>270</v>
      </c>
      <c r="B30" s="55" t="s">
        <v>672</v>
      </c>
      <c r="C30" s="59" t="n">
        <f aca="false">IF(C18=0,0,C29/C18)</f>
        <v>0.475180934037351</v>
      </c>
      <c r="D30" s="59" t="n">
        <f aca="false">IF(D18=0,0,D29/D18)</f>
        <v>0.476329387557896</v>
      </c>
      <c r="E30" s="58" t="n">
        <f aca="false">IF(E18=0,0,E29/E18)</f>
        <v>0.487236361624433</v>
      </c>
      <c r="F30" s="58" t="n">
        <f aca="false">IF(F18=0,0,F29/F18)</f>
        <v>0.484440578148785</v>
      </c>
      <c r="G30" s="58" t="n">
        <f aca="false">IF(G18=0,0,G29/G18)</f>
        <v>0.476811471421763</v>
      </c>
      <c r="H30" s="58" t="n">
        <f aca="false">IF(H18=0,0,H29/H18)</f>
        <v>0.475013835654373</v>
      </c>
      <c r="I30" s="58" t="n">
        <f aca="false">IF(I18=0,0,I29/I18)</f>
        <v>0.480582153265018</v>
      </c>
      <c r="J30" s="58" t="n">
        <f aca="false">IF(J18=0,0,J29/J18)</f>
        <v>0.471719941784339</v>
      </c>
      <c r="K30" s="58" t="n">
        <f aca="false">IF(K18=0,0,K29/K18)</f>
        <v>0.463976269308935</v>
      </c>
      <c r="L30" s="58" t="n">
        <f aca="false">IF(L18=0,0,L29/L18)</f>
        <v>0.471347697304742</v>
      </c>
      <c r="M30" s="58" t="n">
        <f aca="false">IF(M18=0,0,M29/M18)</f>
        <v>0.473401250213634</v>
      </c>
      <c r="N30" s="58" t="n">
        <f aca="false">IF(N18=0,0,N29/N18)</f>
        <v>0.47368848693523</v>
      </c>
      <c r="O30" s="58" t="n">
        <f aca="false">IF(O18=0,0,O29/O18)</f>
        <v>0.473975081345581</v>
      </c>
      <c r="P30" s="58" t="n">
        <f aca="false">IF(P18=0,0,P29/P18)</f>
        <v>0.474261034730213</v>
      </c>
      <c r="Q30" s="58" t="n">
        <f aca="false">IF(Q18=0,0,Q29/Q18)</f>
        <v>0.474546348372792</v>
      </c>
      <c r="R30" s="58" t="n">
        <f aca="false">IF(R18=0,0,R29/R18)</f>
        <v>0.474831023555117</v>
      </c>
      <c r="S30" s="58" t="n">
        <f aca="false">IF(S18=0,0,S29/S18)</f>
        <v>0.475115061557122</v>
      </c>
      <c r="T30" s="58" t="n">
        <f aca="false">IF(T18=0,0,T29/T18)</f>
        <v>0.475398463656877</v>
      </c>
      <c r="U30" s="58" t="n">
        <f aca="false">IF(U18=0,0,U29/U18)</f>
        <v>0.475681231130585</v>
      </c>
      <c r="V30" s="58" t="n">
        <f aca="false">IF(V18=0,0,V29/V18)</f>
        <v>0.475963365252581</v>
      </c>
      <c r="W30" s="58" t="n">
        <f aca="false">IF(W18=0,0,W29/W18)</f>
        <v>0.476244867295332</v>
      </c>
      <c r="X30" s="58" t="n">
        <f aca="false">IF(X18=0,0,X29/X18)</f>
        <v>0.476525738529437</v>
      </c>
      <c r="Y30" s="58" t="n">
        <f aca="false">IF(Y18=0,0,Y29/Y18)</f>
        <v>0.476805980223625</v>
      </c>
      <c r="Z30" s="58" t="n">
        <f aca="false">IF(Z18=0,0,Z29/Z18)</f>
        <v>0.477085593644757</v>
      </c>
      <c r="AA30" s="58" t="n">
        <f aca="false">IF(AA18=0,0,AA29/AA18)</f>
        <v>0.477364580057821</v>
      </c>
      <c r="AB30" s="58" t="n">
        <f aca="false">IF(AB18=0,0,AB29/AB18)</f>
        <v>0.477642940725936</v>
      </c>
    </row>
    <row r="31" customFormat="false" ht="15" hidden="false" customHeight="true" outlineLevel="0" collapsed="false">
      <c r="A31" s="28" t="s">
        <v>673</v>
      </c>
      <c r="B31" s="55" t="s">
        <v>674</v>
      </c>
      <c r="C31" s="56" t="n">
        <f aca="false">SUM(E31:P31)</f>
        <v>-262023.098509458</v>
      </c>
      <c r="D31" s="56" t="n">
        <f aca="false">SUM(Q31:AB31)</f>
        <v>-322317.403222815</v>
      </c>
      <c r="E31" s="57" t="n">
        <f aca="false">-IF(E$5="A",Inputs_Actuals!E65,Assumptions!$F$109*E18*Assumptions!$C$50)</f>
        <v>-14925</v>
      </c>
      <c r="F31" s="57" t="n">
        <f aca="false">-IF(F$5="A",Inputs_Actuals!F65,Assumptions!$F$109*F18*Assumptions!$C$50)</f>
        <v>-15728</v>
      </c>
      <c r="G31" s="57" t="n">
        <f aca="false">-IF(G$5="A",Inputs_Actuals!G65,Assumptions!$F$109*G18*Assumptions!$C$50)</f>
        <v>-19266</v>
      </c>
      <c r="H31" s="57" t="n">
        <f aca="false">-IF(H$5="A",Inputs_Actuals!H65,Assumptions!$F$109*H18*Assumptions!$C$50)</f>
        <v>-17843</v>
      </c>
      <c r="I31" s="57" t="n">
        <f aca="false">-IF(I$5="A",Inputs_Actuals!I65,Assumptions!$F$109*I18*Assumptions!$C$50)</f>
        <v>-20699</v>
      </c>
      <c r="J31" s="57" t="n">
        <f aca="false">-IF(J$5="A",Inputs_Actuals!J65,Assumptions!$F$109*J18*Assumptions!$C$50)</f>
        <v>-20117</v>
      </c>
      <c r="K31" s="57" t="n">
        <f aca="false">-IF(K$5="A",Inputs_Actuals!K65,Assumptions!$F$109*K18*Assumptions!$C$50)</f>
        <v>-19621</v>
      </c>
      <c r="L31" s="57" t="n">
        <f aca="false">-IF(L$5="A",Inputs_Actuals!L65,Assumptions!$F$109*L18*Assumptions!$C$50)</f>
        <v>-20485</v>
      </c>
      <c r="M31" s="57" t="n">
        <f aca="false">-IF(M$5="A",Inputs_Actuals!M65,Assumptions!$F$109*M18*Assumptions!$C$50)</f>
        <v>-21442.2084019853</v>
      </c>
      <c r="N31" s="57" t="n">
        <f aca="false">-IF(N$5="A",Inputs_Actuals!N65,Assumptions!$F$109*N18*Assumptions!$C$50)</f>
        <v>-24721.2224806874</v>
      </c>
      <c r="O31" s="57" t="n">
        <f aca="false">-IF(O$5="A",Inputs_Actuals!O65,Assumptions!$F$109*O18*Assumptions!$C$50)</f>
        <v>-35540.7611335333</v>
      </c>
      <c r="P31" s="57" t="n">
        <f aca="false">-IF(P$5="A",Inputs_Actuals!P65,Assumptions!$F$109*P18*Assumptions!$C$50)</f>
        <v>-31634.9064932524</v>
      </c>
      <c r="Q31" s="57" t="n">
        <f aca="false">-IF(Q$5="A",Inputs_Actuals!Q65,Assumptions!$F$109*Q18*Assumptions!$C$50)</f>
        <v>-20091.1069445031</v>
      </c>
      <c r="R31" s="57" t="n">
        <f aca="false">-IF(R$5="A",Inputs_Actuals!R65,Assumptions!$F$109*R18*Assumptions!$C$50)</f>
        <v>-19046.4245424626</v>
      </c>
      <c r="S31" s="57" t="n">
        <f aca="false">-IF(S$5="A",Inputs_Actuals!S65,Assumptions!$F$109*S18*Assumptions!$C$50)</f>
        <v>-21836.5566095693</v>
      </c>
      <c r="T31" s="57" t="n">
        <f aca="false">-IF(T$5="A",Inputs_Actuals!T65,Assumptions!$F$109*T18*Assumptions!$C$50)</f>
        <v>-22995.5012825821</v>
      </c>
      <c r="U31" s="57" t="n">
        <f aca="false">-IF(U$5="A",Inputs_Actuals!U65,Assumptions!$F$109*U18*Assumptions!$C$50)</f>
        <v>-24694.7371444756</v>
      </c>
      <c r="V31" s="57" t="n">
        <f aca="false">-IF(V$5="A",Inputs_Actuals!V65,Assumptions!$F$109*V18*Assumptions!$C$50)</f>
        <v>-24396.102516043</v>
      </c>
      <c r="W31" s="57" t="n">
        <f aca="false">-IF(W$5="A",Inputs_Actuals!W65,Assumptions!$F$109*W18*Assumptions!$C$50)</f>
        <v>-23553.6370586576</v>
      </c>
      <c r="X31" s="57" t="n">
        <f aca="false">-IF(X$5="A",Inputs_Actuals!X65,Assumptions!$F$109*X18*Assumptions!$C$50)</f>
        <v>-23470.2047636219</v>
      </c>
      <c r="Y31" s="57" t="n">
        <f aca="false">-IF(Y$5="A",Inputs_Actuals!Y65,Assumptions!$F$109*Y18*Assumptions!$C$50)</f>
        <v>-26908.4232574301</v>
      </c>
      <c r="Z31" s="57" t="n">
        <f aca="false">-IF(Z$5="A",Inputs_Actuals!Z65,Assumptions!$F$109*Z18*Assumptions!$C$50)</f>
        <v>-31023.4462235674</v>
      </c>
      <c r="AA31" s="57" t="n">
        <f aca="false">-IF(AA$5="A",Inputs_Actuals!AA65,Assumptions!$F$109*AA18*Assumptions!$C$50)</f>
        <v>-44601.3677009029</v>
      </c>
      <c r="AB31" s="57" t="n">
        <f aca="false">-IF(AB$5="A",Inputs_Actuals!AB65,Assumptions!$F$109*AB18*Assumptions!$C$50)</f>
        <v>-39699.8951789997</v>
      </c>
    </row>
    <row r="32" customFormat="false" ht="15" hidden="false" customHeight="true" outlineLevel="0" collapsed="false">
      <c r="A32" s="28" t="s">
        <v>675</v>
      </c>
      <c r="B32" s="55" t="s">
        <v>676</v>
      </c>
      <c r="C32" s="56" t="n">
        <f aca="false">SUM(E32:P32)</f>
        <v>-112293.899361197</v>
      </c>
      <c r="D32" s="56" t="n">
        <f aca="false">SUM(Q32:AB32)</f>
        <v>-138136.029952635</v>
      </c>
      <c r="E32" s="57" t="n">
        <f aca="false">-IF(E$5="A",Inputs_Actuals!E66,Assumptions!$F$109*E18*(1-Assumptions!$C$50))</f>
        <v>-6396</v>
      </c>
      <c r="F32" s="57" t="n">
        <f aca="false">-IF(F$5="A",Inputs_Actuals!F66,Assumptions!$F$109*F18*(1-Assumptions!$C$50))</f>
        <v>-6740</v>
      </c>
      <c r="G32" s="57" t="n">
        <f aca="false">-IF(G$5="A",Inputs_Actuals!G66,Assumptions!$F$109*G18*(1-Assumptions!$C$50))</f>
        <v>-8257</v>
      </c>
      <c r="H32" s="57" t="n">
        <f aca="false">-IF(H$5="A",Inputs_Actuals!H66,Assumptions!$F$109*H18*(1-Assumptions!$C$50))</f>
        <v>-7647</v>
      </c>
      <c r="I32" s="57" t="n">
        <f aca="false">-IF(I$5="A",Inputs_Actuals!I66,Assumptions!$F$109*I18*(1-Assumptions!$C$50))</f>
        <v>-8871</v>
      </c>
      <c r="J32" s="57" t="n">
        <f aca="false">-IF(J$5="A",Inputs_Actuals!J66,Assumptions!$F$109*J18*(1-Assumptions!$C$50))</f>
        <v>-8621</v>
      </c>
      <c r="K32" s="57" t="n">
        <f aca="false">-IF(K$5="A",Inputs_Actuals!K66,Assumptions!$F$109*K18*(1-Assumptions!$C$50))</f>
        <v>-8409</v>
      </c>
      <c r="L32" s="57" t="n">
        <f aca="false">-IF(L$5="A",Inputs_Actuals!L66,Assumptions!$F$109*L18*(1-Assumptions!$C$50))</f>
        <v>-8779</v>
      </c>
      <c r="M32" s="57" t="n">
        <f aca="false">-IF(M$5="A",Inputs_Actuals!M66,Assumptions!$F$109*M18*(1-Assumptions!$C$50))</f>
        <v>-9189.51788656515</v>
      </c>
      <c r="N32" s="57" t="n">
        <f aca="false">-IF(N$5="A",Inputs_Actuals!N66,Assumptions!$F$109*N18*(1-Assumptions!$C$50))</f>
        <v>-10594.8096345803</v>
      </c>
      <c r="O32" s="57" t="n">
        <f aca="false">-IF(O$5="A",Inputs_Actuals!O66,Assumptions!$F$109*O18*(1-Assumptions!$C$50))</f>
        <v>-15231.7547715143</v>
      </c>
      <c r="P32" s="57" t="n">
        <f aca="false">-IF(P$5="A",Inputs_Actuals!P66,Assumptions!$F$109*P18*(1-Assumptions!$C$50))</f>
        <v>-13557.8170685368</v>
      </c>
      <c r="Q32" s="57" t="n">
        <f aca="false">-IF(Q$5="A",Inputs_Actuals!Q66,Assumptions!$F$109*Q18*(1-Assumptions!$C$50))</f>
        <v>-8610.47440478703</v>
      </c>
      <c r="R32" s="57" t="n">
        <f aca="false">-IF(R$5="A",Inputs_Actuals!R66,Assumptions!$F$109*R18*(1-Assumptions!$C$50))</f>
        <v>-8162.75337534113</v>
      </c>
      <c r="S32" s="57" t="n">
        <f aca="false">-IF(S$5="A",Inputs_Actuals!S66,Assumptions!$F$109*S18*(1-Assumptions!$C$50))</f>
        <v>-9358.524261244</v>
      </c>
      <c r="T32" s="57" t="n">
        <f aca="false">-IF(T$5="A",Inputs_Actuals!T66,Assumptions!$F$109*T18*(1-Assumptions!$C$50))</f>
        <v>-9855.21483539231</v>
      </c>
      <c r="U32" s="57" t="n">
        <f aca="false">-IF(U$5="A",Inputs_Actuals!U66,Assumptions!$F$109*U18*(1-Assumptions!$C$50))</f>
        <v>-10583.4587762038</v>
      </c>
      <c r="V32" s="57" t="n">
        <f aca="false">-IF(V$5="A",Inputs_Actuals!V66,Assumptions!$F$109*V18*(1-Assumptions!$C$50))</f>
        <v>-10455.4725068756</v>
      </c>
      <c r="W32" s="57" t="n">
        <f aca="false">-IF(W$5="A",Inputs_Actuals!W66,Assumptions!$F$109*W18*(1-Assumptions!$C$50))</f>
        <v>-10094.4158822818</v>
      </c>
      <c r="X32" s="57" t="n">
        <f aca="false">-IF(X$5="A",Inputs_Actuals!X66,Assumptions!$F$109*X18*(1-Assumptions!$C$50))</f>
        <v>-10058.6591844094</v>
      </c>
      <c r="Y32" s="57" t="n">
        <f aca="false">-IF(Y$5="A",Inputs_Actuals!Y66,Assumptions!$F$109*Y18*(1-Assumptions!$C$50))</f>
        <v>-11532.1813960415</v>
      </c>
      <c r="Z32" s="57" t="n">
        <f aca="false">-IF(Z$5="A",Inputs_Actuals!Z66,Assumptions!$F$109*Z18*(1-Assumptions!$C$50))</f>
        <v>-13295.7626672432</v>
      </c>
      <c r="AA32" s="57" t="n">
        <f aca="false">-IF(AA$5="A",Inputs_Actuals!AA66,Assumptions!$F$109*AA18*(1-Assumptions!$C$50))</f>
        <v>-19114.8718718155</v>
      </c>
      <c r="AB32" s="57" t="n">
        <f aca="false">-IF(AB$5="A",Inputs_Actuals!AB66,Assumptions!$F$109*AB18*(1-Assumptions!$C$50))</f>
        <v>-17014.2407909999</v>
      </c>
    </row>
    <row r="33" customFormat="false" ht="15" hidden="false" customHeight="true" outlineLevel="0" collapsed="false">
      <c r="A33" s="28" t="s">
        <v>329</v>
      </c>
      <c r="B33" s="55" t="s">
        <v>310</v>
      </c>
      <c r="C33" s="56" t="n">
        <f aca="false">SUM(E33:P33)</f>
        <v>-374316.997870655</v>
      </c>
      <c r="D33" s="56" t="n">
        <f aca="false">SUM(Q33:AB33)</f>
        <v>-460453.433175451</v>
      </c>
      <c r="E33" s="69" t="n">
        <f aca="false">E31+E32</f>
        <v>-21321</v>
      </c>
      <c r="F33" s="69" t="n">
        <f aca="false">F31+F32</f>
        <v>-22468</v>
      </c>
      <c r="G33" s="69" t="n">
        <f aca="false">G31+G32</f>
        <v>-27523</v>
      </c>
      <c r="H33" s="69" t="n">
        <f aca="false">H31+H32</f>
        <v>-25490</v>
      </c>
      <c r="I33" s="69" t="n">
        <f aca="false">I31+I32</f>
        <v>-29570</v>
      </c>
      <c r="J33" s="69" t="n">
        <f aca="false">J31+J32</f>
        <v>-28738</v>
      </c>
      <c r="K33" s="69" t="n">
        <f aca="false">K31+K32</f>
        <v>-28030</v>
      </c>
      <c r="L33" s="69" t="n">
        <f aca="false">L31+L32</f>
        <v>-29264</v>
      </c>
      <c r="M33" s="69" t="n">
        <f aca="false">M31+M32</f>
        <v>-30631.7262885505</v>
      </c>
      <c r="N33" s="69" t="n">
        <f aca="false">N31+N32</f>
        <v>-35316.0321152678</v>
      </c>
      <c r="O33" s="69" t="n">
        <f aca="false">O31+O32</f>
        <v>-50772.5159050475</v>
      </c>
      <c r="P33" s="69" t="n">
        <f aca="false">P31+P32</f>
        <v>-45192.7235617892</v>
      </c>
      <c r="Q33" s="69" t="n">
        <f aca="false">Q31+Q32</f>
        <v>-28701.5813492901</v>
      </c>
      <c r="R33" s="69" t="n">
        <f aca="false">R31+R32</f>
        <v>-27209.1779178038</v>
      </c>
      <c r="S33" s="69" t="n">
        <f aca="false">S31+S32</f>
        <v>-31195.0808708133</v>
      </c>
      <c r="T33" s="69" t="n">
        <f aca="false">T31+T32</f>
        <v>-32850.7161179744</v>
      </c>
      <c r="U33" s="69" t="n">
        <f aca="false">U31+U32</f>
        <v>-35278.1959206795</v>
      </c>
      <c r="V33" s="69" t="n">
        <f aca="false">V31+V32</f>
        <v>-34851.5750229186</v>
      </c>
      <c r="W33" s="69" t="n">
        <f aca="false">W31+W32</f>
        <v>-33648.0529409395</v>
      </c>
      <c r="X33" s="69" t="n">
        <f aca="false">X31+X32</f>
        <v>-33528.8639480313</v>
      </c>
      <c r="Y33" s="69" t="n">
        <f aca="false">Y31+Y32</f>
        <v>-38440.6046534716</v>
      </c>
      <c r="Z33" s="69" t="n">
        <f aca="false">Z31+Z32</f>
        <v>-44319.2088908106</v>
      </c>
      <c r="AA33" s="69" t="n">
        <f aca="false">AA31+AA32</f>
        <v>-63716.2395727184</v>
      </c>
      <c r="AB33" s="69" t="n">
        <f aca="false">AB31+AB32</f>
        <v>-56714.1359699996</v>
      </c>
    </row>
    <row r="34" customFormat="false" ht="15" hidden="false" customHeight="true" outlineLevel="0" collapsed="false">
      <c r="A34" s="70" t="s">
        <v>330</v>
      </c>
      <c r="B34" s="71" t="s">
        <v>677</v>
      </c>
      <c r="C34" s="72" t="n">
        <f aca="false">SUM(E34:P34)</f>
        <v>576632.090725893</v>
      </c>
      <c r="D34" s="72" t="n">
        <f aca="false">SUM(Q34:AB34)</f>
        <v>693901.83957925</v>
      </c>
      <c r="E34" s="72" t="n">
        <f aca="false">E29+E33</f>
        <v>40323.17</v>
      </c>
      <c r="F34" s="72" t="n">
        <f aca="false">F29+F33</f>
        <v>39189.94</v>
      </c>
      <c r="G34" s="72" t="n">
        <f aca="false">G29+G33</f>
        <v>41253.04</v>
      </c>
      <c r="H34" s="72" t="n">
        <f aca="false">H29+H33</f>
        <v>42471.36</v>
      </c>
      <c r="I34" s="72" t="n">
        <f aca="false">I29+I33</f>
        <v>49534.13</v>
      </c>
      <c r="J34" s="72" t="n">
        <f aca="false">J29+J33</f>
        <v>43945.67</v>
      </c>
      <c r="K34" s="72" t="n">
        <f aca="false">K29+K33</f>
        <v>38475.63</v>
      </c>
      <c r="L34" s="72" t="n">
        <f aca="false">L29+L33</f>
        <v>39520.83</v>
      </c>
      <c r="M34" s="72" t="n">
        <f aca="false">M29+M33</f>
        <v>45689.8396125107</v>
      </c>
      <c r="N34" s="72" t="n">
        <f aca="false">N29+N33</f>
        <v>52730.2721859806</v>
      </c>
      <c r="O34" s="72" t="n">
        <f aca="false">O29+O33</f>
        <v>75884.8912329246</v>
      </c>
      <c r="P34" s="72" t="n">
        <f aca="false">P29+P33</f>
        <v>67613.3176944773</v>
      </c>
      <c r="Q34" s="72" t="n">
        <f aca="false">Q29+Q33</f>
        <v>42983.8429761323</v>
      </c>
      <c r="R34" s="72" t="n">
        <f aca="false">R29+R33</f>
        <v>40789.5684022175</v>
      </c>
      <c r="S34" s="72" t="n">
        <f aca="false">S29+S33</f>
        <v>46811.5126461123</v>
      </c>
      <c r="T34" s="72" t="n">
        <f aca="false">T29+T33</f>
        <v>49344.9679478847</v>
      </c>
      <c r="U34" s="72" t="n">
        <f aca="false">U29+U33</f>
        <v>53043.7812772932</v>
      </c>
      <c r="V34" s="72" t="n">
        <f aca="false">V29+V33</f>
        <v>52454.0719889821</v>
      </c>
      <c r="W34" s="72" t="n">
        <f aca="false">W29+W33</f>
        <v>50692.5392043448</v>
      </c>
      <c r="X34" s="72" t="n">
        <f aca="false">X29+X33</f>
        <v>50562.5394987509</v>
      </c>
      <c r="Y34" s="72" t="n">
        <f aca="false">Y29+Y33</f>
        <v>58026.2910422515</v>
      </c>
      <c r="Z34" s="72" t="n">
        <f aca="false">Z29+Z33</f>
        <v>66965.2968120229</v>
      </c>
      <c r="AA34" s="72" t="n">
        <f aca="false">AA29+AA33</f>
        <v>96367.3180404091</v>
      </c>
      <c r="AB34" s="72" t="n">
        <f aca="false">AB29+AB33</f>
        <v>85860.1097428487</v>
      </c>
    </row>
    <row r="35" customFormat="false" ht="15" hidden="false" customHeight="true" outlineLevel="0" collapsed="false">
      <c r="A35" s="28" t="s">
        <v>271</v>
      </c>
      <c r="B35" s="55" t="s">
        <v>678</v>
      </c>
      <c r="C35" s="59" t="n">
        <f aca="false">IF(C18=0,0,C34/C18)</f>
        <v>0.28813800733689</v>
      </c>
      <c r="D35" s="59" t="n">
        <f aca="false">IF(D18=0,0,D34/D18)</f>
        <v>0.286329387557896</v>
      </c>
      <c r="E35" s="58" t="n">
        <f aca="false">IF(E18=0,0,E34/E18)</f>
        <v>0.318714886419324</v>
      </c>
      <c r="F35" s="58" t="n">
        <f aca="false">IF(F18=0,0,F34/F18)</f>
        <v>0.307911636217755</v>
      </c>
      <c r="G35" s="58" t="n">
        <f aca="false">IF(G18=0,0,G34/G18)</f>
        <v>0.285999640325626</v>
      </c>
      <c r="H35" s="58" t="n">
        <f aca="false">IF(H18=0,0,H34/H18)</f>
        <v>0.296852264567068</v>
      </c>
      <c r="I35" s="58" t="n">
        <f aca="false">IF(I18=0,0,I34/I18)</f>
        <v>0.300935221151023</v>
      </c>
      <c r="J35" s="58" t="n">
        <f aca="false">IF(J18=0,0,J34/J18)</f>
        <v>0.285209165883806</v>
      </c>
      <c r="K35" s="58" t="n">
        <f aca="false">IF(K18=0,0,K34/K18)</f>
        <v>0.268425083210413</v>
      </c>
      <c r="L35" s="58" t="n">
        <f aca="false">IF(L18=0,0,L34/L18)</f>
        <v>0.270816286324647</v>
      </c>
      <c r="M35" s="58" t="n">
        <f aca="false">IF(M18=0,0,M34/M18)</f>
        <v>0.283401250213634</v>
      </c>
      <c r="N35" s="58" t="n">
        <f aca="false">IF(N18=0,0,N34/N18)</f>
        <v>0.28368848693523</v>
      </c>
      <c r="O35" s="58" t="n">
        <f aca="false">IF(O18=0,0,O34/O18)</f>
        <v>0.283975081345581</v>
      </c>
      <c r="P35" s="58" t="n">
        <f aca="false">IF(P18=0,0,P34/P18)</f>
        <v>0.284261034730214</v>
      </c>
      <c r="Q35" s="58" t="n">
        <f aca="false">IF(Q18=0,0,Q34/Q18)</f>
        <v>0.284546348372792</v>
      </c>
      <c r="R35" s="58" t="n">
        <f aca="false">IF(R18=0,0,R34/R18)</f>
        <v>0.284831023555117</v>
      </c>
      <c r="S35" s="58" t="n">
        <f aca="false">IF(S18=0,0,S34/S18)</f>
        <v>0.285115061557122</v>
      </c>
      <c r="T35" s="58" t="n">
        <f aca="false">IF(T18=0,0,T34/T18)</f>
        <v>0.285398463656877</v>
      </c>
      <c r="U35" s="58" t="n">
        <f aca="false">IF(U18=0,0,U34/U18)</f>
        <v>0.285681231130585</v>
      </c>
      <c r="V35" s="58" t="n">
        <f aca="false">IF(V18=0,0,V34/V18)</f>
        <v>0.285963365252581</v>
      </c>
      <c r="W35" s="58" t="n">
        <f aca="false">IF(W18=0,0,W34/W18)</f>
        <v>0.286244867295332</v>
      </c>
      <c r="X35" s="58" t="n">
        <f aca="false">IF(X18=0,0,X34/X18)</f>
        <v>0.286525738529437</v>
      </c>
      <c r="Y35" s="58" t="n">
        <f aca="false">IF(Y18=0,0,Y34/Y18)</f>
        <v>0.286805980223625</v>
      </c>
      <c r="Z35" s="58" t="n">
        <f aca="false">IF(Z18=0,0,Z34/Z18)</f>
        <v>0.287085593644757</v>
      </c>
      <c r="AA35" s="58" t="n">
        <f aca="false">IF(AA18=0,0,AA34/AA18)</f>
        <v>0.287364580057821</v>
      </c>
      <c r="AB35" s="58" t="n">
        <f aca="false">IF(AB18=0,0,AB34/AB18)</f>
        <v>0.287642940725936</v>
      </c>
    </row>
    <row r="36" customFormat="false" ht="15" hidden="false" customHeight="true" outlineLevel="0" collapsed="false">
      <c r="A36" s="28" t="s">
        <v>679</v>
      </c>
      <c r="B36" s="55" t="s">
        <v>680</v>
      </c>
      <c r="C36" s="61" t="n">
        <f aca="false">IF(C11=0,0,C13/C11)</f>
        <v>82.9291077107291</v>
      </c>
      <c r="D36" s="61" t="n">
        <f aca="false">IF(D11=0,0,D13/D11)</f>
        <v>85.6959562901726</v>
      </c>
      <c r="E36" s="62" t="n">
        <f aca="false">IF(E11=0,0,E13/E11)</f>
        <v>82.0145772594752</v>
      </c>
      <c r="F36" s="62" t="n">
        <f aca="false">IF(F11=0,0,F13/F11)</f>
        <v>83.3332822628168</v>
      </c>
      <c r="G36" s="62" t="n">
        <f aca="false">IF(G11=0,0,G13/G11)</f>
        <v>82.2454350051177</v>
      </c>
      <c r="H36" s="62" t="n">
        <f aca="false">IF(H11=0,0,H13/H11)</f>
        <v>82.9192680412371</v>
      </c>
      <c r="I36" s="62" t="n">
        <f aca="false">IF(I11=0,0,I13/I11)</f>
        <v>83.4207678244973</v>
      </c>
      <c r="J36" s="62" t="n">
        <f aca="false">IF(J11=0,0,J13/J11)</f>
        <v>80.3762295081967</v>
      </c>
      <c r="K36" s="62" t="n">
        <f aca="false">IF(K11=0,0,K13/K11)</f>
        <v>80.6190483308421</v>
      </c>
      <c r="L36" s="62" t="n">
        <f aca="false">IF(L11=0,0,L13/L11)</f>
        <v>83.0420879676441</v>
      </c>
      <c r="M36" s="62" t="n">
        <f aca="false">IF(M11=0,0,M13/M11)</f>
        <v>83.5489464714194</v>
      </c>
      <c r="N36" s="62" t="n">
        <f aca="false">IF(N11=0,0,N13/N11)</f>
        <v>83.7550007126097</v>
      </c>
      <c r="O36" s="62" t="n">
        <f aca="false">IF(O11=0,0,O13/O11)</f>
        <v>83.9615631391465</v>
      </c>
      <c r="P36" s="62" t="n">
        <f aca="false">IF(P11=0,0,P13/P11)</f>
        <v>84.1686350043519</v>
      </c>
      <c r="Q36" s="62" t="n">
        <f aca="false">IF(Q11=0,0,Q13/Q11)</f>
        <v>84.3762175646392</v>
      </c>
      <c r="R36" s="62" t="n">
        <f aca="false">IF(R11=0,0,R13/R11)</f>
        <v>84.5843120795202</v>
      </c>
      <c r="S36" s="62" t="n">
        <f aca="false">IF(S11=0,0,S13/S11)</f>
        <v>84.792919811613</v>
      </c>
      <c r="T36" s="62" t="n">
        <f aca="false">IF(T11=0,0,T13/T11)</f>
        <v>85.0020420266498</v>
      </c>
      <c r="U36" s="62" t="n">
        <f aca="false">IF(U11=0,0,U13/U11)</f>
        <v>85.2116799934841</v>
      </c>
      <c r="V36" s="62" t="n">
        <f aca="false">IF(V11=0,0,V13/V11)</f>
        <v>85.4218349840993</v>
      </c>
      <c r="W36" s="62" t="n">
        <f aca="false">IF(W11=0,0,W13/W11)</f>
        <v>85.6325082736153</v>
      </c>
      <c r="X36" s="62" t="n">
        <f aca="false">IF(X11=0,0,X13/X11)</f>
        <v>85.843701140297</v>
      </c>
      <c r="Y36" s="62" t="n">
        <f aca="false">IF(Y11=0,0,Y13/Y11)</f>
        <v>86.055414865562</v>
      </c>
      <c r="Z36" s="62" t="n">
        <f aca="false">IF(Z11=0,0,Z13/Z11)</f>
        <v>86.267650733988</v>
      </c>
      <c r="AA36" s="62" t="n">
        <f aca="false">IF(AA11=0,0,AA13/AA11)</f>
        <v>86.4804100333209</v>
      </c>
      <c r="AB36" s="62" t="n">
        <f aca="false">IF(AB11=0,0,AB13/AB11)</f>
        <v>86.6936940544825</v>
      </c>
    </row>
    <row r="37" customFormat="false" ht="15" hidden="false" customHeight="true" outlineLevel="0" collapsed="false">
      <c r="A37" s="28" t="s">
        <v>681</v>
      </c>
      <c r="B37" s="55" t="s">
        <v>682</v>
      </c>
      <c r="C37" s="61" t="n">
        <f aca="false">IF(C11=0,0,C18/C11)</f>
        <v>74.064385468454</v>
      </c>
      <c r="D37" s="61" t="n">
        <f aca="false">IF(D11=0,0,D18/D11)</f>
        <v>76.2415628466467</v>
      </c>
      <c r="E37" s="62" t="n">
        <f aca="false">IF(E11=0,0,E18/E11)</f>
        <v>73.7714285714286</v>
      </c>
      <c r="F37" s="62" t="n">
        <f aca="false">IF(F11=0,0,F18/F11)</f>
        <v>75.0009310548026</v>
      </c>
      <c r="G37" s="62" t="n">
        <f aca="false">IF(G11=0,0,G18/G11)</f>
        <v>73.8186182190379</v>
      </c>
      <c r="H37" s="62" t="n">
        <f aca="false">IF(H11=0,0,H18/H11)</f>
        <v>73.7486494845361</v>
      </c>
      <c r="I37" s="62" t="n">
        <f aca="false">IF(I11=0,0,I18/I11)</f>
        <v>75.2288117001828</v>
      </c>
      <c r="J37" s="62" t="n">
        <f aca="false">IF(J11=0,0,J18/J11)</f>
        <v>72.1696721311475</v>
      </c>
      <c r="K37" s="62" t="n">
        <f aca="false">IF(K11=0,0,K18/K11)</f>
        <v>71.4192476332835</v>
      </c>
      <c r="L37" s="62" t="n">
        <f aca="false">IF(L11=0,0,L18/L11)</f>
        <v>73.7776794742164</v>
      </c>
      <c r="M37" s="62" t="n">
        <f aca="false">IF(M11=0,0,M18/M11)</f>
        <v>74.4166045007065</v>
      </c>
      <c r="N37" s="62" t="n">
        <f aca="false">IF(N11=0,0,N18/N11)</f>
        <v>74.5917506057182</v>
      </c>
      <c r="O37" s="62" t="n">
        <f aca="false">IF(O11=0,0,O18/O11)</f>
        <v>74.7673286682745</v>
      </c>
      <c r="P37" s="62" t="n">
        <f aca="false">IF(P11=0,0,P18/P11)</f>
        <v>74.9433397536991</v>
      </c>
      <c r="Q37" s="62" t="n">
        <f aca="false">IF(Q11=0,0,Q18/Q11)</f>
        <v>75.1197849299433</v>
      </c>
      <c r="R37" s="62" t="n">
        <f aca="false">IF(R11=0,0,R18/R11)</f>
        <v>75.2966652675922</v>
      </c>
      <c r="S37" s="62" t="n">
        <f aca="false">IF(S11=0,0,S18/S11)</f>
        <v>75.473981839871</v>
      </c>
      <c r="T37" s="62" t="n">
        <f aca="false">IF(T11=0,0,T18/T11)</f>
        <v>75.6517357226523</v>
      </c>
      <c r="U37" s="62" t="n">
        <f aca="false">IF(U11=0,0,U18/U11)</f>
        <v>75.8299279944615</v>
      </c>
      <c r="V37" s="62" t="n">
        <f aca="false">IF(V11=0,0,V18/V11)</f>
        <v>76.0085597364844</v>
      </c>
      <c r="W37" s="62" t="n">
        <f aca="false">IF(W11=0,0,W18/W11)</f>
        <v>76.187632032573</v>
      </c>
      <c r="X37" s="62" t="n">
        <f aca="false">IF(X11=0,0,X18/X11)</f>
        <v>76.3671459692525</v>
      </c>
      <c r="Y37" s="62" t="n">
        <f aca="false">IF(Y11=0,0,Y18/Y11)</f>
        <v>76.5471026357277</v>
      </c>
      <c r="Z37" s="62" t="n">
        <f aca="false">IF(Z11=0,0,Z18/Z11)</f>
        <v>76.7275031238898</v>
      </c>
      <c r="AA37" s="62" t="n">
        <f aca="false">IF(AA11=0,0,AA18/AA11)</f>
        <v>76.9083485283228</v>
      </c>
      <c r="AB37" s="62" t="n">
        <f aca="false">IF(AB11=0,0,AB18/AB11)</f>
        <v>77.0896399463101</v>
      </c>
    </row>
    <row r="38" customFormat="false" ht="15" hidden="false" customHeight="true" outlineLevel="0" collapsed="false">
      <c r="A38" s="28" t="s">
        <v>683</v>
      </c>
      <c r="B38" s="55"/>
      <c r="C38" s="59" t="n">
        <f aca="false">IF(C13=0,0,-C14/C13)</f>
        <v>0.0846454067092094</v>
      </c>
      <c r="D38" s="59" t="n">
        <f aca="false">IF(D13=0,0,-D14/D13)</f>
        <v>0.085</v>
      </c>
      <c r="E38" s="58" t="n">
        <f aca="false">IF(E13=0,0,-E14/E13)</f>
        <v>0.0796061284703708</v>
      </c>
      <c r="F38" s="58" t="n">
        <f aca="false">IF(F13=0,0,-F14/F13)</f>
        <v>0.0882994059112446</v>
      </c>
      <c r="G38" s="58" t="n">
        <f aca="false">IF(G13=0,0,-G14/G13)</f>
        <v>0.086206263575122</v>
      </c>
      <c r="H38" s="58" t="n">
        <f aca="false">IF(H13=0,0,-H14/H13)</f>
        <v>0.0888642275202722</v>
      </c>
      <c r="I38" s="58" t="n">
        <f aca="false">IF(I13=0,0,-I14/I13)</f>
        <v>0.0764718670312129</v>
      </c>
      <c r="J38" s="58" t="n">
        <f aca="false">IF(J13=0,0,-J14/J13)</f>
        <v>0.082731533347999</v>
      </c>
      <c r="K38" s="58" t="n">
        <f aca="false">IF(K13=0,0,-K14/K13)</f>
        <v>0.091216182599977</v>
      </c>
      <c r="L38" s="58" t="n">
        <f aca="false">IF(L13=0,0,-L14/L13)</f>
        <v>0.0826995459865546</v>
      </c>
      <c r="M38" s="58" t="n">
        <f aca="false">IF(M13=0,0,-M14/M13)</f>
        <v>0.085</v>
      </c>
      <c r="N38" s="58" t="n">
        <f aca="false">IF(N13=0,0,-N14/N13)</f>
        <v>0.085</v>
      </c>
      <c r="O38" s="58" t="n">
        <f aca="false">IF(O13=0,0,-O14/O13)</f>
        <v>0.085</v>
      </c>
      <c r="P38" s="58" t="n">
        <f aca="false">IF(P13=0,0,-P14/P13)</f>
        <v>0.085</v>
      </c>
      <c r="Q38" s="58" t="n">
        <f aca="false">IF(Q13=0,0,-Q14/Q13)</f>
        <v>0.085</v>
      </c>
      <c r="R38" s="58" t="n">
        <f aca="false">IF(R13=0,0,-R14/R13)</f>
        <v>0.085</v>
      </c>
      <c r="S38" s="58" t="n">
        <f aca="false">IF(S13=0,0,-S14/S13)</f>
        <v>0.085</v>
      </c>
      <c r="T38" s="58" t="n">
        <f aca="false">IF(T13=0,0,-T14/T13)</f>
        <v>0.085</v>
      </c>
      <c r="U38" s="58" t="n">
        <f aca="false">IF(U13=0,0,-U14/U13)</f>
        <v>0.085</v>
      </c>
      <c r="V38" s="58" t="n">
        <f aca="false">IF(V13=0,0,-V14/V13)</f>
        <v>0.085</v>
      </c>
      <c r="W38" s="58" t="n">
        <f aca="false">IF(W13=0,0,-W14/W13)</f>
        <v>0.085</v>
      </c>
      <c r="X38" s="58" t="n">
        <f aca="false">IF(X13=0,0,-X14/X13)</f>
        <v>0.085</v>
      </c>
      <c r="Y38" s="58" t="n">
        <f aca="false">IF(Y13=0,0,-Y14/Y13)</f>
        <v>0.085</v>
      </c>
      <c r="Z38" s="58" t="n">
        <f aca="false">IF(Z13=0,0,-Z14/Z13)</f>
        <v>0.085</v>
      </c>
      <c r="AA38" s="58" t="n">
        <f aca="false">IF(AA13=0,0,-AA14/AA13)</f>
        <v>0.085</v>
      </c>
      <c r="AB38" s="58" t="n">
        <f aca="false">IF(AB13=0,0,-AB14/AB13)</f>
        <v>0.085</v>
      </c>
    </row>
    <row r="39" customFormat="false" ht="15" hidden="false" customHeight="true" outlineLevel="0" collapsed="false">
      <c r="A39" s="28" t="s">
        <v>684</v>
      </c>
      <c r="B39" s="55"/>
      <c r="C39" s="59" t="n">
        <f aca="false">IF(C13=0,0,-C15/C13)</f>
        <v>0.063489818914455</v>
      </c>
      <c r="D39" s="59" t="n">
        <f aca="false">IF(D13=0,0,-D15/D13)</f>
        <v>0.065</v>
      </c>
      <c r="E39" s="58" t="n">
        <f aca="false">IF(E13=0,0,-E15/E13)</f>
        <v>0.0611069638477125</v>
      </c>
      <c r="F39" s="58" t="n">
        <f aca="false">IF(F13=0,0,-F15/F13)</f>
        <v>0.0524125247548767</v>
      </c>
      <c r="G39" s="58" t="n">
        <f aca="false">IF(G13=0,0,-G15/G13)</f>
        <v>0.0577446315848948</v>
      </c>
      <c r="H39" s="58" t="n">
        <f aca="false">IF(H13=0,0,-H15/H13)</f>
        <v>0.0632089167839194</v>
      </c>
      <c r="I39" s="58" t="n">
        <f aca="false">IF(I13=0,0,-I15/I13)</f>
        <v>0.063421574204995</v>
      </c>
      <c r="J39" s="58" t="n">
        <f aca="false">IF(J13=0,0,-J15/J13)</f>
        <v>0.0637050871705518</v>
      </c>
      <c r="K39" s="58" t="n">
        <f aca="false">IF(K13=0,0,-K15/K13)</f>
        <v>0.0651040902166921</v>
      </c>
      <c r="L39" s="58" t="n">
        <f aca="false">IF(L13=0,0,-L15/L13)</f>
        <v>0.0704261151334264</v>
      </c>
      <c r="M39" s="58" t="n">
        <f aca="false">IF(M13=0,0,-M15/M13)</f>
        <v>0.065</v>
      </c>
      <c r="N39" s="58" t="n">
        <f aca="false">IF(N13=0,0,-N15/N13)</f>
        <v>0.065</v>
      </c>
      <c r="O39" s="58" t="n">
        <f aca="false">IF(O13=0,0,-O15/O13)</f>
        <v>0.065</v>
      </c>
      <c r="P39" s="58" t="n">
        <f aca="false">IF(P13=0,0,-P15/P13)</f>
        <v>0.065</v>
      </c>
      <c r="Q39" s="58" t="n">
        <f aca="false">IF(Q13=0,0,-Q15/Q13)</f>
        <v>0.065</v>
      </c>
      <c r="R39" s="58" t="n">
        <f aca="false">IF(R13=0,0,-R15/R13)</f>
        <v>0.065</v>
      </c>
      <c r="S39" s="58" t="n">
        <f aca="false">IF(S13=0,0,-S15/S13)</f>
        <v>0.065</v>
      </c>
      <c r="T39" s="58" t="n">
        <f aca="false">IF(T13=0,0,-T15/T13)</f>
        <v>0.065</v>
      </c>
      <c r="U39" s="58" t="n">
        <f aca="false">IF(U13=0,0,-U15/U13)</f>
        <v>0.065</v>
      </c>
      <c r="V39" s="58" t="n">
        <f aca="false">IF(V13=0,0,-V15/V13)</f>
        <v>0.065</v>
      </c>
      <c r="W39" s="58" t="n">
        <f aca="false">IF(W13=0,0,-W15/W13)</f>
        <v>0.065</v>
      </c>
      <c r="X39" s="58" t="n">
        <f aca="false">IF(X13=0,0,-X15/X13)</f>
        <v>0.065</v>
      </c>
      <c r="Y39" s="58" t="n">
        <f aca="false">IF(Y13=0,0,-Y15/Y13)</f>
        <v>0.065</v>
      </c>
      <c r="Z39" s="58" t="n">
        <f aca="false">IF(Z13=0,0,-Z15/Z13)</f>
        <v>0.065</v>
      </c>
      <c r="AA39" s="58" t="n">
        <f aca="false">IF(AA13=0,0,-AA15/AA13)</f>
        <v>0.065</v>
      </c>
      <c r="AB39" s="58" t="n">
        <f aca="false">IF(AB13=0,0,-AB15/AB13)</f>
        <v>0.065</v>
      </c>
    </row>
    <row r="40" customFormat="false" ht="15" hidden="false" customHeight="true" outlineLevel="0" collapsed="false">
      <c r="A40" s="28" t="s">
        <v>685</v>
      </c>
      <c r="B40" s="55"/>
      <c r="C40" s="59" t="n">
        <f aca="false">IF(C18=0,0,-C28/C18)</f>
        <v>0.165788349278536</v>
      </c>
      <c r="D40" s="59" t="n">
        <f aca="false">IF(D18=0,0,-D28/D18)</f>
        <v>0.162325060591523</v>
      </c>
      <c r="E40" s="58" t="n">
        <f aca="false">IF(E18=0,0,-E28/E18)</f>
        <v>0.161423670940103</v>
      </c>
      <c r="F40" s="58" t="n">
        <f aca="false">IF(F18=0,0,-F28/F18)</f>
        <v>0.163172203401443</v>
      </c>
      <c r="G40" s="58" t="n">
        <f aca="false">IF(G18=0,0,-G28/G18)</f>
        <v>0.166456856615131</v>
      </c>
      <c r="H40" s="58" t="n">
        <f aca="false">IF(H18=0,0,-H28/H18)</f>
        <v>0.16716713596293</v>
      </c>
      <c r="I40" s="58" t="n">
        <f aca="false">IF(I18=0,0,-I28/I18)</f>
        <v>0.163486606127412</v>
      </c>
      <c r="J40" s="58" t="n">
        <f aca="false">IF(J18=0,0,-J28/J18)</f>
        <v>0.167858400302436</v>
      </c>
      <c r="K40" s="58" t="n">
        <f aca="false">IF(K18=0,0,-K28/K18)</f>
        <v>0.172891526717573</v>
      </c>
      <c r="L40" s="58" t="n">
        <f aca="false">IF(L18=0,0,-L28/L18)</f>
        <v>0.167200875748849</v>
      </c>
      <c r="M40" s="58" t="n">
        <f aca="false">IF(M18=0,0,-M28/M18)</f>
        <v>0.165666821698475</v>
      </c>
      <c r="N40" s="58" t="n">
        <f aca="false">IF(N18=0,0,-N28/N18)</f>
        <v>0.165339010400074</v>
      </c>
      <c r="O40" s="58" t="n">
        <f aca="false">IF(O18=0,0,-O28/O18)</f>
        <v>0.165011932144726</v>
      </c>
      <c r="P40" s="58" t="n">
        <f aca="false">IF(P18=0,0,-P28/P18)</f>
        <v>0.164685585465312</v>
      </c>
      <c r="Q40" s="58" t="n">
        <f aca="false">IF(Q18=0,0,-Q28/Q18)</f>
        <v>0.164359968896841</v>
      </c>
      <c r="R40" s="58" t="n">
        <f aca="false">IF(R18=0,0,-R28/R18)</f>
        <v>0.164035080976447</v>
      </c>
      <c r="S40" s="58" t="n">
        <f aca="false">IF(S18=0,0,-S28/S18)</f>
        <v>0.163710920243393</v>
      </c>
      <c r="T40" s="58" t="n">
        <f aca="false">IF(T18=0,0,-T28/T18)</f>
        <v>0.163387485239073</v>
      </c>
      <c r="U40" s="58" t="n">
        <f aca="false">IF(U18=0,0,-U28/U18)</f>
        <v>0.16306477450701</v>
      </c>
      <c r="V40" s="58" t="n">
        <f aca="false">IF(V18=0,0,-V28/V18)</f>
        <v>0.162742786592858</v>
      </c>
      <c r="W40" s="58" t="n">
        <f aca="false">IF(W18=0,0,-W28/W18)</f>
        <v>0.162421520044403</v>
      </c>
      <c r="X40" s="58" t="n">
        <f aca="false">IF(X18=0,0,-X28/X18)</f>
        <v>0.162100973411564</v>
      </c>
      <c r="Y40" s="58" t="n">
        <f aca="false">IF(Y18=0,0,-Y28/Y18)</f>
        <v>0.161781145246393</v>
      </c>
      <c r="Z40" s="58" t="n">
        <f aca="false">IF(Z18=0,0,-Z28/Z18)</f>
        <v>0.161462034103075</v>
      </c>
      <c r="AA40" s="58" t="n">
        <f aca="false">IF(AA18=0,0,-AA28/AA18)</f>
        <v>0.161143638537931</v>
      </c>
      <c r="AB40" s="58" t="n">
        <f aca="false">IF(AB18=0,0,-AB28/AB18)</f>
        <v>0.160825957109417</v>
      </c>
    </row>
    <row r="41" customFormat="false" ht="15" hidden="false" customHeight="true" outlineLevel="0" collapsed="false">
      <c r="A41" s="28" t="s">
        <v>686</v>
      </c>
      <c r="B41" s="55"/>
      <c r="C41" s="59" t="n">
        <f aca="false">IF(C18=0,0,-C33/C18)</f>
        <v>0.187042926700462</v>
      </c>
      <c r="D41" s="59" t="n">
        <f aca="false">IF(D18=0,0,-D33/D18)</f>
        <v>0.19</v>
      </c>
      <c r="E41" s="58" t="n">
        <f aca="false">IF(E18=0,0,-E33/E18)</f>
        <v>0.168521475205109</v>
      </c>
      <c r="F41" s="58" t="n">
        <f aca="false">IF(F18=0,0,-F33/F18)</f>
        <v>0.176528941931029</v>
      </c>
      <c r="G41" s="58" t="n">
        <f aca="false">IF(G18=0,0,-G33/G18)</f>
        <v>0.190811831096137</v>
      </c>
      <c r="H41" s="58" t="n">
        <f aca="false">IF(H18=0,0,-H33/H18)</f>
        <v>0.178161571087306</v>
      </c>
      <c r="I41" s="58" t="n">
        <f aca="false">IF(I18=0,0,-I33/I18)</f>
        <v>0.179646932113994</v>
      </c>
      <c r="J41" s="58" t="n">
        <f aca="false">IF(J18=0,0,-J33/J18)</f>
        <v>0.186510775900534</v>
      </c>
      <c r="K41" s="58" t="n">
        <f aca="false">IF(K18=0,0,-K33/K18)</f>
        <v>0.195551186098522</v>
      </c>
      <c r="L41" s="58" t="n">
        <f aca="false">IF(L18=0,0,-L33/L18)</f>
        <v>0.200531410980095</v>
      </c>
      <c r="M41" s="58" t="n">
        <f aca="false">IF(M18=0,0,-M33/M18)</f>
        <v>0.19</v>
      </c>
      <c r="N41" s="58" t="n">
        <f aca="false">IF(N18=0,0,-N33/N18)</f>
        <v>0.19</v>
      </c>
      <c r="O41" s="58" t="n">
        <f aca="false">IF(O18=0,0,-O33/O18)</f>
        <v>0.19</v>
      </c>
      <c r="P41" s="58" t="n">
        <f aca="false">IF(P18=0,0,-P33/P18)</f>
        <v>0.19</v>
      </c>
      <c r="Q41" s="58" t="n">
        <f aca="false">IF(Q18=0,0,-Q33/Q18)</f>
        <v>0.19</v>
      </c>
      <c r="R41" s="58" t="n">
        <f aca="false">IF(R18=0,0,-R33/R18)</f>
        <v>0.19</v>
      </c>
      <c r="S41" s="58" t="n">
        <f aca="false">IF(S18=0,0,-S33/S18)</f>
        <v>0.19</v>
      </c>
      <c r="T41" s="58" t="n">
        <f aca="false">IF(T18=0,0,-T33/T18)</f>
        <v>0.19</v>
      </c>
      <c r="U41" s="58" t="n">
        <f aca="false">IF(U18=0,0,-U33/U18)</f>
        <v>0.19</v>
      </c>
      <c r="V41" s="58" t="n">
        <f aca="false">IF(V18=0,0,-V33/V18)</f>
        <v>0.19</v>
      </c>
      <c r="W41" s="58" t="n">
        <f aca="false">IF(W18=0,0,-W33/W18)</f>
        <v>0.19</v>
      </c>
      <c r="X41" s="58" t="n">
        <f aca="false">IF(X18=0,0,-X33/X18)</f>
        <v>0.19</v>
      </c>
      <c r="Y41" s="58" t="n">
        <f aca="false">IF(Y18=0,0,-Y33/Y18)</f>
        <v>0.19</v>
      </c>
      <c r="Z41" s="58" t="n">
        <f aca="false">IF(Z18=0,0,-Z33/Z18)</f>
        <v>0.19</v>
      </c>
      <c r="AA41" s="58" t="n">
        <f aca="false">IF(AA18=0,0,-AA33/AA18)</f>
        <v>0.19</v>
      </c>
      <c r="AB41" s="58" t="n">
        <f aca="false">IF(AB18=0,0,-AB33/AB18)</f>
        <v>0.19</v>
      </c>
    </row>
    <row r="42" customFormat="false" ht="15" hidden="false" customHeight="true" outlineLevel="0" collapsed="false">
      <c r="A42" s="28" t="s">
        <v>687</v>
      </c>
      <c r="B42" s="55" t="s">
        <v>688</v>
      </c>
      <c r="C42" s="61" t="n">
        <f aca="false">IF(C11=0,0,C34/C11)</f>
        <v>21.3407644435116</v>
      </c>
      <c r="D42" s="61" t="n">
        <f aca="false">IF(D11=0,0,D34/D11)</f>
        <v>21.8301999963372</v>
      </c>
      <c r="E42" s="62" t="n">
        <f aca="false">IF(E11=0,0,E34/E11)</f>
        <v>23.5120524781341</v>
      </c>
      <c r="F42" s="62" t="n">
        <f aca="false">IF(F11=0,0,F34/F11)</f>
        <v>23.0936593989393</v>
      </c>
      <c r="G42" s="62" t="n">
        <f aca="false">IF(G11=0,0,G34/G11)</f>
        <v>21.1120982599795</v>
      </c>
      <c r="H42" s="62" t="n">
        <f aca="false">IF(H11=0,0,H34/H11)</f>
        <v>21.8924536082474</v>
      </c>
      <c r="I42" s="62" t="n">
        <f aca="false">IF(I11=0,0,I34/I11)</f>
        <v>22.6389990859232</v>
      </c>
      <c r="J42" s="62" t="n">
        <f aca="false">IF(J11=0,0,J34/J11)</f>
        <v>20.5834519906323</v>
      </c>
      <c r="K42" s="62" t="n">
        <f aca="false">IF(K11=0,0,K34/K11)</f>
        <v>19.1707174887892</v>
      </c>
      <c r="L42" s="62" t="n">
        <f aca="false">IF(L11=0,0,L34/L11)</f>
        <v>19.9801971688574</v>
      </c>
      <c r="M42" s="62" t="n">
        <f aca="false">IF(M11=0,0,M34/M11)</f>
        <v>21.0897587521537</v>
      </c>
      <c r="N42" s="62" t="n">
        <f aca="false">IF(N11=0,0,N34/N11)</f>
        <v>21.1608208671863</v>
      </c>
      <c r="O42" s="62" t="n">
        <f aca="false">IF(O11=0,0,O34/O11)</f>
        <v>21.232058240565</v>
      </c>
      <c r="P42" s="62" t="n">
        <f aca="false">IF(P11=0,0,P34/P11)</f>
        <v>21.3034713045245</v>
      </c>
      <c r="Q42" s="62" t="n">
        <f aca="false">IF(Q11=0,0,Q34/Q11)</f>
        <v>21.3750604923649</v>
      </c>
      <c r="R42" s="62" t="n">
        <f aca="false">IF(R11=0,0,R34/R11)</f>
        <v>21.4468262384553</v>
      </c>
      <c r="S42" s="62" t="n">
        <f aca="false">IF(S11=0,0,S34/S11)</f>
        <v>21.5187689782359</v>
      </c>
      <c r="T42" s="62" t="n">
        <f aca="false">IF(T11=0,0,T34/T11)</f>
        <v>21.5908891482211</v>
      </c>
      <c r="U42" s="62" t="n">
        <f aca="false">IF(U11=0,0,U34/U11)</f>
        <v>21.6631871860014</v>
      </c>
      <c r="V42" s="62" t="n">
        <f aca="false">IF(V11=0,0,V34/V11)</f>
        <v>21.7356635302469</v>
      </c>
      <c r="W42" s="62" t="n">
        <f aca="false">IF(W11=0,0,W34/W11)</f>
        <v>21.8083186207094</v>
      </c>
      <c r="X42" s="62" t="n">
        <f aca="false">IF(X11=0,0,X34/X11)</f>
        <v>21.8811528982254</v>
      </c>
      <c r="Y42" s="62" t="n">
        <f aca="false">IF(Y11=0,0,Y34/Y11)</f>
        <v>21.9541668047184</v>
      </c>
      <c r="Z42" s="62" t="n">
        <f aca="false">IF(Z11=0,0,Z34/Z11)</f>
        <v>22.0273607832019</v>
      </c>
      <c r="AA42" s="62" t="n">
        <f aca="false">IF(AA11=0,0,AA34/AA11)</f>
        <v>22.100735277782</v>
      </c>
      <c r="AB42" s="62" t="n">
        <f aca="false">IF(AB11=0,0,AB34/AB11)</f>
        <v>22.1742907336602</v>
      </c>
    </row>
    <row r="43" customFormat="false" ht="15" hidden="false" customHeight="true" outlineLevel="0" collapsed="false">
      <c r="A43" s="28" t="s">
        <v>689</v>
      </c>
      <c r="B43" s="55" t="s">
        <v>690</v>
      </c>
      <c r="C43" s="56" t="n">
        <f aca="false">SUM(E43:P43)</f>
        <v>16060.7303269774</v>
      </c>
      <c r="D43" s="56" t="n">
        <f aca="false">SUM(Q43:AB43)</f>
        <v>19071.7952111023</v>
      </c>
      <c r="E43" s="57" t="n">
        <f aca="false">IF(E$5="A",Inputs_Actuals!E30,E11*Assumptions!$F$112)</f>
        <v>1027</v>
      </c>
      <c r="F43" s="57" t="n">
        <f aca="false">IF(F$5="A",Inputs_Actuals!F30,F11*Assumptions!$F$112)</f>
        <v>1008</v>
      </c>
      <c r="G43" s="57" t="n">
        <f aca="false">IF(G$5="A",Inputs_Actuals!G30,G11*Assumptions!$F$112)</f>
        <v>1156</v>
      </c>
      <c r="H43" s="57" t="n">
        <f aca="false">IF(H$5="A",Inputs_Actuals!H30,H11*Assumptions!$F$112)</f>
        <v>1102</v>
      </c>
      <c r="I43" s="57" t="n">
        <f aca="false">IF(I$5="A",Inputs_Actuals!I30,I11*Assumptions!$F$112)</f>
        <v>1332</v>
      </c>
      <c r="J43" s="57" t="n">
        <f aca="false">IF(J$5="A",Inputs_Actuals!J30,J11*Assumptions!$F$112)</f>
        <v>1325</v>
      </c>
      <c r="K43" s="57" t="n">
        <f aca="false">IF(K$5="A",Inputs_Actuals!K30,K11*Assumptions!$F$112)</f>
        <v>1140</v>
      </c>
      <c r="L43" s="57" t="n">
        <f aca="false">IF(L$5="A",Inputs_Actuals!L30,L11*Assumptions!$F$112)</f>
        <v>1127</v>
      </c>
      <c r="M43" s="57" t="n">
        <f aca="false">IF(M$5="A",Inputs_Actuals!M30,M11*Assumptions!$F$112)</f>
        <v>1299.86805869493</v>
      </c>
      <c r="N43" s="57" t="n">
        <f aca="false">IF(N$5="A",Inputs_Actuals!N30,N11*Assumptions!$F$112)</f>
        <v>1495.12930099272</v>
      </c>
      <c r="O43" s="57" t="n">
        <f aca="false">IF(O$5="A",Inputs_Actuals!O30,O11*Assumptions!$F$112)</f>
        <v>2144.44281491115</v>
      </c>
      <c r="P43" s="57" t="n">
        <f aca="false">IF(P$5="A",Inputs_Actuals!P30,P11*Assumptions!$F$112)</f>
        <v>1904.29015237862</v>
      </c>
      <c r="Q43" s="57" t="n">
        <f aca="false">IF(Q$5="A",Inputs_Actuals!Q30,Q11*Assumptions!$F$112)</f>
        <v>1206.56059873569</v>
      </c>
      <c r="R43" s="57" t="n">
        <f aca="false">IF(R$5="A",Inputs_Actuals!R30,R11*Assumptions!$F$112)</f>
        <v>1141.13579180531</v>
      </c>
      <c r="S43" s="57" t="n">
        <f aca="false">IF(S$5="A",Inputs_Actuals!S30,S11*Assumptions!$F$112)</f>
        <v>1305.22836209053</v>
      </c>
      <c r="T43" s="57" t="n">
        <f aca="false">IF(T$5="A",Inputs_Actuals!T30,T11*Assumptions!$F$112)</f>
        <v>1371.27195482685</v>
      </c>
      <c r="U43" s="57" t="n">
        <f aca="false">IF(U$5="A",Inputs_Actuals!U30,U11*Assumptions!$F$112)</f>
        <v>1469.14064366954</v>
      </c>
      <c r="V43" s="57" t="n">
        <f aca="false">IF(V$5="A",Inputs_Actuals!V30,V11*Assumptions!$F$112)</f>
        <v>1447.96330462113</v>
      </c>
      <c r="W43" s="57" t="n">
        <f aca="false">IF(W$5="A",Inputs_Actuals!W30,W11*Assumptions!$F$112)</f>
        <v>1394.67530952725</v>
      </c>
      <c r="X43" s="57" t="n">
        <f aca="false">IF(X$5="A",Inputs_Actuals!X30,X11*Assumptions!$F$112)</f>
        <v>1386.46824691358</v>
      </c>
      <c r="Y43" s="57" t="n">
        <f aca="false">IF(Y$5="A",Inputs_Actuals!Y30,Y11*Assumptions!$F$112)</f>
        <v>1585.83903160781</v>
      </c>
      <c r="Z43" s="57" t="n">
        <f aca="false">IF(Z$5="A",Inputs_Actuals!Z30,Z11*Assumptions!$F$112)</f>
        <v>1824.05774721112</v>
      </c>
      <c r="AA43" s="57" t="n">
        <f aca="false">IF(AA$5="A",Inputs_Actuals!AA30,AA11*Assumptions!$F$112)</f>
        <v>2616.2202341916</v>
      </c>
      <c r="AB43" s="57" t="n">
        <f aca="false">IF(AB$5="A",Inputs_Actuals!AB30,AB11*Assumptions!$F$112)</f>
        <v>2323.23398590191</v>
      </c>
    </row>
    <row r="44" customFormat="false" ht="15" hidden="false" customHeight="true" outlineLevel="0" collapsed="false">
      <c r="A44" s="28" t="s">
        <v>691</v>
      </c>
      <c r="B44" s="55"/>
      <c r="C44" s="61" t="n">
        <f aca="false">IF(C43=0,0,-C33/C43)</f>
        <v>23.306349726943</v>
      </c>
      <c r="D44" s="61" t="n">
        <f aca="false">IF(D43=0,0,-D33/D43)</f>
        <v>24.1431615681048</v>
      </c>
      <c r="E44" s="62" t="n">
        <f aca="false">IF(E43=0,0,-E33/E43)</f>
        <v>20.7604673807205</v>
      </c>
      <c r="F44" s="62" t="n">
        <f aca="false">IF(F43=0,0,-F33/F43)</f>
        <v>22.2896825396825</v>
      </c>
      <c r="G44" s="62" t="n">
        <f aca="false">IF(G43=0,0,-G33/G43)</f>
        <v>23.8088235294118</v>
      </c>
      <c r="H44" s="62" t="n">
        <f aca="false">IF(H43=0,0,-H33/H43)</f>
        <v>23.1306715063521</v>
      </c>
      <c r="I44" s="62" t="n">
        <f aca="false">IF(I43=0,0,-I33/I43)</f>
        <v>22.1996996996997</v>
      </c>
      <c r="J44" s="62" t="n">
        <f aca="false">IF(J43=0,0,-J33/J43)</f>
        <v>21.6890566037736</v>
      </c>
      <c r="K44" s="62" t="n">
        <f aca="false">IF(K43=0,0,-K33/K43)</f>
        <v>24.5877192982456</v>
      </c>
      <c r="L44" s="62" t="n">
        <f aca="false">IF(L43=0,0,-L33/L43)</f>
        <v>25.9662821650399</v>
      </c>
      <c r="M44" s="62" t="n">
        <f aca="false">IF(M43=0,0,-M33/M43)</f>
        <v>23.5652580918904</v>
      </c>
      <c r="N44" s="62" t="n">
        <f aca="false">IF(N43=0,0,-N33/N43)</f>
        <v>23.6207210251441</v>
      </c>
      <c r="O44" s="62" t="n">
        <f aca="false">IF(O43=0,0,-O33/O43)</f>
        <v>23.6763207449536</v>
      </c>
      <c r="P44" s="62" t="n">
        <f aca="false">IF(P43=0,0,-P33/P43)</f>
        <v>23.7320575886714</v>
      </c>
      <c r="Q44" s="62" t="n">
        <f aca="false">IF(Q43=0,0,-Q33/Q43)</f>
        <v>23.7879318944821</v>
      </c>
      <c r="R44" s="62" t="n">
        <f aca="false">IF(R43=0,0,-R33/R43)</f>
        <v>23.8439440014042</v>
      </c>
      <c r="S44" s="62" t="n">
        <f aca="false">IF(S43=0,0,-S33/S43)</f>
        <v>23.9000942492925</v>
      </c>
      <c r="T44" s="62" t="n">
        <f aca="false">IF(T43=0,0,-T33/T43)</f>
        <v>23.9563829788399</v>
      </c>
      <c r="U44" s="62" t="n">
        <f aca="false">IF(U43=0,0,-U33/U43)</f>
        <v>24.0128105315795</v>
      </c>
      <c r="V44" s="62" t="n">
        <f aca="false">IF(V43=0,0,-V33/V43)</f>
        <v>24.0693772498867</v>
      </c>
      <c r="W44" s="62" t="n">
        <f aca="false">IF(W43=0,0,-W33/W43)</f>
        <v>24.1260834769814</v>
      </c>
      <c r="X44" s="62" t="n">
        <f aca="false">IF(X43=0,0,-X33/X43)</f>
        <v>24.18292955693</v>
      </c>
      <c r="Y44" s="62" t="n">
        <f aca="false">IF(Y43=0,0,-Y33/Y43)</f>
        <v>24.2399158346471</v>
      </c>
      <c r="Z44" s="62" t="n">
        <f aca="false">IF(Z43=0,0,-Z33/Z43)</f>
        <v>24.2970426558984</v>
      </c>
      <c r="AA44" s="62" t="n">
        <f aca="false">IF(AA43=0,0,-AA33/AA43)</f>
        <v>24.3543103673022</v>
      </c>
      <c r="AB44" s="62" t="n">
        <f aca="false">IF(AB43=0,0,-AB33/AB43)</f>
        <v>24.4117193163315</v>
      </c>
    </row>
    <row r="46" customFormat="false" ht="15" hidden="false" customHeight="true" outlineLevel="0" collapsed="false">
      <c r="A46" s="22" t="s">
        <v>692</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row>
    <row r="47" customFormat="false" ht="15" hidden="false" customHeight="true" outlineLevel="0" collapsed="false">
      <c r="A47" s="28" t="s">
        <v>640</v>
      </c>
      <c r="B47" s="55" t="s">
        <v>641</v>
      </c>
      <c r="C47" s="113" t="n">
        <f aca="false">IFERROR(SUMIFS(Inputs_Actuals!$E$22:$AB$22,Assumptions!$E$62:$AB$62,"&gt;"&amp;(Assumptions!$C$10-Assumptions!$C$28),Assumptions!$E$62:$AB$62,"&lt;="&amp;Assumptions!$C$10)/SUMIFS(Assumptions!$E$69:$AB$69,Assumptions!$E$62:$AB$62,"&gt;"&amp;(Assumptions!$C$10-Assumptions!$C$28),Assumptions!$E$62:$AB$62,"&lt;="&amp;Assumptions!$C$10),0)</f>
        <v>2994.44444444444</v>
      </c>
    </row>
    <row r="48" customFormat="false" ht="15" hidden="false" customHeight="true" outlineLevel="0" collapsed="false">
      <c r="A48" s="28" t="s">
        <v>642</v>
      </c>
      <c r="B48" s="55" t="s">
        <v>643</v>
      </c>
      <c r="C48" s="56" t="n">
        <f aca="false">SUM(E48:P48)</f>
        <v>37599.9169804504</v>
      </c>
      <c r="D48" s="56" t="n">
        <f aca="false">SUM(Q48:AB48)</f>
        <v>46269.1915174843</v>
      </c>
      <c r="E48" s="57" t="n">
        <f aca="false">IF(E$5="A",Volume_Price!E70,Channel_PL!$C$47*Assumptions!E$69*(1+Assumptions!$F$79)^(Assumptions!E$68/12))</f>
        <v>2617</v>
      </c>
      <c r="F48" s="57" t="n">
        <f aca="false">IF(F$5="A",Volume_Price!F70,Channel_PL!$C$47*Assumptions!F$69*(1+Assumptions!$F$79)^(Assumptions!F$68/12))</f>
        <v>2256</v>
      </c>
      <c r="G48" s="57" t="n">
        <f aca="false">IF(G$5="A",Volume_Price!G70,Channel_PL!$C$47*Assumptions!G$69*(1+Assumptions!$F$79)^(Assumptions!G$68/12))</f>
        <v>2651</v>
      </c>
      <c r="H48" s="57" t="n">
        <f aca="false">IF(H$5="A",Volume_Price!H70,Channel_PL!$C$47*Assumptions!H$69*(1+Assumptions!$F$79)^(Assumptions!H$68/12))</f>
        <v>2876</v>
      </c>
      <c r="I48" s="57" t="n">
        <f aca="false">IF(I$5="A",Volume_Price!I70,Channel_PL!$C$47*Assumptions!I$69*(1+Assumptions!$F$79)^(Assumptions!I$68/12))</f>
        <v>3126</v>
      </c>
      <c r="J48" s="57" t="n">
        <f aca="false">IF(J$5="A",Volume_Price!J70,Channel_PL!$C$47*Assumptions!J$69*(1+Assumptions!$F$79)^(Assumptions!J$68/12))</f>
        <v>2858</v>
      </c>
      <c r="K48" s="57" t="n">
        <f aca="false">IF(K$5="A",Volume_Price!K70,Channel_PL!$C$47*Assumptions!K$69*(1+Assumptions!$F$79)^(Assumptions!K$68/12))</f>
        <v>2603</v>
      </c>
      <c r="L48" s="57" t="n">
        <f aca="false">IF(L$5="A",Volume_Price!L70,Channel_PL!$C$47*Assumptions!L$69*(1+Assumptions!$F$79)^(Assumptions!L$68/12))</f>
        <v>2573</v>
      </c>
      <c r="M48" s="57" t="n">
        <f aca="false">IF(M$5="A",Volume_Price!M70,Channel_PL!$C$47*Assumptions!M$69*(1+Assumptions!$F$79)^(Assumptions!M$68/12))</f>
        <v>3026.11632760712</v>
      </c>
      <c r="N48" s="57" t="n">
        <f aca="false">IF(N$5="A",Volume_Price!N70,Channel_PL!$C$47*Assumptions!N$69*(1+Assumptions!$F$79)^(Assumptions!N$68/12))</f>
        <v>3494.64134739048</v>
      </c>
      <c r="O48" s="57" t="n">
        <f aca="false">IF(O$5="A",Volume_Price!O70,Channel_PL!$C$47*Assumptions!O$69*(1+Assumptions!$F$79)^(Assumptions!O$68/12))</f>
        <v>5032.40794639588</v>
      </c>
      <c r="P48" s="57" t="n">
        <f aca="false">IF(P$5="A",Volume_Price!P70,Channel_PL!$C$47*Assumptions!P$69*(1+Assumptions!$F$79)^(Assumptions!P$68/12))</f>
        <v>4486.75135905694</v>
      </c>
      <c r="Q48" s="57" t="n">
        <f aca="false">IF(Q$5="A",Volume_Price!Q70,Channel_PL!$C$47*Assumptions!Q$69*(1+Assumptions!$F$79)^(Assumptions!Q$68/12))</f>
        <v>2854.20742779359</v>
      </c>
      <c r="R48" s="57" t="n">
        <f aca="false">IF(R$5="A",Volume_Price!R70,Channel_PL!$C$47*Assumptions!R$69*(1+Assumptions!$F$79)^(Assumptions!R$68/12))</f>
        <v>2710.26172486791</v>
      </c>
      <c r="S48" s="57" t="n">
        <f aca="false">IF(S$5="A",Volume_Price!S70,Channel_PL!$C$47*Assumptions!S$69*(1+Assumptions!$F$79)^(Assumptions!S$68/12))</f>
        <v>3112.41800132412</v>
      </c>
      <c r="T48" s="57" t="n">
        <f aca="false">IF(T$5="A",Volume_Price!T70,Channel_PL!$C$47*Assumptions!T$69*(1+Assumptions!$F$79)^(Assumptions!T$68/12))</f>
        <v>3283.01238990839</v>
      </c>
      <c r="U48" s="57" t="n">
        <f aca="false">IF(U$5="A",Volume_Price!U70,Channel_PL!$C$47*Assumptions!U$69*(1+Assumptions!$F$79)^(Assumptions!U$68/12))</f>
        <v>3531.42358369795</v>
      </c>
      <c r="V48" s="57" t="n">
        <f aca="false">IF(V$5="A",Volume_Price!V70,Channel_PL!$C$47*Assumptions!V$69*(1+Assumptions!$F$79)^(Assumptions!V$68/12))</f>
        <v>3494.47153149306</v>
      </c>
      <c r="W48" s="57" t="n">
        <f aca="false">IF(W$5="A",Volume_Price!W70,Channel_PL!$C$47*Assumptions!W$69*(1+Assumptions!$F$79)^(Assumptions!W$68/12))</f>
        <v>3379.36090120052</v>
      </c>
      <c r="X48" s="57" t="n">
        <f aca="false">IF(X$5="A",Volume_Price!X70,Channel_PL!$C$47*Assumptions!X$69*(1+Assumptions!$F$79)^(Assumptions!X$68/12))</f>
        <v>3372.94222222222</v>
      </c>
      <c r="Y48" s="57" t="n">
        <f aca="false">IF(Y$5="A",Volume_Price!Y70,Channel_PL!$C$47*Assumptions!Y$69*(1+Assumptions!$F$79)^(Assumptions!Y$68/12))</f>
        <v>3873.42889933712</v>
      </c>
      <c r="Z48" s="57" t="n">
        <f aca="false">IF(Z$5="A",Volume_Price!Z70,Channel_PL!$C$47*Assumptions!Z$69*(1+Assumptions!$F$79)^(Assumptions!Z$68/12))</f>
        <v>4473.14092465981</v>
      </c>
      <c r="AA48" s="57" t="n">
        <f aca="false">IF(AA$5="A",Volume_Price!AA70,Channel_PL!$C$47*Assumptions!AA$69*(1+Assumptions!$F$79)^(Assumptions!AA$68/12))</f>
        <v>6441.48217138673</v>
      </c>
      <c r="AB48" s="57" t="n">
        <f aca="false">IF(AB$5="A",Volume_Price!AB70,Channel_PL!$C$47*Assumptions!AB$69*(1+Assumptions!$F$79)^(Assumptions!AB$68/12))</f>
        <v>5743.04173959288</v>
      </c>
    </row>
    <row r="49" customFormat="false" ht="15" hidden="false" customHeight="true" outlineLevel="0" collapsed="false">
      <c r="A49" s="28" t="s">
        <v>644</v>
      </c>
      <c r="B49" s="55" t="s">
        <v>645</v>
      </c>
      <c r="C49" s="56" t="n">
        <f aca="false">SUM(E49:P49)</f>
        <v>32693.7538960438</v>
      </c>
      <c r="D49" s="56" t="n">
        <f aca="false">SUM(Q49:AB49)</f>
        <v>40234.0795804211</v>
      </c>
      <c r="E49" s="57" t="n">
        <f aca="false">IF(E$5="A",Inputs_Actuals!E16,E48/Assumptions!$F$91)</f>
        <v>2273</v>
      </c>
      <c r="F49" s="57" t="n">
        <f aca="false">IF(F$5="A",Inputs_Actuals!F16,F48/Assumptions!$F$91)</f>
        <v>1962</v>
      </c>
      <c r="G49" s="57" t="n">
        <f aca="false">IF(G$5="A",Inputs_Actuals!G16,G48/Assumptions!$F$91)</f>
        <v>2308</v>
      </c>
      <c r="H49" s="57" t="n">
        <f aca="false">IF(H$5="A",Inputs_Actuals!H16,H48/Assumptions!$F$91)</f>
        <v>2509</v>
      </c>
      <c r="I49" s="57" t="n">
        <f aca="false">IF(I$5="A",Inputs_Actuals!I16,I48/Assumptions!$F$91)</f>
        <v>2690</v>
      </c>
      <c r="J49" s="57" t="n">
        <f aca="false">IF(J$5="A",Inputs_Actuals!J16,J48/Assumptions!$F$91)</f>
        <v>2489</v>
      </c>
      <c r="K49" s="57" t="n">
        <f aca="false">IF(K$5="A",Inputs_Actuals!K16,K48/Assumptions!$F$91)</f>
        <v>2287</v>
      </c>
      <c r="L49" s="57" t="n">
        <f aca="false">IF(L$5="A",Inputs_Actuals!L16,L48/Assumptions!$F$91)</f>
        <v>2228</v>
      </c>
      <c r="M49" s="57" t="n">
        <f aca="false">IF(M$5="A",Inputs_Actuals!M16,M48/Assumptions!$F$91)</f>
        <v>2631.40550226706</v>
      </c>
      <c r="N49" s="57" t="n">
        <f aca="false">IF(N$5="A",Inputs_Actuals!N16,N48/Assumptions!$F$91)</f>
        <v>3038.81856294824</v>
      </c>
      <c r="O49" s="57" t="n">
        <f aca="false">IF(O$5="A",Inputs_Actuals!O16,O48/Assumptions!$F$91)</f>
        <v>4376.00690990946</v>
      </c>
      <c r="P49" s="57" t="n">
        <f aca="false">IF(P$5="A",Inputs_Actuals!P16,P48/Assumptions!$F$91)</f>
        <v>3901.52292091908</v>
      </c>
      <c r="Q49" s="57" t="n">
        <f aca="false">IF(Q$5="A",Inputs_Actuals!Q16,Q48/Assumptions!$F$91)</f>
        <v>2481.91950242921</v>
      </c>
      <c r="R49" s="57" t="n">
        <f aca="false">IF(R$5="A",Inputs_Actuals!R16,R48/Assumptions!$F$91)</f>
        <v>2356.74932597209</v>
      </c>
      <c r="S49" s="57" t="n">
        <f aca="false">IF(S$5="A",Inputs_Actuals!S16,S48/Assumptions!$F$91)</f>
        <v>2706.45043593401</v>
      </c>
      <c r="T49" s="57" t="n">
        <f aca="false">IF(T$5="A",Inputs_Actuals!T16,T48/Assumptions!$F$91)</f>
        <v>2854.79338252903</v>
      </c>
      <c r="U49" s="57" t="n">
        <f aca="false">IF(U$5="A",Inputs_Actuals!U16,U48/Assumptions!$F$91)</f>
        <v>3070.80311625908</v>
      </c>
      <c r="V49" s="57" t="n">
        <f aca="false">IF(V$5="A",Inputs_Actuals!V16,V48/Assumptions!$F$91)</f>
        <v>3038.67089695049</v>
      </c>
      <c r="W49" s="57" t="n">
        <f aca="false">IF(W$5="A",Inputs_Actuals!W16,W48/Assumptions!$F$91)</f>
        <v>2938.5746966961</v>
      </c>
      <c r="X49" s="57" t="n">
        <f aca="false">IF(X$5="A",Inputs_Actuals!X16,X48/Assumptions!$F$91)</f>
        <v>2932.99323671498</v>
      </c>
      <c r="Y49" s="57" t="n">
        <f aca="false">IF(Y$5="A",Inputs_Actuals!Y16,Y48/Assumptions!$F$91)</f>
        <v>3368.19904290184</v>
      </c>
      <c r="Z49" s="57" t="n">
        <f aca="false">IF(Z$5="A",Inputs_Actuals!Z16,Z48/Assumptions!$F$91)</f>
        <v>3889.68776057375</v>
      </c>
      <c r="AA49" s="57" t="n">
        <f aca="false">IF(AA$5="A",Inputs_Actuals!AA16,AA48/Assumptions!$F$91)</f>
        <v>5601.28884468411</v>
      </c>
      <c r="AB49" s="57" t="n">
        <f aca="false">IF(AB$5="A",Inputs_Actuals!AB16,AB48/Assumptions!$F$91)</f>
        <v>4993.94933877642</v>
      </c>
    </row>
    <row r="50" customFormat="false" ht="15" hidden="false" customHeight="true" outlineLevel="0" collapsed="false">
      <c r="A50" s="28" t="s">
        <v>646</v>
      </c>
      <c r="B50" s="55" t="s">
        <v>647</v>
      </c>
      <c r="C50" s="114" t="n">
        <f aca="false">AVERAGE(E50:P50)</f>
        <v>1.14995246975791</v>
      </c>
      <c r="D50" s="114" t="n">
        <f aca="false">AVERAGE(Q50:AB50)</f>
        <v>1.15</v>
      </c>
      <c r="E50" s="115" t="n">
        <f aca="false">IF(E49=0,0,E48/E49)</f>
        <v>1.15134183897932</v>
      </c>
      <c r="F50" s="115" t="n">
        <f aca="false">IF(F49=0,0,F48/F49)</f>
        <v>1.14984709480122</v>
      </c>
      <c r="G50" s="115" t="n">
        <f aca="false">IF(G49=0,0,G48/G49)</f>
        <v>1.14861351819757</v>
      </c>
      <c r="H50" s="115" t="n">
        <f aca="false">IF(H49=0,0,H48/H49)</f>
        <v>1.14627341570347</v>
      </c>
      <c r="I50" s="115" t="n">
        <f aca="false">IF(I49=0,0,I48/I49)</f>
        <v>1.16208178438662</v>
      </c>
      <c r="J50" s="115" t="n">
        <f aca="false">IF(J49=0,0,J48/J49)</f>
        <v>1.14825231016472</v>
      </c>
      <c r="K50" s="115" t="n">
        <f aca="false">IF(K49=0,0,K48/K49)</f>
        <v>1.13817227809357</v>
      </c>
      <c r="L50" s="115" t="n">
        <f aca="false">IF(L49=0,0,L48/L49)</f>
        <v>1.1548473967684</v>
      </c>
      <c r="M50" s="115" t="n">
        <f aca="false">IF(M49=0,0,M48/M49)</f>
        <v>1.15</v>
      </c>
      <c r="N50" s="115" t="n">
        <f aca="false">IF(N49=0,0,N48/N49)</f>
        <v>1.15</v>
      </c>
      <c r="O50" s="115" t="n">
        <f aca="false">IF(O49=0,0,O48/O49)</f>
        <v>1.15</v>
      </c>
      <c r="P50" s="115" t="n">
        <f aca="false">IF(P49=0,0,P48/P49)</f>
        <v>1.15</v>
      </c>
      <c r="Q50" s="115" t="n">
        <f aca="false">IF(Q49=0,0,Q48/Q49)</f>
        <v>1.15</v>
      </c>
      <c r="R50" s="115" t="n">
        <f aca="false">IF(R49=0,0,R48/R49)</f>
        <v>1.15</v>
      </c>
      <c r="S50" s="115" t="n">
        <f aca="false">IF(S49=0,0,S48/S49)</f>
        <v>1.15</v>
      </c>
      <c r="T50" s="115" t="n">
        <f aca="false">IF(T49=0,0,T48/T49)</f>
        <v>1.15</v>
      </c>
      <c r="U50" s="115" t="n">
        <f aca="false">IF(U49=0,0,U48/U49)</f>
        <v>1.15</v>
      </c>
      <c r="V50" s="115" t="n">
        <f aca="false">IF(V49=0,0,V48/V49)</f>
        <v>1.15</v>
      </c>
      <c r="W50" s="115" t="n">
        <f aca="false">IF(W49=0,0,W48/W49)</f>
        <v>1.15</v>
      </c>
      <c r="X50" s="115" t="n">
        <f aca="false">IF(X49=0,0,X48/X49)</f>
        <v>1.15</v>
      </c>
      <c r="Y50" s="115" t="n">
        <f aca="false">IF(Y49=0,0,Y48/Y49)</f>
        <v>1.15</v>
      </c>
      <c r="Z50" s="115" t="n">
        <f aca="false">IF(Z49=0,0,Z48/Z49)</f>
        <v>1.15</v>
      </c>
      <c r="AA50" s="115" t="n">
        <f aca="false">IF(AA49=0,0,AA48/AA49)</f>
        <v>1.15</v>
      </c>
      <c r="AB50" s="115" t="n">
        <f aca="false">IF(AB49=0,0,AB48/AB49)</f>
        <v>1.15</v>
      </c>
    </row>
    <row r="51" customFormat="false" ht="15" hidden="false" customHeight="true" outlineLevel="0" collapsed="false">
      <c r="A51" s="28" t="s">
        <v>648</v>
      </c>
      <c r="B51" s="55" t="s">
        <v>68</v>
      </c>
      <c r="C51" s="56" t="n">
        <f aca="false">SUM(E51:P51)</f>
        <v>2055315.6539936</v>
      </c>
      <c r="D51" s="56" t="n">
        <f aca="false">SUM(Q51:AB51)</f>
        <v>2572317.05933191</v>
      </c>
      <c r="E51" s="57" t="n">
        <f aca="false">Volume_Price!E92</f>
        <v>142665.07</v>
      </c>
      <c r="F51" s="57" t="n">
        <f aca="false">Volume_Price!F92</f>
        <v>123842.38</v>
      </c>
      <c r="G51" s="57" t="n">
        <f aca="false">Volume_Price!G92</f>
        <v>145203.34</v>
      </c>
      <c r="H51" s="57" t="n">
        <f aca="false">Volume_Price!H92</f>
        <v>156504.46</v>
      </c>
      <c r="I51" s="57" t="n">
        <f aca="false">Volume_Price!I92</f>
        <v>171801.28</v>
      </c>
      <c r="J51" s="57" t="n">
        <f aca="false">Volume_Price!J92</f>
        <v>157650.56</v>
      </c>
      <c r="K51" s="57" t="n">
        <f aca="false">Volume_Price!K92</f>
        <v>139652.11</v>
      </c>
      <c r="L51" s="57" t="n">
        <f aca="false">Volume_Price!L92</f>
        <v>138915.86</v>
      </c>
      <c r="M51" s="57" t="n">
        <f aca="false">Volume_Price!M92</f>
        <v>165388.094648203</v>
      </c>
      <c r="N51" s="57" t="n">
        <f aca="false">Volume_Price!N92</f>
        <v>191310.108112019</v>
      </c>
      <c r="O51" s="57" t="n">
        <f aca="false">Volume_Price!O92</f>
        <v>275948.365844974</v>
      </c>
      <c r="P51" s="57" t="n">
        <f aca="false">Volume_Price!P92</f>
        <v>246434.025388408</v>
      </c>
      <c r="Q51" s="57" t="n">
        <f aca="false">Volume_Price!Q92</f>
        <v>157025.751685866</v>
      </c>
      <c r="R51" s="57" t="n">
        <f aca="false">Volume_Price!R92</f>
        <v>149352.76318506</v>
      </c>
      <c r="S51" s="57" t="n">
        <f aca="false">Volume_Price!S92</f>
        <v>171797.416852831</v>
      </c>
      <c r="T51" s="57" t="n">
        <f aca="false">Volume_Price!T92</f>
        <v>181513.074801009</v>
      </c>
      <c r="U51" s="57" t="n">
        <f aca="false">Volume_Price!U92</f>
        <v>195569.842487305</v>
      </c>
      <c r="V51" s="57" t="n">
        <f aca="false">Volume_Price!V92</f>
        <v>193843.06167369</v>
      </c>
      <c r="W51" s="57" t="n">
        <f aca="false">Volume_Price!W92</f>
        <v>187767.321003251</v>
      </c>
      <c r="X51" s="57" t="n">
        <f aca="false">Volume_Price!X92</f>
        <v>187720.204124853</v>
      </c>
      <c r="Y51" s="57" t="n">
        <f aca="false">Volume_Price!Y92</f>
        <v>215930.696372694</v>
      </c>
      <c r="Z51" s="57" t="n">
        <f aca="false">Volume_Price!Z92</f>
        <v>249774.477151051</v>
      </c>
      <c r="AA51" s="57" t="n">
        <f aca="false">Volume_Price!AA92</f>
        <v>360278.186447198</v>
      </c>
      <c r="AB51" s="57" t="n">
        <f aca="false">Volume_Price!AB92</f>
        <v>321744.263547105</v>
      </c>
    </row>
    <row r="52" customFormat="false" ht="15" hidden="false" customHeight="true" outlineLevel="0" collapsed="false">
      <c r="A52" s="28" t="s">
        <v>649</v>
      </c>
      <c r="B52" s="55" t="s">
        <v>650</v>
      </c>
      <c r="C52" s="56" t="n">
        <f aca="false">SUM(E52:P52)</f>
        <v>-81858.2237597441</v>
      </c>
      <c r="D52" s="56" t="n">
        <f aca="false">SUM(Q52:AB52)</f>
        <v>-102892.682373276</v>
      </c>
      <c r="E52" s="57" t="n">
        <f aca="false">-IF(E$5="A",Inputs_Actuals!E52,Assumptions!$F$85*E51)</f>
        <v>-5030</v>
      </c>
      <c r="F52" s="57" t="n">
        <f aca="false">-IF(F$5="A",Inputs_Actuals!F52,Assumptions!$F$85*F51)</f>
        <v>-5358</v>
      </c>
      <c r="G52" s="57" t="n">
        <f aca="false">-IF(G$5="A",Inputs_Actuals!G52,Assumptions!$F$85*G51)</f>
        <v>-6412</v>
      </c>
      <c r="H52" s="57" t="n">
        <f aca="false">-IF(H$5="A",Inputs_Actuals!H52,Assumptions!$F$85*H51)</f>
        <v>-5829</v>
      </c>
      <c r="I52" s="57" t="n">
        <f aca="false">-IF(I$5="A",Inputs_Actuals!I52,Assumptions!$F$85*I51)</f>
        <v>-7505</v>
      </c>
      <c r="J52" s="57" t="n">
        <f aca="false">-IF(J$5="A",Inputs_Actuals!J52,Assumptions!$F$85*J51)</f>
        <v>-6226</v>
      </c>
      <c r="K52" s="57" t="n">
        <f aca="false">-IF(K$5="A",Inputs_Actuals!K52,Assumptions!$F$85*K51)</f>
        <v>-4869</v>
      </c>
      <c r="L52" s="57" t="n">
        <f aca="false">-IF(L$5="A",Inputs_Actuals!L52,Assumptions!$F$85*L51)</f>
        <v>-5466</v>
      </c>
      <c r="M52" s="57" t="n">
        <f aca="false">-IF(M$5="A",Inputs_Actuals!M52,Assumptions!$F$85*M51)</f>
        <v>-6615.52378592811</v>
      </c>
      <c r="N52" s="57" t="n">
        <f aca="false">-IF(N$5="A",Inputs_Actuals!N52,Assumptions!$F$85*N51)</f>
        <v>-7652.40432448074</v>
      </c>
      <c r="O52" s="57" t="n">
        <f aca="false">-IF(O$5="A",Inputs_Actuals!O52,Assumptions!$F$85*O51)</f>
        <v>-11037.934633799</v>
      </c>
      <c r="P52" s="57" t="n">
        <f aca="false">-IF(P$5="A",Inputs_Actuals!P52,Assumptions!$F$85*P51)</f>
        <v>-9857.36101553631</v>
      </c>
      <c r="Q52" s="57" t="n">
        <f aca="false">-IF(Q$5="A",Inputs_Actuals!Q52,Assumptions!$F$85*Q51)</f>
        <v>-6281.03006743462</v>
      </c>
      <c r="R52" s="57" t="n">
        <f aca="false">-IF(R$5="A",Inputs_Actuals!R52,Assumptions!$F$85*R51)</f>
        <v>-5974.11052740238</v>
      </c>
      <c r="S52" s="57" t="n">
        <f aca="false">-IF(S$5="A",Inputs_Actuals!S52,Assumptions!$F$85*S51)</f>
        <v>-6871.89667411323</v>
      </c>
      <c r="T52" s="57" t="n">
        <f aca="false">-IF(T$5="A",Inputs_Actuals!T52,Assumptions!$F$85*T51)</f>
        <v>-7260.52299204035</v>
      </c>
      <c r="U52" s="57" t="n">
        <f aca="false">-IF(U$5="A",Inputs_Actuals!U52,Assumptions!$F$85*U51)</f>
        <v>-7822.7936994922</v>
      </c>
      <c r="V52" s="57" t="n">
        <f aca="false">-IF(V$5="A",Inputs_Actuals!V52,Assumptions!$F$85*V51)</f>
        <v>-7753.72246694759</v>
      </c>
      <c r="W52" s="57" t="n">
        <f aca="false">-IF(W$5="A",Inputs_Actuals!W52,Assumptions!$F$85*W51)</f>
        <v>-7510.69284013005</v>
      </c>
      <c r="X52" s="57" t="n">
        <f aca="false">-IF(X$5="A",Inputs_Actuals!X52,Assumptions!$F$85*X51)</f>
        <v>-7508.80816499414</v>
      </c>
      <c r="Y52" s="57" t="n">
        <f aca="false">-IF(Y$5="A",Inputs_Actuals!Y52,Assumptions!$F$85*Y51)</f>
        <v>-8637.22785490774</v>
      </c>
      <c r="Z52" s="57" t="n">
        <f aca="false">-IF(Z$5="A",Inputs_Actuals!Z52,Assumptions!$F$85*Z51)</f>
        <v>-9990.97908604205</v>
      </c>
      <c r="AA52" s="57" t="n">
        <f aca="false">-IF(AA$5="A",Inputs_Actuals!AA52,Assumptions!$F$85*AA51)</f>
        <v>-14411.1274578879</v>
      </c>
      <c r="AB52" s="57" t="n">
        <f aca="false">-IF(AB$5="A",Inputs_Actuals!AB52,Assumptions!$F$85*AB51)</f>
        <v>-12869.7705418842</v>
      </c>
    </row>
    <row r="53" customFormat="false" ht="15" hidden="false" customHeight="true" outlineLevel="0" collapsed="false">
      <c r="A53" s="28" t="s">
        <v>651</v>
      </c>
      <c r="B53" s="55" t="s">
        <v>650</v>
      </c>
      <c r="C53" s="56" t="n">
        <f aca="false">SUM(E53:P53)</f>
        <v>-151560.04454952</v>
      </c>
      <c r="D53" s="56" t="n">
        <f aca="false">SUM(Q53:AB53)</f>
        <v>-192923.779449893</v>
      </c>
      <c r="E53" s="57" t="n">
        <f aca="false">-IF(E$5="A",Inputs_Actuals!E53,Assumptions!$F$88*E51)</f>
        <v>-10635</v>
      </c>
      <c r="F53" s="57" t="n">
        <f aca="false">-IF(F$5="A",Inputs_Actuals!F53,Assumptions!$F$88*F51)</f>
        <v>-10237</v>
      </c>
      <c r="G53" s="57" t="n">
        <f aca="false">-IF(G$5="A",Inputs_Actuals!G53,Assumptions!$F$88*G51)</f>
        <v>-10867</v>
      </c>
      <c r="H53" s="57" t="n">
        <f aca="false">-IF(H$5="A",Inputs_Actuals!H53,Assumptions!$F$88*H51)</f>
        <v>-10344</v>
      </c>
      <c r="I53" s="57" t="n">
        <f aca="false">-IF(I$5="A",Inputs_Actuals!I53,Assumptions!$F$88*I51)</f>
        <v>-11721</v>
      </c>
      <c r="J53" s="57" t="n">
        <f aca="false">-IF(J$5="A",Inputs_Actuals!J53,Assumptions!$F$88*J51)</f>
        <v>-11808</v>
      </c>
      <c r="K53" s="57" t="n">
        <f aca="false">-IF(K$5="A",Inputs_Actuals!K53,Assumptions!$F$88*K51)</f>
        <v>-9056</v>
      </c>
      <c r="L53" s="57" t="n">
        <f aca="false">-IF(L$5="A",Inputs_Actuals!L53,Assumptions!$F$88*L51)</f>
        <v>-10961</v>
      </c>
      <c r="M53" s="57" t="n">
        <f aca="false">-IF(M$5="A",Inputs_Actuals!M53,Assumptions!$F$88*M51)</f>
        <v>-12404.1070986152</v>
      </c>
      <c r="N53" s="57" t="n">
        <f aca="false">-IF(N$5="A",Inputs_Actuals!N53,Assumptions!$F$88*N51)</f>
        <v>-14348.2581084014</v>
      </c>
      <c r="O53" s="57" t="n">
        <f aca="false">-IF(O$5="A",Inputs_Actuals!O53,Assumptions!$F$88*O51)</f>
        <v>-20696.1274383731</v>
      </c>
      <c r="P53" s="57" t="n">
        <f aca="false">-IF(P$5="A",Inputs_Actuals!P53,Assumptions!$F$88*P51)</f>
        <v>-18482.5519041306</v>
      </c>
      <c r="Q53" s="57" t="n">
        <f aca="false">-IF(Q$5="A",Inputs_Actuals!Q53,Assumptions!$F$88*Q51)</f>
        <v>-11776.9313764399</v>
      </c>
      <c r="R53" s="57" t="n">
        <f aca="false">-IF(R$5="A",Inputs_Actuals!R53,Assumptions!$F$88*R51)</f>
        <v>-11201.4572388795</v>
      </c>
      <c r="S53" s="57" t="n">
        <f aca="false">-IF(S$5="A",Inputs_Actuals!S53,Assumptions!$F$88*S51)</f>
        <v>-12884.8062639623</v>
      </c>
      <c r="T53" s="57" t="n">
        <f aca="false">-IF(T$5="A",Inputs_Actuals!T53,Assumptions!$F$88*T51)</f>
        <v>-13613.4806100757</v>
      </c>
      <c r="U53" s="57" t="n">
        <f aca="false">-IF(U$5="A",Inputs_Actuals!U53,Assumptions!$F$88*U51)</f>
        <v>-14667.7381865479</v>
      </c>
      <c r="V53" s="57" t="n">
        <f aca="false">-IF(V$5="A",Inputs_Actuals!V53,Assumptions!$F$88*V51)</f>
        <v>-14538.2296255267</v>
      </c>
      <c r="W53" s="57" t="n">
        <f aca="false">-IF(W$5="A",Inputs_Actuals!W53,Assumptions!$F$88*W51)</f>
        <v>-14082.5490752438</v>
      </c>
      <c r="X53" s="57" t="n">
        <f aca="false">-IF(X$5="A",Inputs_Actuals!X53,Assumptions!$F$88*X51)</f>
        <v>-14079.015309364</v>
      </c>
      <c r="Y53" s="57" t="n">
        <f aca="false">-IF(Y$5="A",Inputs_Actuals!Y53,Assumptions!$F$88*Y51)</f>
        <v>-16194.802227952</v>
      </c>
      <c r="Z53" s="57" t="n">
        <f aca="false">-IF(Z$5="A",Inputs_Actuals!Z53,Assumptions!$F$88*Z51)</f>
        <v>-18733.0857863289</v>
      </c>
      <c r="AA53" s="57" t="n">
        <f aca="false">-IF(AA$5="A",Inputs_Actuals!AA53,Assumptions!$F$88*AA51)</f>
        <v>-27020.8639835399</v>
      </c>
      <c r="AB53" s="57" t="n">
        <f aca="false">-IF(AB$5="A",Inputs_Actuals!AB53,Assumptions!$F$88*AB51)</f>
        <v>-24130.8197660329</v>
      </c>
    </row>
    <row r="54" customFormat="false" ht="15" hidden="false" customHeight="true" outlineLevel="0" collapsed="false">
      <c r="A54" s="28" t="s">
        <v>652</v>
      </c>
      <c r="B54" s="55" t="s">
        <v>653</v>
      </c>
      <c r="C54" s="56" t="n">
        <f aca="false">SUM(E54:P54)</f>
        <v>1821897.38568434</v>
      </c>
      <c r="D54" s="56" t="n">
        <f aca="false">SUM(Q54:AB54)</f>
        <v>2276500.59750874</v>
      </c>
      <c r="E54" s="69" t="n">
        <f aca="false">E51+E52+E53</f>
        <v>127000.07</v>
      </c>
      <c r="F54" s="69" t="n">
        <f aca="false">F51+F52+F53</f>
        <v>108247.38</v>
      </c>
      <c r="G54" s="69" t="n">
        <f aca="false">G51+G52+G53</f>
        <v>127924.34</v>
      </c>
      <c r="H54" s="69" t="n">
        <f aca="false">H51+H52+H53</f>
        <v>140331.46</v>
      </c>
      <c r="I54" s="69" t="n">
        <f aca="false">I51+I52+I53</f>
        <v>152575.28</v>
      </c>
      <c r="J54" s="69" t="n">
        <f aca="false">J51+J52+J53</f>
        <v>139616.56</v>
      </c>
      <c r="K54" s="69" t="n">
        <f aca="false">K51+K52+K53</f>
        <v>125727.11</v>
      </c>
      <c r="L54" s="69" t="n">
        <f aca="false">L51+L52+L53</f>
        <v>122488.86</v>
      </c>
      <c r="M54" s="69" t="n">
        <f aca="false">M51+M52+M53</f>
        <v>146368.463763659</v>
      </c>
      <c r="N54" s="69" t="n">
        <f aca="false">N51+N52+N53</f>
        <v>169309.445679136</v>
      </c>
      <c r="O54" s="69" t="n">
        <f aca="false">O51+O52+O53</f>
        <v>244214.303772802</v>
      </c>
      <c r="P54" s="69" t="n">
        <f aca="false">P51+P52+P53</f>
        <v>218094.112468741</v>
      </c>
      <c r="Q54" s="69" t="n">
        <f aca="false">Q51+Q52+Q53</f>
        <v>138967.790241991</v>
      </c>
      <c r="R54" s="69" t="n">
        <f aca="false">R51+R52+R53</f>
        <v>132177.195418778</v>
      </c>
      <c r="S54" s="69" t="n">
        <f aca="false">S51+S52+S53</f>
        <v>152040.713914755</v>
      </c>
      <c r="T54" s="69" t="n">
        <f aca="false">T51+T52+T53</f>
        <v>160639.071198893</v>
      </c>
      <c r="U54" s="69" t="n">
        <f aca="false">U51+U52+U53</f>
        <v>173079.310601265</v>
      </c>
      <c r="V54" s="69" t="n">
        <f aca="false">V51+V52+V53</f>
        <v>171551.109581215</v>
      </c>
      <c r="W54" s="69" t="n">
        <f aca="false">W51+W52+W53</f>
        <v>166174.079087877</v>
      </c>
      <c r="X54" s="69" t="n">
        <f aca="false">X51+X52+X53</f>
        <v>166132.380650495</v>
      </c>
      <c r="Y54" s="69" t="n">
        <f aca="false">Y51+Y52+Y53</f>
        <v>191098.666289834</v>
      </c>
      <c r="Z54" s="69" t="n">
        <f aca="false">Z51+Z52+Z53</f>
        <v>221050.41227868</v>
      </c>
      <c r="AA54" s="69" t="n">
        <f aca="false">AA51+AA52+AA53</f>
        <v>318846.195005771</v>
      </c>
      <c r="AB54" s="69" t="n">
        <f aca="false">AB51+AB52+AB53</f>
        <v>284743.673239188</v>
      </c>
    </row>
    <row r="55" customFormat="false" ht="15" hidden="false" customHeight="true" outlineLevel="0" collapsed="false">
      <c r="A55" s="70" t="s">
        <v>312</v>
      </c>
      <c r="B55" s="71" t="s">
        <v>693</v>
      </c>
      <c r="C55" s="72" t="n">
        <f aca="false">SUM(E55:P55)</f>
        <v>1821897.38568434</v>
      </c>
      <c r="D55" s="72" t="n">
        <f aca="false">SUM(Q55:AB55)</f>
        <v>2276500.59750874</v>
      </c>
      <c r="E55" s="72" t="n">
        <f aca="false">E54</f>
        <v>127000.07</v>
      </c>
      <c r="F55" s="72" t="n">
        <f aca="false">F54</f>
        <v>108247.38</v>
      </c>
      <c r="G55" s="72" t="n">
        <f aca="false">G54</f>
        <v>127924.34</v>
      </c>
      <c r="H55" s="72" t="n">
        <f aca="false">H54</f>
        <v>140331.46</v>
      </c>
      <c r="I55" s="72" t="n">
        <f aca="false">I54</f>
        <v>152575.28</v>
      </c>
      <c r="J55" s="72" t="n">
        <f aca="false">J54</f>
        <v>139616.56</v>
      </c>
      <c r="K55" s="72" t="n">
        <f aca="false">K54</f>
        <v>125727.11</v>
      </c>
      <c r="L55" s="72" t="n">
        <f aca="false">L54</f>
        <v>122488.86</v>
      </c>
      <c r="M55" s="72" t="n">
        <f aca="false">M54</f>
        <v>146368.463763659</v>
      </c>
      <c r="N55" s="72" t="n">
        <f aca="false">N54</f>
        <v>169309.445679136</v>
      </c>
      <c r="O55" s="72" t="n">
        <f aca="false">O54</f>
        <v>244214.303772802</v>
      </c>
      <c r="P55" s="72" t="n">
        <f aca="false">P54</f>
        <v>218094.112468741</v>
      </c>
      <c r="Q55" s="72" t="n">
        <f aca="false">Q54</f>
        <v>138967.790241991</v>
      </c>
      <c r="R55" s="72" t="n">
        <f aca="false">R54</f>
        <v>132177.195418778</v>
      </c>
      <c r="S55" s="72" t="n">
        <f aca="false">S54</f>
        <v>152040.713914755</v>
      </c>
      <c r="T55" s="72" t="n">
        <f aca="false">T54</f>
        <v>160639.071198893</v>
      </c>
      <c r="U55" s="72" t="n">
        <f aca="false">U54</f>
        <v>173079.310601265</v>
      </c>
      <c r="V55" s="72" t="n">
        <f aca="false">V54</f>
        <v>171551.109581215</v>
      </c>
      <c r="W55" s="72" t="n">
        <f aca="false">W54</f>
        <v>166174.079087877</v>
      </c>
      <c r="X55" s="72" t="n">
        <f aca="false">X54</f>
        <v>166132.380650495</v>
      </c>
      <c r="Y55" s="72" t="n">
        <f aca="false">Y54</f>
        <v>191098.666289834</v>
      </c>
      <c r="Z55" s="72" t="n">
        <f aca="false">Z54</f>
        <v>221050.41227868</v>
      </c>
      <c r="AA55" s="72" t="n">
        <f aca="false">AA54</f>
        <v>318846.195005771</v>
      </c>
      <c r="AB55" s="72" t="n">
        <f aca="false">AB54</f>
        <v>284743.673239188</v>
      </c>
    </row>
    <row r="56" customFormat="false" ht="15" hidden="false" customHeight="true" outlineLevel="0" collapsed="false">
      <c r="A56" s="28" t="s">
        <v>657</v>
      </c>
      <c r="B56" s="55" t="s">
        <v>658</v>
      </c>
      <c r="C56" s="56" t="n">
        <f aca="false">SUM(E56:P56)</f>
        <v>2816.99377353378</v>
      </c>
      <c r="D56" s="56" t="n">
        <f aca="false">SUM(Q56:AB56)</f>
        <v>3470.18936381132</v>
      </c>
      <c r="E56" s="57" t="n">
        <f aca="false">IF(E$5="A",Inputs_Actuals!E54,E48*Assumptions!$F$88)</f>
        <v>189</v>
      </c>
      <c r="F56" s="57" t="n">
        <f aca="false">IF(F$5="A",Inputs_Actuals!F54,F48*Assumptions!$F$88)</f>
        <v>191</v>
      </c>
      <c r="G56" s="57" t="n">
        <f aca="false">IF(G$5="A",Inputs_Actuals!G54,G48*Assumptions!$F$88)</f>
        <v>211</v>
      </c>
      <c r="H56" s="57" t="n">
        <f aca="false">IF(H$5="A",Inputs_Actuals!H54,H48*Assumptions!$F$88)</f>
        <v>191</v>
      </c>
      <c r="I56" s="57" t="n">
        <f aca="false">IF(I$5="A",Inputs_Actuals!I54,I48*Assumptions!$F$88)</f>
        <v>219</v>
      </c>
      <c r="J56" s="57" t="n">
        <f aca="false">IF(J$5="A",Inputs_Actuals!J54,J48*Assumptions!$F$88)</f>
        <v>222</v>
      </c>
      <c r="K56" s="57" t="n">
        <f aca="false">IF(K$5="A",Inputs_Actuals!K54,K48*Assumptions!$F$88)</f>
        <v>180</v>
      </c>
      <c r="L56" s="57" t="n">
        <f aca="false">IF(L$5="A",Inputs_Actuals!L54,L48*Assumptions!$F$88)</f>
        <v>211</v>
      </c>
      <c r="M56" s="57" t="n">
        <f aca="false">IF(M$5="A",Inputs_Actuals!M54,M48*Assumptions!$F$88)</f>
        <v>226.958724570534</v>
      </c>
      <c r="N56" s="57" t="n">
        <f aca="false">IF(N$5="A",Inputs_Actuals!N54,N48*Assumptions!$F$88)</f>
        <v>262.098101054286</v>
      </c>
      <c r="O56" s="57" t="n">
        <f aca="false">IF(O$5="A",Inputs_Actuals!O54,O48*Assumptions!$F$88)</f>
        <v>377.430595979691</v>
      </c>
      <c r="P56" s="57" t="n">
        <f aca="false">IF(P$5="A",Inputs_Actuals!P54,P48*Assumptions!$F$88)</f>
        <v>336.506351929271</v>
      </c>
      <c r="Q56" s="57" t="n">
        <f aca="false">IF(Q$5="A",Inputs_Actuals!Q54,Q48*Assumptions!$F$88)</f>
        <v>214.065557084519</v>
      </c>
      <c r="R56" s="57" t="n">
        <f aca="false">IF(R$5="A",Inputs_Actuals!R54,R48*Assumptions!$F$88)</f>
        <v>203.269629365093</v>
      </c>
      <c r="S56" s="57" t="n">
        <f aca="false">IF(S$5="A",Inputs_Actuals!S54,S48*Assumptions!$F$88)</f>
        <v>233.431350099309</v>
      </c>
      <c r="T56" s="57" t="n">
        <f aca="false">IF(T$5="A",Inputs_Actuals!T54,T48*Assumptions!$F$88)</f>
        <v>246.225929243129</v>
      </c>
      <c r="U56" s="57" t="n">
        <f aca="false">IF(U$5="A",Inputs_Actuals!U54,U48*Assumptions!$F$88)</f>
        <v>264.856768777346</v>
      </c>
      <c r="V56" s="57" t="n">
        <f aca="false">IF(V$5="A",Inputs_Actuals!V54,V48*Assumptions!$F$88)</f>
        <v>262.08536486198</v>
      </c>
      <c r="W56" s="57" t="n">
        <f aca="false">IF(W$5="A",Inputs_Actuals!W54,W48*Assumptions!$F$88)</f>
        <v>253.452067590039</v>
      </c>
      <c r="X56" s="57" t="n">
        <f aca="false">IF(X$5="A",Inputs_Actuals!X54,X48*Assumptions!$F$88)</f>
        <v>252.970666666667</v>
      </c>
      <c r="Y56" s="57" t="n">
        <f aca="false">IF(Y$5="A",Inputs_Actuals!Y54,Y48*Assumptions!$F$88)</f>
        <v>290.507167450284</v>
      </c>
      <c r="Z56" s="57" t="n">
        <f aca="false">IF(Z$5="A",Inputs_Actuals!Z54,Z48*Assumptions!$F$88)</f>
        <v>335.485569349486</v>
      </c>
      <c r="AA56" s="57" t="n">
        <f aca="false">IF(AA$5="A",Inputs_Actuals!AA54,AA48*Assumptions!$F$88)</f>
        <v>483.111162854004</v>
      </c>
      <c r="AB56" s="57" t="n">
        <f aca="false">IF(AB$5="A",Inputs_Actuals!AB54,AB48*Assumptions!$F$88)</f>
        <v>430.728130469466</v>
      </c>
    </row>
    <row r="57" customFormat="false" ht="15" hidden="false" customHeight="true" outlineLevel="0" collapsed="false">
      <c r="A57" s="28" t="s">
        <v>659</v>
      </c>
      <c r="B57" s="55" t="s">
        <v>68</v>
      </c>
      <c r="C57" s="56" t="n">
        <f aca="false">SUM(E57:P57)</f>
        <v>-743965.799594938</v>
      </c>
      <c r="D57" s="56" t="n">
        <f aca="false">SUM(Q57:AB57)</f>
        <v>-944921.161062197</v>
      </c>
      <c r="E57" s="57" t="n">
        <f aca="false">-Volume_Price!E98</f>
        <v>-50536.68</v>
      </c>
      <c r="F57" s="57" t="n">
        <f aca="false">-Volume_Price!F98</f>
        <v>-43965.57</v>
      </c>
      <c r="G57" s="57" t="n">
        <f aca="false">-Volume_Price!G98</f>
        <v>-52240.24</v>
      </c>
      <c r="H57" s="57" t="n">
        <f aca="false">-Volume_Price!H98</f>
        <v>-56403.73</v>
      </c>
      <c r="I57" s="57" t="n">
        <f aca="false">-Volume_Price!I98</f>
        <v>-61677.88</v>
      </c>
      <c r="J57" s="57" t="n">
        <f aca="false">-Volume_Price!J98</f>
        <v>-56942.86</v>
      </c>
      <c r="K57" s="57" t="n">
        <f aca="false">-Volume_Price!K98</f>
        <v>-50999.01</v>
      </c>
      <c r="L57" s="57" t="n">
        <f aca="false">-Volume_Price!L98</f>
        <v>-50545.27</v>
      </c>
      <c r="M57" s="57" t="n">
        <f aca="false">-Volume_Price!M98</f>
        <v>-60244.4920866278</v>
      </c>
      <c r="N57" s="57" t="n">
        <f aca="false">-Volume_Price!N98</f>
        <v>-69743.5594207422</v>
      </c>
      <c r="O57" s="57" t="n">
        <f aca="false">-Volume_Price!O98</f>
        <v>-100680.903761099</v>
      </c>
      <c r="P57" s="57" t="n">
        <f aca="false">-Volume_Price!P98</f>
        <v>-89985.6043264689</v>
      </c>
      <c r="Q57" s="57" t="n">
        <f aca="false">-Volume_Price!Q98</f>
        <v>-57384.7290432012</v>
      </c>
      <c r="R57" s="57" t="n">
        <f aca="false">-Volume_Price!R98</f>
        <v>-54625.0445233026</v>
      </c>
      <c r="S57" s="57" t="n">
        <f aca="false">-Volume_Price!S98</f>
        <v>-62885.1728915829</v>
      </c>
      <c r="T57" s="57" t="n">
        <f aca="false">-Volume_Price!T98</f>
        <v>-66495.5574607588</v>
      </c>
      <c r="U57" s="57" t="n">
        <f aca="false">-Volume_Price!U98</f>
        <v>-71703.3904090433</v>
      </c>
      <c r="V57" s="57" t="n">
        <f aca="false">-Volume_Price!V98</f>
        <v>-71128.0911377519</v>
      </c>
      <c r="W57" s="57" t="n">
        <f aca="false">-Volume_Price!W98</f>
        <v>-68954.7186381678</v>
      </c>
      <c r="X57" s="57" t="n">
        <f aca="false">-Volume_Price!X98</f>
        <v>-68993.4855884217</v>
      </c>
      <c r="Y57" s="57" t="n">
        <f aca="false">-Volume_Price!Y98</f>
        <v>-79426.3383670101</v>
      </c>
      <c r="Z57" s="57" t="n">
        <f aca="false">-Volume_Price!Z98</f>
        <v>-91949.9087403066</v>
      </c>
      <c r="AA57" s="57" t="n">
        <f aca="false">-Volume_Price!AA98</f>
        <v>-132737.703518633</v>
      </c>
      <c r="AB57" s="57" t="n">
        <f aca="false">-Volume_Price!AB98</f>
        <v>-118637.020744017</v>
      </c>
    </row>
    <row r="58" customFormat="false" ht="15" hidden="false" customHeight="true" outlineLevel="0" collapsed="false">
      <c r="A58" s="28" t="s">
        <v>660</v>
      </c>
      <c r="B58" s="55" t="s">
        <v>661</v>
      </c>
      <c r="C58" s="56" t="n">
        <f aca="false">SUM(E58:P58)</f>
        <v>36358.9097802533</v>
      </c>
      <c r="D58" s="56" t="n">
        <f aca="false">SUM(Q58:AB58)</f>
        <v>46064.9066017821</v>
      </c>
      <c r="E58" s="57" t="n">
        <f aca="false">IF(E$5="A",Inputs_Actuals!E55,E56*Assumptions!$F$95*IF(E48=0,0,-E57/E48))</f>
        <v>2377</v>
      </c>
      <c r="F58" s="57" t="n">
        <f aca="false">IF(F$5="A",Inputs_Actuals!F55,F56*Assumptions!$F$95*IF(F48=0,0,-F57/F48))</f>
        <v>2276</v>
      </c>
      <c r="G58" s="57" t="n">
        <f aca="false">IF(G$5="A",Inputs_Actuals!G55,G56*Assumptions!$F$95*IF(G48=0,0,-G57/G48))</f>
        <v>2990</v>
      </c>
      <c r="H58" s="57" t="n">
        <f aca="false">IF(H$5="A",Inputs_Actuals!H55,H56*Assumptions!$F$95*IF(H48=0,0,-H57/H48))</f>
        <v>2357</v>
      </c>
      <c r="I58" s="57" t="n">
        <f aca="false">IF(I$5="A",Inputs_Actuals!I55,I56*Assumptions!$F$95*IF(I48=0,0,-I57/I48))</f>
        <v>2801</v>
      </c>
      <c r="J58" s="57" t="n">
        <f aca="false">IF(J$5="A",Inputs_Actuals!J55,J56*Assumptions!$F$95*IF(J48=0,0,-J57/J48))</f>
        <v>3160</v>
      </c>
      <c r="K58" s="57" t="n">
        <f aca="false">IF(K$5="A",Inputs_Actuals!K55,K56*Assumptions!$F$95*IF(K48=0,0,-K57/K48))</f>
        <v>2219</v>
      </c>
      <c r="L58" s="57" t="n">
        <f aca="false">IF(L$5="A",Inputs_Actuals!L55,L56*Assumptions!$F$95*IF(L48=0,0,-L57/L48))</f>
        <v>2547</v>
      </c>
      <c r="M58" s="57" t="n">
        <f aca="false">IF(M$5="A",Inputs_Actuals!M55,M56*Assumptions!$F$95*IF(M48=0,0,-M57/M48))</f>
        <v>2936.91898922311</v>
      </c>
      <c r="N58" s="57" t="n">
        <f aca="false">IF(N$5="A",Inputs_Actuals!N55,N56*Assumptions!$F$95*IF(N48=0,0,-N57/N48))</f>
        <v>3399.99852176118</v>
      </c>
      <c r="O58" s="57" t="n">
        <f aca="false">IF(O$5="A",Inputs_Actuals!O55,O56*Assumptions!$F$95*IF(O48=0,0,-O57/O48))</f>
        <v>4908.19405835359</v>
      </c>
      <c r="P58" s="57" t="n">
        <f aca="false">IF(P$5="A",Inputs_Actuals!P55,P56*Assumptions!$F$95*IF(P48=0,0,-P57/P48))</f>
        <v>4386.79821091536</v>
      </c>
      <c r="Q58" s="57" t="n">
        <f aca="false">IF(Q$5="A",Inputs_Actuals!Q55,Q56*Assumptions!$F$95*IF(Q48=0,0,-Q57/Q48))</f>
        <v>2797.50554085606</v>
      </c>
      <c r="R58" s="57" t="n">
        <f aca="false">IF(R$5="A",Inputs_Actuals!R55,R56*Assumptions!$F$95*IF(R48=0,0,-R57/R48))</f>
        <v>2662.970920511</v>
      </c>
      <c r="S58" s="57" t="n">
        <f aca="false">IF(S$5="A",Inputs_Actuals!S55,S56*Assumptions!$F$95*IF(S48=0,0,-S57/S48))</f>
        <v>3065.65217846466</v>
      </c>
      <c r="T58" s="57" t="n">
        <f aca="false">IF(T$5="A",Inputs_Actuals!T55,T56*Assumptions!$F$95*IF(T48=0,0,-T57/T48))</f>
        <v>3241.65842621199</v>
      </c>
      <c r="U58" s="57" t="n">
        <f aca="false">IF(U$5="A",Inputs_Actuals!U55,U56*Assumptions!$F$95*IF(U48=0,0,-U57/U48))</f>
        <v>3495.54028244086</v>
      </c>
      <c r="V58" s="57" t="n">
        <f aca="false">IF(V$5="A",Inputs_Actuals!V55,V56*Assumptions!$F$95*IF(V48=0,0,-V57/V48))</f>
        <v>3467.49444296541</v>
      </c>
      <c r="W58" s="57" t="n">
        <f aca="false">IF(W$5="A",Inputs_Actuals!W55,W56*Assumptions!$F$95*IF(W48=0,0,-W57/W48))</f>
        <v>3361.54253361068</v>
      </c>
      <c r="X58" s="57" t="n">
        <f aca="false">IF(X$5="A",Inputs_Actuals!X55,X56*Assumptions!$F$95*IF(X48=0,0,-X57/X48))</f>
        <v>3363.43242243556</v>
      </c>
      <c r="Y58" s="57" t="n">
        <f aca="false">IF(Y$5="A",Inputs_Actuals!Y55,Y56*Assumptions!$F$95*IF(Y48=0,0,-Y57/Y48))</f>
        <v>3872.03399539174</v>
      </c>
      <c r="Z58" s="57" t="n">
        <f aca="false">IF(Z$5="A",Inputs_Actuals!Z55,Z56*Assumptions!$F$95*IF(Z48=0,0,-Z57/Z48))</f>
        <v>4482.55805108994</v>
      </c>
      <c r="AA58" s="57" t="n">
        <f aca="false">IF(AA$5="A",Inputs_Actuals!AA55,AA56*Assumptions!$F$95*IF(AA48=0,0,-AA57/AA48))</f>
        <v>6470.96304653338</v>
      </c>
      <c r="AB58" s="57" t="n">
        <f aca="false">IF(AB$5="A",Inputs_Actuals!AB55,AB56*Assumptions!$F$95*IF(AB48=0,0,-AB57/AB48))</f>
        <v>5783.55476127081</v>
      </c>
    </row>
    <row r="59" customFormat="false" ht="15" hidden="false" customHeight="true" outlineLevel="0" collapsed="false">
      <c r="A59" s="70" t="s">
        <v>662</v>
      </c>
      <c r="B59" s="71" t="s">
        <v>663</v>
      </c>
      <c r="C59" s="72" t="n">
        <f aca="false">SUM(E59:P59)</f>
        <v>-707606.889814685</v>
      </c>
      <c r="D59" s="72" t="n">
        <f aca="false">SUM(Q59:AB59)</f>
        <v>-898856.254460415</v>
      </c>
      <c r="E59" s="72" t="n">
        <f aca="false">E57+E58</f>
        <v>-48159.68</v>
      </c>
      <c r="F59" s="72" t="n">
        <f aca="false">F57+F58</f>
        <v>-41689.57</v>
      </c>
      <c r="G59" s="72" t="n">
        <f aca="false">G57+G58</f>
        <v>-49250.24</v>
      </c>
      <c r="H59" s="72" t="n">
        <f aca="false">H57+H58</f>
        <v>-54046.73</v>
      </c>
      <c r="I59" s="72" t="n">
        <f aca="false">I57+I58</f>
        <v>-58876.88</v>
      </c>
      <c r="J59" s="72" t="n">
        <f aca="false">J57+J58</f>
        <v>-53782.86</v>
      </c>
      <c r="K59" s="72" t="n">
        <f aca="false">K57+K58</f>
        <v>-48780.01</v>
      </c>
      <c r="L59" s="72" t="n">
        <f aca="false">L57+L58</f>
        <v>-47998.27</v>
      </c>
      <c r="M59" s="72" t="n">
        <f aca="false">M57+M58</f>
        <v>-57307.5730974047</v>
      </c>
      <c r="N59" s="72" t="n">
        <f aca="false">N57+N58</f>
        <v>-66343.5608989811</v>
      </c>
      <c r="O59" s="72" t="n">
        <f aca="false">O57+O58</f>
        <v>-95772.7097027458</v>
      </c>
      <c r="P59" s="72" t="n">
        <f aca="false">P57+P58</f>
        <v>-85598.8061155536</v>
      </c>
      <c r="Q59" s="72" t="n">
        <f aca="false">Q57+Q58</f>
        <v>-54587.2235023452</v>
      </c>
      <c r="R59" s="72" t="n">
        <f aca="false">R57+R58</f>
        <v>-51962.0736027916</v>
      </c>
      <c r="S59" s="72" t="n">
        <f aca="false">S57+S58</f>
        <v>-59819.5207131182</v>
      </c>
      <c r="T59" s="72" t="n">
        <f aca="false">T57+T58</f>
        <v>-63253.8990345468</v>
      </c>
      <c r="U59" s="72" t="n">
        <f aca="false">U57+U58</f>
        <v>-68207.8501266025</v>
      </c>
      <c r="V59" s="72" t="n">
        <f aca="false">V57+V58</f>
        <v>-67660.5966947865</v>
      </c>
      <c r="W59" s="72" t="n">
        <f aca="false">W57+W58</f>
        <v>-65593.1761045571</v>
      </c>
      <c r="X59" s="72" t="n">
        <f aca="false">X57+X58</f>
        <v>-65630.0531659861</v>
      </c>
      <c r="Y59" s="72" t="n">
        <f aca="false">Y57+Y58</f>
        <v>-75554.3043716184</v>
      </c>
      <c r="Z59" s="72" t="n">
        <f aca="false">Z57+Z58</f>
        <v>-87467.3506892166</v>
      </c>
      <c r="AA59" s="72" t="n">
        <f aca="false">AA57+AA58</f>
        <v>-126266.7404721</v>
      </c>
      <c r="AB59" s="72" t="n">
        <f aca="false">AB57+AB58</f>
        <v>-112853.465982746</v>
      </c>
    </row>
    <row r="60" customFormat="false" ht="15" hidden="false" customHeight="true" outlineLevel="0" collapsed="false">
      <c r="A60" s="70" t="s">
        <v>319</v>
      </c>
      <c r="B60" s="71" t="s">
        <v>664</v>
      </c>
      <c r="C60" s="72" t="n">
        <f aca="false">SUM(E60:P60)</f>
        <v>1114290.49586965</v>
      </c>
      <c r="D60" s="72" t="n">
        <f aca="false">SUM(Q60:AB60)</f>
        <v>1377644.34304833</v>
      </c>
      <c r="E60" s="72" t="n">
        <f aca="false">E55+E59</f>
        <v>78840.39</v>
      </c>
      <c r="F60" s="72" t="n">
        <f aca="false">F55+F59</f>
        <v>66557.81</v>
      </c>
      <c r="G60" s="72" t="n">
        <f aca="false">G55+G59</f>
        <v>78674.1</v>
      </c>
      <c r="H60" s="72" t="n">
        <f aca="false">H55+H59</f>
        <v>86284.73</v>
      </c>
      <c r="I60" s="72" t="n">
        <f aca="false">I55+I59</f>
        <v>93698.4</v>
      </c>
      <c r="J60" s="72" t="n">
        <f aca="false">J55+J59</f>
        <v>85833.7</v>
      </c>
      <c r="K60" s="72" t="n">
        <f aca="false">K55+K59</f>
        <v>76947.1</v>
      </c>
      <c r="L60" s="72" t="n">
        <f aca="false">L55+L59</f>
        <v>74490.59</v>
      </c>
      <c r="M60" s="72" t="n">
        <f aca="false">M55+M59</f>
        <v>89060.8906662547</v>
      </c>
      <c r="N60" s="72" t="n">
        <f aca="false">N55+N59</f>
        <v>102965.884780155</v>
      </c>
      <c r="O60" s="72" t="n">
        <f aca="false">O55+O59</f>
        <v>148441.594070056</v>
      </c>
      <c r="P60" s="72" t="n">
        <f aca="false">P55+P59</f>
        <v>132495.306353187</v>
      </c>
      <c r="Q60" s="72" t="n">
        <f aca="false">Q55+Q59</f>
        <v>84380.5667396458</v>
      </c>
      <c r="R60" s="72" t="n">
        <f aca="false">R55+R59</f>
        <v>80215.1218159861</v>
      </c>
      <c r="S60" s="72" t="n">
        <f aca="false">S55+S59</f>
        <v>92221.1932016369</v>
      </c>
      <c r="T60" s="72" t="n">
        <f aca="false">T55+T59</f>
        <v>97385.172164346</v>
      </c>
      <c r="U60" s="72" t="n">
        <f aca="false">U55+U59</f>
        <v>104871.460474662</v>
      </c>
      <c r="V60" s="72" t="n">
        <f aca="false">V55+V59</f>
        <v>103890.512886429</v>
      </c>
      <c r="W60" s="72" t="n">
        <f aca="false">W55+W59</f>
        <v>100580.90298332</v>
      </c>
      <c r="X60" s="72" t="n">
        <f aca="false">X55+X59</f>
        <v>100502.327484509</v>
      </c>
      <c r="Y60" s="72" t="n">
        <f aca="false">Y55+Y59</f>
        <v>115544.361918215</v>
      </c>
      <c r="Z60" s="72" t="n">
        <f aca="false">Z55+Z59</f>
        <v>133583.061589464</v>
      </c>
      <c r="AA60" s="72" t="n">
        <f aca="false">AA55+AA59</f>
        <v>192579.454533671</v>
      </c>
      <c r="AB60" s="72" t="n">
        <f aca="false">AB55+AB59</f>
        <v>171890.207256442</v>
      </c>
    </row>
    <row r="61" customFormat="false" ht="15" hidden="false" customHeight="true" outlineLevel="0" collapsed="false">
      <c r="A61" s="28" t="s">
        <v>269</v>
      </c>
      <c r="B61" s="55" t="s">
        <v>665</v>
      </c>
      <c r="C61" s="59" t="n">
        <f aca="false">IF(C55=0,0,C60/C55)</f>
        <v>0.611609909880356</v>
      </c>
      <c r="D61" s="59" t="n">
        <f aca="false">IF(D55=0,0,D60/D55)</f>
        <v>0.605158788254189</v>
      </c>
      <c r="E61" s="58" t="n">
        <f aca="false">IF(E55=0,0,E60/E55)</f>
        <v>0.620790130273157</v>
      </c>
      <c r="F61" s="58" t="n">
        <f aca="false">IF(F55=0,0,F60/F55)</f>
        <v>0.61486763005257</v>
      </c>
      <c r="G61" s="58" t="n">
        <f aca="false">IF(G55=0,0,G60/G55)</f>
        <v>0.615004931821419</v>
      </c>
      <c r="H61" s="58" t="n">
        <f aca="false">IF(H55=0,0,H60/H55)</f>
        <v>0.614863766114883</v>
      </c>
      <c r="I61" s="58" t="n">
        <f aca="false">IF(I55=0,0,I60/I55)</f>
        <v>0.614112587569887</v>
      </c>
      <c r="J61" s="58" t="n">
        <f aca="false">IF(J55=0,0,J60/J55)</f>
        <v>0.614781656273439</v>
      </c>
      <c r="K61" s="58" t="n">
        <f aca="false">IF(K55=0,0,K60/K55)</f>
        <v>0.612016771879987</v>
      </c>
      <c r="L61" s="58" t="n">
        <f aca="false">IF(L55=0,0,L60/L55)</f>
        <v>0.608141752645914</v>
      </c>
      <c r="M61" s="58" t="n">
        <f aca="false">IF(M55=0,0,M60/M55)</f>
        <v>0.608470488629716</v>
      </c>
      <c r="N61" s="58" t="n">
        <f aca="false">IF(N55=0,0,N60/N55)</f>
        <v>0.608152039994799</v>
      </c>
      <c r="O61" s="58" t="n">
        <f aca="false">IF(O55=0,0,O60/O55)</f>
        <v>0.607833332351224</v>
      </c>
      <c r="P61" s="58" t="n">
        <f aca="false">IF(P55=0,0,P60/P55)</f>
        <v>0.607514365488329</v>
      </c>
      <c r="Q61" s="58" t="n">
        <f aca="false">IF(Q55=0,0,Q60/Q55)</f>
        <v>0.607195139195277</v>
      </c>
      <c r="R61" s="58" t="n">
        <f aca="false">IF(R55=0,0,R60/R55)</f>
        <v>0.606875653261065</v>
      </c>
      <c r="S61" s="58" t="n">
        <f aca="false">IF(S55=0,0,S60/S55)</f>
        <v>0.606555907474512</v>
      </c>
      <c r="T61" s="58" t="n">
        <f aca="false">IF(T55=0,0,T60/T55)</f>
        <v>0.606235901624269</v>
      </c>
      <c r="U61" s="58" t="n">
        <f aca="false">IF(U55=0,0,U60/U55)</f>
        <v>0.605915635498816</v>
      </c>
      <c r="V61" s="58" t="n">
        <f aca="false">IF(V55=0,0,V60/V55)</f>
        <v>0.605595108886459</v>
      </c>
      <c r="W61" s="58" t="n">
        <f aca="false">IF(W55=0,0,W60/W55)</f>
        <v>0.605274321575331</v>
      </c>
      <c r="X61" s="58" t="n">
        <f aca="false">IF(X55=0,0,X60/X55)</f>
        <v>0.604953273353394</v>
      </c>
      <c r="Y61" s="58" t="n">
        <f aca="false">IF(Y55=0,0,Y60/Y55)</f>
        <v>0.604631964008438</v>
      </c>
      <c r="Z61" s="58" t="n">
        <f aca="false">IF(Z55=0,0,Z60/Z55)</f>
        <v>0.604310393328081</v>
      </c>
      <c r="AA61" s="58" t="n">
        <f aca="false">IF(AA55=0,0,AA60/AA55)</f>
        <v>0.603988561099765</v>
      </c>
      <c r="AB61" s="58" t="n">
        <f aca="false">IF(AB55=0,0,AB60/AB55)</f>
        <v>0.603666467110763</v>
      </c>
    </row>
    <row r="62" customFormat="false" ht="15" hidden="false" customHeight="true" outlineLevel="0" collapsed="false">
      <c r="A62" s="28" t="s">
        <v>694</v>
      </c>
      <c r="B62" s="55" t="s">
        <v>695</v>
      </c>
      <c r="C62" s="56" t="n">
        <f aca="false">SUM(E62:P62)</f>
        <v>-277831.880189136</v>
      </c>
      <c r="D62" s="56" t="n">
        <f aca="false">SUM(Q62:AB62)</f>
        <v>-347262.803009808</v>
      </c>
      <c r="E62" s="57" t="n">
        <f aca="false">-IF(E$5="A",Inputs_Actuals!E67,(Assumptions!$F$96*E54+Assumptions!$F$97*Assumptions!$F$96*-E53))</f>
        <v>-19369</v>
      </c>
      <c r="F62" s="57" t="n">
        <f aca="false">-IF(F$5="A",Inputs_Actuals!F67,(Assumptions!$F$96*F54+Assumptions!$F$97*Assumptions!$F$96*-F53))</f>
        <v>-16544</v>
      </c>
      <c r="G62" s="57" t="n">
        <f aca="false">-IF(G$5="A",Inputs_Actuals!G67,(Assumptions!$F$96*G54+Assumptions!$F$97*Assumptions!$F$96*-G53))</f>
        <v>-19515</v>
      </c>
      <c r="H62" s="57" t="n">
        <f aca="false">-IF(H$5="A",Inputs_Actuals!H67,(Assumptions!$F$96*H54+Assumptions!$F$97*Assumptions!$F$96*-H53))</f>
        <v>-21360</v>
      </c>
      <c r="I62" s="57" t="n">
        <f aca="false">-IF(I$5="A",Inputs_Actuals!I67,(Assumptions!$F$96*I54+Assumptions!$F$97*Assumptions!$F$96*-I53))</f>
        <v>-23238</v>
      </c>
      <c r="J62" s="57" t="n">
        <f aca="false">-IF(J$5="A",Inputs_Actuals!J67,(Assumptions!$F$96*J54+Assumptions!$F$97*Assumptions!$F$96*-J53))</f>
        <v>-21297</v>
      </c>
      <c r="K62" s="57" t="n">
        <f aca="false">-IF(K$5="A",Inputs_Actuals!K67,(Assumptions!$F$96*K54+Assumptions!$F$97*Assumptions!$F$96*-K53))</f>
        <v>-19131</v>
      </c>
      <c r="L62" s="57" t="n">
        <f aca="false">-IF(L$5="A",Inputs_Actuals!L67,(Assumptions!$F$96*L54+Assumptions!$F$97*Assumptions!$F$96*-L53))</f>
        <v>-18702</v>
      </c>
      <c r="M62" s="57" t="n">
        <f aca="false">-IF(M$5="A",Inputs_Actuals!M67,(Assumptions!$F$96*M54+Assumptions!$F$97*Assumptions!$F$96*-M53))</f>
        <v>-22327.3927775074</v>
      </c>
      <c r="N62" s="57" t="n">
        <f aca="false">-IF(N$5="A",Inputs_Actuals!N67,(Assumptions!$F$96*N54+Assumptions!$F$97*Assumptions!$F$96*-N53))</f>
        <v>-25826.8645951225</v>
      </c>
      <c r="O62" s="57" t="n">
        <f aca="false">-IF(O$5="A",Inputs_Actuals!O67,(Assumptions!$F$96*O54+Assumptions!$F$97*Assumptions!$F$96*-O53))</f>
        <v>-37253.0293890715</v>
      </c>
      <c r="P62" s="57" t="n">
        <f aca="false">-IF(P$5="A",Inputs_Actuals!P67,(Assumptions!$F$96*P54+Assumptions!$F$97*Assumptions!$F$96*-P53))</f>
        <v>-33268.593427435</v>
      </c>
      <c r="Q62" s="57" t="n">
        <f aca="false">-IF(Q$5="A",Inputs_Actuals!Q67,(Assumptions!$F$96*Q54+Assumptions!$F$97*Assumptions!$F$96*-Q53))</f>
        <v>-21198.4764775919</v>
      </c>
      <c r="R62" s="57" t="n">
        <f aca="false">-IF(R$5="A",Inputs_Actuals!R67,(Assumptions!$F$96*R54+Assumptions!$F$97*Assumptions!$F$96*-R53))</f>
        <v>-20162.623029983</v>
      </c>
      <c r="S62" s="57" t="n">
        <f aca="false">-IF(S$5="A",Inputs_Actuals!S67,(Assumptions!$F$96*S54+Assumptions!$F$97*Assumptions!$F$96*-S53))</f>
        <v>-23192.6512751321</v>
      </c>
      <c r="T62" s="57" t="n">
        <f aca="false">-IF(T$5="A",Inputs_Actuals!T67,(Assumptions!$F$96*T54+Assumptions!$F$97*Assumptions!$F$96*-T53))</f>
        <v>-24504.2650981362</v>
      </c>
      <c r="U62" s="57" t="n">
        <f aca="false">-IF(U$5="A",Inputs_Actuals!U67,(Assumptions!$F$96*U54+Assumptions!$F$97*Assumptions!$F$96*-U53))</f>
        <v>-26401.9287357862</v>
      </c>
      <c r="V62" s="57" t="n">
        <f aca="false">-IF(V$5="A",Inputs_Actuals!V67,(Assumptions!$F$96*V54+Assumptions!$F$97*Assumptions!$F$96*-V53))</f>
        <v>-26168.8133259481</v>
      </c>
      <c r="W62" s="57" t="n">
        <f aca="false">-IF(W$5="A",Inputs_Actuals!W67,(Assumptions!$F$96*W54+Assumptions!$F$97*Assumptions!$F$96*-W53))</f>
        <v>-25348.5883354389</v>
      </c>
      <c r="X62" s="57" t="n">
        <f aca="false">-IF(X$5="A",Inputs_Actuals!X67,(Assumptions!$F$96*X54+Assumptions!$F$97*Assumptions!$F$96*-X53))</f>
        <v>-25342.2275568552</v>
      </c>
      <c r="Y62" s="57" t="n">
        <f aca="false">-IF(Y$5="A",Inputs_Actuals!Y67,(Assumptions!$F$96*Y54+Assumptions!$F$97*Assumptions!$F$96*-Y53))</f>
        <v>-29150.6440103136</v>
      </c>
      <c r="Z62" s="57" t="n">
        <f aca="false">-IF(Z$5="A",Inputs_Actuals!Z67,(Assumptions!$F$96*Z54+Assumptions!$F$97*Assumptions!$F$96*-Z53))</f>
        <v>-33719.5544153919</v>
      </c>
      <c r="AA62" s="57" t="n">
        <f aca="false">-IF(AA$5="A",Inputs_Actuals!AA67,(Assumptions!$F$96*AA54+Assumptions!$F$97*Assumptions!$F$96*-AA53))</f>
        <v>-48637.5551703718</v>
      </c>
      <c r="AB62" s="57" t="n">
        <f aca="false">-IF(AB$5="A",Inputs_Actuals!AB67,(Assumptions!$F$96*AB54+Assumptions!$F$97*Assumptions!$F$96*-AB53))</f>
        <v>-43435.4755788592</v>
      </c>
    </row>
    <row r="63" customFormat="false" ht="15" hidden="false" customHeight="true" outlineLevel="0" collapsed="false">
      <c r="A63" s="28" t="s">
        <v>696</v>
      </c>
      <c r="B63" s="55" t="s">
        <v>697</v>
      </c>
      <c r="C63" s="56" t="n">
        <f aca="false">SUM(E63:P63)</f>
        <v>-201433.551694432</v>
      </c>
      <c r="D63" s="56" t="n">
        <f aca="false">SUM(Q63:AB63)</f>
        <v>-249853.634194415</v>
      </c>
      <c r="E63" s="57" t="n">
        <f aca="false">-IF(E$5="A",Inputs_Actuals!E68,E48*Assumptions!$F$98)</f>
        <v>-13671</v>
      </c>
      <c r="F63" s="57" t="n">
        <f aca="false">-IF(F$5="A",Inputs_Actuals!F68,F48*Assumptions!$F$98)</f>
        <v>-11760</v>
      </c>
      <c r="G63" s="57" t="n">
        <f aca="false">-IF(G$5="A",Inputs_Actuals!G68,G48*Assumptions!$F$98)</f>
        <v>-13932</v>
      </c>
      <c r="H63" s="57" t="n">
        <f aca="false">-IF(H$5="A",Inputs_Actuals!H68,H48*Assumptions!$F$98)</f>
        <v>-15523</v>
      </c>
      <c r="I63" s="57" t="n">
        <f aca="false">-IF(I$5="A",Inputs_Actuals!I68,I48*Assumptions!$F$98)</f>
        <v>-16386</v>
      </c>
      <c r="J63" s="57" t="n">
        <f aca="false">-IF(J$5="A",Inputs_Actuals!J68,J48*Assumptions!$F$98)</f>
        <v>-15772</v>
      </c>
      <c r="K63" s="57" t="n">
        <f aca="false">-IF(K$5="A",Inputs_Actuals!K68,K48*Assumptions!$F$98)</f>
        <v>-13915</v>
      </c>
      <c r="L63" s="57" t="n">
        <f aca="false">-IF(L$5="A",Inputs_Actuals!L68,L48*Assumptions!$F$98)</f>
        <v>-13859</v>
      </c>
      <c r="M63" s="57" t="n">
        <f aca="false">-IF(M$5="A",Inputs_Actuals!M68,M48*Assumptions!$F$98)</f>
        <v>-16341.0281690785</v>
      </c>
      <c r="N63" s="57" t="n">
        <f aca="false">-IF(N$5="A",Inputs_Actuals!N68,N48*Assumptions!$F$98)</f>
        <v>-18871.0632759086</v>
      </c>
      <c r="O63" s="57" t="n">
        <f aca="false">-IF(O$5="A",Inputs_Actuals!O68,O48*Assumptions!$F$98)</f>
        <v>-27175.0029105378</v>
      </c>
      <c r="P63" s="57" t="n">
        <f aca="false">-IF(P$5="A",Inputs_Actuals!P68,P48*Assumptions!$F$98)</f>
        <v>-24228.4573389075</v>
      </c>
      <c r="Q63" s="57" t="n">
        <f aca="false">-IF(Q$5="A",Inputs_Actuals!Q68,Q48*Assumptions!$F$98)</f>
        <v>-15412.7201100854</v>
      </c>
      <c r="R63" s="57" t="n">
        <f aca="false">-IF(R$5="A",Inputs_Actuals!R68,R48*Assumptions!$F$98)</f>
        <v>-14635.4133142867</v>
      </c>
      <c r="S63" s="57" t="n">
        <f aca="false">-IF(S$5="A",Inputs_Actuals!S68,S48*Assumptions!$F$98)</f>
        <v>-16807.0572071502</v>
      </c>
      <c r="T63" s="57" t="n">
        <f aca="false">-IF(T$5="A",Inputs_Actuals!T68,T48*Assumptions!$F$98)</f>
        <v>-17728.2669055053</v>
      </c>
      <c r="U63" s="57" t="n">
        <f aca="false">-IF(U$5="A",Inputs_Actuals!U68,U48*Assumptions!$F$98)</f>
        <v>-19069.6873519689</v>
      </c>
      <c r="V63" s="57" t="n">
        <f aca="false">-IF(V$5="A",Inputs_Actuals!V68,V48*Assumptions!$F$98)</f>
        <v>-18870.1462700625</v>
      </c>
      <c r="W63" s="57" t="n">
        <f aca="false">-IF(W$5="A",Inputs_Actuals!W68,W48*Assumptions!$F$98)</f>
        <v>-18248.5488664828</v>
      </c>
      <c r="X63" s="57" t="n">
        <f aca="false">-IF(X$5="A",Inputs_Actuals!X68,X48*Assumptions!$F$98)</f>
        <v>-18213.888</v>
      </c>
      <c r="Y63" s="57" t="n">
        <f aca="false">-IF(Y$5="A",Inputs_Actuals!Y68,Y48*Assumptions!$F$98)</f>
        <v>-20916.5160564204</v>
      </c>
      <c r="Z63" s="57" t="n">
        <f aca="false">-IF(Z$5="A",Inputs_Actuals!Z68,Z48*Assumptions!$F$98)</f>
        <v>-24154.960993163</v>
      </c>
      <c r="AA63" s="57" t="n">
        <f aca="false">-IF(AA$5="A",Inputs_Actuals!AA68,AA48*Assumptions!$F$98)</f>
        <v>-34784.0037254883</v>
      </c>
      <c r="AB63" s="57" t="n">
        <f aca="false">-IF(AB$5="A",Inputs_Actuals!AB68,AB48*Assumptions!$F$98)</f>
        <v>-31012.4253938016</v>
      </c>
    </row>
    <row r="64" customFormat="false" ht="15" hidden="false" customHeight="true" outlineLevel="0" collapsed="false">
      <c r="A64" s="28" t="s">
        <v>698</v>
      </c>
      <c r="B64" s="55" t="s">
        <v>699</v>
      </c>
      <c r="C64" s="56" t="n">
        <f aca="false">SUM(E64:P64)</f>
        <v>-36335.5597302296</v>
      </c>
      <c r="D64" s="56" t="n">
        <f aca="false">SUM(Q64:AB64)</f>
        <v>-44226.7331685484</v>
      </c>
      <c r="E64" s="57" t="n">
        <f aca="false">-IF(E$5="A",Inputs_Actuals!E69,E48*Assumptions!$F$99*Assumptions!E$71)</f>
        <v>-1527</v>
      </c>
      <c r="F64" s="57" t="n">
        <f aca="false">-IF(F$5="A",Inputs_Actuals!F69,F48*Assumptions!$F$99*Assumptions!F$71)</f>
        <v>-1223</v>
      </c>
      <c r="G64" s="57" t="n">
        <f aca="false">-IF(G$5="A",Inputs_Actuals!G69,G48*Assumptions!$F$99*Assumptions!G$71)</f>
        <v>-1367</v>
      </c>
      <c r="H64" s="57" t="n">
        <f aca="false">-IF(H$5="A",Inputs_Actuals!H69,H48*Assumptions!$F$99*Assumptions!H$71)</f>
        <v>-1641</v>
      </c>
      <c r="I64" s="57" t="n">
        <f aca="false">-IF(I$5="A",Inputs_Actuals!I69,I48*Assumptions!$F$99*Assumptions!I$71)</f>
        <v>-1598</v>
      </c>
      <c r="J64" s="57" t="n">
        <f aca="false">-IF(J$5="A",Inputs_Actuals!J69,J48*Assumptions!$F$99*Assumptions!J$71)</f>
        <v>-3382</v>
      </c>
      <c r="K64" s="57" t="n">
        <f aca="false">-IF(K$5="A",Inputs_Actuals!K69,K48*Assumptions!$F$99*Assumptions!K$71)</f>
        <v>-1423</v>
      </c>
      <c r="L64" s="57" t="n">
        <f aca="false">-IF(L$5="A",Inputs_Actuals!L69,L48*Assumptions!$F$99*Assumptions!L$71)</f>
        <v>-1285</v>
      </c>
      <c r="M64" s="57" t="n">
        <f aca="false">-IF(M$5="A",Inputs_Actuals!M69,M48*Assumptions!$F$99*Assumptions!M$71)</f>
        <v>-1755.14747001213</v>
      </c>
      <c r="N64" s="57" t="n">
        <f aca="false">-IF(N$5="A",Inputs_Actuals!N69,N48*Assumptions!$F$99*Assumptions!N$71)</f>
        <v>-5675.29754816213</v>
      </c>
      <c r="O64" s="57" t="n">
        <f aca="false">-IF(O$5="A",Inputs_Actuals!O69,O48*Assumptions!$F$99*Assumptions!O$71)</f>
        <v>-8172.63050494691</v>
      </c>
      <c r="P64" s="57" t="n">
        <f aca="false">-IF(P$5="A",Inputs_Actuals!P69,P48*Assumptions!$F$99*Assumptions!P$71)</f>
        <v>-7286.48420710847</v>
      </c>
      <c r="Q64" s="57" t="n">
        <f aca="false">-IF(Q$5="A",Inputs_Actuals!Q69,Q48*Assumptions!$F$99*Assumptions!Q$71)</f>
        <v>-1655.44030812028</v>
      </c>
      <c r="R64" s="57" t="n">
        <f aca="false">-IF(R$5="A",Inputs_Actuals!R69,R48*Assumptions!$F$99*Assumptions!R$71)</f>
        <v>-1571.95180042338</v>
      </c>
      <c r="S64" s="57" t="n">
        <f aca="false">-IF(S$5="A",Inputs_Actuals!S69,S48*Assumptions!$F$99*Assumptions!S$71)</f>
        <v>-1805.20244076799</v>
      </c>
      <c r="T64" s="57" t="n">
        <f aca="false">-IF(T$5="A",Inputs_Actuals!T69,T48*Assumptions!$F$99*Assumptions!T$71)</f>
        <v>-1904.14718614686</v>
      </c>
      <c r="U64" s="57" t="n">
        <f aca="false">-IF(U$5="A",Inputs_Actuals!U69,U48*Assumptions!$F$99*Assumptions!U$71)</f>
        <v>-2048.22567854481</v>
      </c>
      <c r="V64" s="57" t="n">
        <f aca="false">-IF(V$5="A",Inputs_Actuals!V69,V48*Assumptions!$F$99*Assumptions!V$71)</f>
        <v>-2026.79348826598</v>
      </c>
      <c r="W64" s="57" t="n">
        <f aca="false">-IF(W$5="A",Inputs_Actuals!W69,W48*Assumptions!$F$99*Assumptions!W$71)</f>
        <v>-1960.0293226963</v>
      </c>
      <c r="X64" s="57" t="n">
        <f aca="false">-IF(X$5="A",Inputs_Actuals!X69,X48*Assumptions!$F$99*Assumptions!X$71)</f>
        <v>-1956.30648888889</v>
      </c>
      <c r="Y64" s="57" t="n">
        <f aca="false">-IF(Y$5="A",Inputs_Actuals!Y69,Y48*Assumptions!$F$99*Assumptions!Y$71)</f>
        <v>-2246.58876161553</v>
      </c>
      <c r="Z64" s="57" t="n">
        <f aca="false">-IF(Z$5="A",Inputs_Actuals!Z69,Z48*Assumptions!$F$99*Assumptions!Z$71)</f>
        <v>-7264.38086164753</v>
      </c>
      <c r="AA64" s="57" t="n">
        <f aca="false">-IF(AA$5="A",Inputs_Actuals!AA69,AA48*Assumptions!$F$99*Assumptions!AA$71)</f>
        <v>-10460.967046332</v>
      </c>
      <c r="AB64" s="57" t="n">
        <f aca="false">-IF(AB$5="A",Inputs_Actuals!AB69,AB48*Assumptions!$F$99*Assumptions!AB$71)</f>
        <v>-9326.69978509884</v>
      </c>
    </row>
    <row r="65" customFormat="false" ht="15" hidden="false" customHeight="true" outlineLevel="0" collapsed="false">
      <c r="A65" s="28" t="s">
        <v>700</v>
      </c>
      <c r="B65" s="55" t="s">
        <v>701</v>
      </c>
      <c r="C65" s="56" t="n">
        <f aca="false">SUM(E65:P65)</f>
        <v>-17015.9626412027</v>
      </c>
      <c r="D65" s="56" t="n">
        <f aca="false">SUM(Q65:AB65)</f>
        <v>-20821.1361828679</v>
      </c>
      <c r="E65" s="57" t="n">
        <f aca="false">-IF(E$5="A",Inputs_Actuals!E71,E48*Assumptions!$F$100)</f>
        <v>-1230</v>
      </c>
      <c r="F65" s="57" t="n">
        <f aca="false">-IF(F$5="A",Inputs_Actuals!F71,F48*Assumptions!$F$100)</f>
        <v>-992</v>
      </c>
      <c r="G65" s="57" t="n">
        <f aca="false">-IF(G$5="A",Inputs_Actuals!G71,G48*Assumptions!$F$100)</f>
        <v>-1135</v>
      </c>
      <c r="H65" s="57" t="n">
        <f aca="false">-IF(H$5="A",Inputs_Actuals!H71,H48*Assumptions!$F$100)</f>
        <v>-1376</v>
      </c>
      <c r="I65" s="57" t="n">
        <f aca="false">-IF(I$5="A",Inputs_Actuals!I71,I48*Assumptions!$F$100)</f>
        <v>-1462</v>
      </c>
      <c r="J65" s="57" t="n">
        <f aca="false">-IF(J$5="A",Inputs_Actuals!J71,J48*Assumptions!$F$100)</f>
        <v>-1339</v>
      </c>
      <c r="K65" s="57" t="n">
        <f aca="false">-IF(K$5="A",Inputs_Actuals!K71,K48*Assumptions!$F$100)</f>
        <v>-1151</v>
      </c>
      <c r="L65" s="57" t="n">
        <f aca="false">-IF(L$5="A",Inputs_Actuals!L71,L48*Assumptions!$F$100)</f>
        <v>-1113</v>
      </c>
      <c r="M65" s="57" t="n">
        <f aca="false">-IF(M$5="A",Inputs_Actuals!M71,M48*Assumptions!$F$100)</f>
        <v>-1361.75234742321</v>
      </c>
      <c r="N65" s="57" t="n">
        <f aca="false">-IF(N$5="A",Inputs_Actuals!N71,N48*Assumptions!$F$100)</f>
        <v>-1572.58860632571</v>
      </c>
      <c r="O65" s="57" t="n">
        <f aca="false">-IF(O$5="A",Inputs_Actuals!O71,O48*Assumptions!$F$100)</f>
        <v>-2264.58357587815</v>
      </c>
      <c r="P65" s="57" t="n">
        <f aca="false">-IF(P$5="A",Inputs_Actuals!P71,P48*Assumptions!$F$100)</f>
        <v>-2019.03811157562</v>
      </c>
      <c r="Q65" s="57" t="n">
        <f aca="false">-IF(Q$5="A",Inputs_Actuals!Q71,Q48*Assumptions!$F$100)</f>
        <v>-1284.39334250712</v>
      </c>
      <c r="R65" s="57" t="n">
        <f aca="false">-IF(R$5="A",Inputs_Actuals!R71,R48*Assumptions!$F$100)</f>
        <v>-1219.61777619056</v>
      </c>
      <c r="S65" s="57" t="n">
        <f aca="false">-IF(S$5="A",Inputs_Actuals!S71,S48*Assumptions!$F$100)</f>
        <v>-1400.58810059585</v>
      </c>
      <c r="T65" s="57" t="n">
        <f aca="false">-IF(T$5="A",Inputs_Actuals!T71,T48*Assumptions!$F$100)</f>
        <v>-1477.35557545877</v>
      </c>
      <c r="U65" s="57" t="n">
        <f aca="false">-IF(U$5="A",Inputs_Actuals!U71,U48*Assumptions!$F$100)</f>
        <v>-1589.14061266408</v>
      </c>
      <c r="V65" s="57" t="n">
        <f aca="false">-IF(V$5="A",Inputs_Actuals!V71,V48*Assumptions!$F$100)</f>
        <v>-1572.51218917188</v>
      </c>
      <c r="W65" s="57" t="n">
        <f aca="false">-IF(W$5="A",Inputs_Actuals!W71,W48*Assumptions!$F$100)</f>
        <v>-1520.71240554023</v>
      </c>
      <c r="X65" s="57" t="n">
        <f aca="false">-IF(X$5="A",Inputs_Actuals!X71,X48*Assumptions!$F$100)</f>
        <v>-1517.824</v>
      </c>
      <c r="Y65" s="57" t="n">
        <f aca="false">-IF(Y$5="A",Inputs_Actuals!Y71,Y48*Assumptions!$F$100)</f>
        <v>-1743.0430047017</v>
      </c>
      <c r="Z65" s="57" t="n">
        <f aca="false">-IF(Z$5="A",Inputs_Actuals!Z71,Z48*Assumptions!$F$100)</f>
        <v>-2012.91341609691</v>
      </c>
      <c r="AA65" s="57" t="n">
        <f aca="false">-IF(AA$5="A",Inputs_Actuals!AA71,AA48*Assumptions!$F$100)</f>
        <v>-2898.66697712403</v>
      </c>
      <c r="AB65" s="57" t="n">
        <f aca="false">-IF(AB$5="A",Inputs_Actuals!AB71,AB48*Assumptions!$F$100)</f>
        <v>-2584.3687828168</v>
      </c>
    </row>
    <row r="66" customFormat="false" ht="15" hidden="false" customHeight="true" outlineLevel="0" collapsed="false">
      <c r="A66" s="28" t="s">
        <v>323</v>
      </c>
      <c r="B66" s="55" t="s">
        <v>310</v>
      </c>
      <c r="C66" s="56" t="n">
        <f aca="false">SUM(E66:P66)</f>
        <v>-532616.954255001</v>
      </c>
      <c r="D66" s="56" t="n">
        <f aca="false">SUM(Q66:AB66)</f>
        <v>-662164.30655564</v>
      </c>
      <c r="E66" s="69" t="n">
        <f aca="false">E62+E63+E64+E65</f>
        <v>-35797</v>
      </c>
      <c r="F66" s="69" t="n">
        <f aca="false">F62+F63+F64+F65</f>
        <v>-30519</v>
      </c>
      <c r="G66" s="69" t="n">
        <f aca="false">G62+G63+G64+G65</f>
        <v>-35949</v>
      </c>
      <c r="H66" s="69" t="n">
        <f aca="false">H62+H63+H64+H65</f>
        <v>-39900</v>
      </c>
      <c r="I66" s="69" t="n">
        <f aca="false">I62+I63+I64+I65</f>
        <v>-42684</v>
      </c>
      <c r="J66" s="69" t="n">
        <f aca="false">J62+J63+J64+J65</f>
        <v>-41790</v>
      </c>
      <c r="K66" s="69" t="n">
        <f aca="false">K62+K63+K64+K65</f>
        <v>-35620</v>
      </c>
      <c r="L66" s="69" t="n">
        <f aca="false">L62+L63+L64+L65</f>
        <v>-34959</v>
      </c>
      <c r="M66" s="69" t="n">
        <f aca="false">M62+M63+M64+M65</f>
        <v>-41785.3207640212</v>
      </c>
      <c r="N66" s="69" t="n">
        <f aca="false">N62+N63+N64+N65</f>
        <v>-51945.8140255189</v>
      </c>
      <c r="O66" s="69" t="n">
        <f aca="false">O62+O63+O64+O65</f>
        <v>-74865.2463804343</v>
      </c>
      <c r="P66" s="69" t="n">
        <f aca="false">P62+P63+P64+P65</f>
        <v>-66802.5730850266</v>
      </c>
      <c r="Q66" s="69" t="n">
        <f aca="false">Q62+Q63+Q64+Q65</f>
        <v>-39551.0302383047</v>
      </c>
      <c r="R66" s="69" t="n">
        <f aca="false">R62+R63+R64+R65</f>
        <v>-37589.6059208837</v>
      </c>
      <c r="S66" s="69" t="n">
        <f aca="false">S62+S63+S64+S65</f>
        <v>-43205.4990236462</v>
      </c>
      <c r="T66" s="69" t="n">
        <f aca="false">T62+T63+T64+T65</f>
        <v>-45614.0347652471</v>
      </c>
      <c r="U66" s="69" t="n">
        <f aca="false">U62+U63+U64+U65</f>
        <v>-49108.982378964</v>
      </c>
      <c r="V66" s="69" t="n">
        <f aca="false">V62+V63+V64+V65</f>
        <v>-48638.2652734485</v>
      </c>
      <c r="W66" s="69" t="n">
        <f aca="false">W62+W63+W64+W65</f>
        <v>-47077.8789301582</v>
      </c>
      <c r="X66" s="69" t="n">
        <f aca="false">X62+X63+X64+X65</f>
        <v>-47030.2460457441</v>
      </c>
      <c r="Y66" s="69" t="n">
        <f aca="false">Y62+Y63+Y64+Y65</f>
        <v>-54056.7918330513</v>
      </c>
      <c r="Z66" s="69" t="n">
        <f aca="false">Z62+Z63+Z64+Z65</f>
        <v>-67151.8096862993</v>
      </c>
      <c r="AA66" s="69" t="n">
        <f aca="false">AA62+AA63+AA64+AA65</f>
        <v>-96781.1929193162</v>
      </c>
      <c r="AB66" s="69" t="n">
        <f aca="false">AB62+AB63+AB64+AB65</f>
        <v>-86358.9695405764</v>
      </c>
    </row>
    <row r="67" customFormat="false" ht="15" hidden="false" customHeight="true" outlineLevel="0" collapsed="false">
      <c r="A67" s="70" t="s">
        <v>324</v>
      </c>
      <c r="B67" s="71" t="s">
        <v>671</v>
      </c>
      <c r="C67" s="72" t="n">
        <f aca="false">SUM(E67:P67)</f>
        <v>581673.541614653</v>
      </c>
      <c r="D67" s="72" t="n">
        <f aca="false">SUM(Q67:AB67)</f>
        <v>715480.036492688</v>
      </c>
      <c r="E67" s="72" t="n">
        <f aca="false">E60+E66</f>
        <v>43043.39</v>
      </c>
      <c r="F67" s="72" t="n">
        <f aca="false">F60+F66</f>
        <v>36038.81</v>
      </c>
      <c r="G67" s="72" t="n">
        <f aca="false">G60+G66</f>
        <v>42725.1</v>
      </c>
      <c r="H67" s="72" t="n">
        <f aca="false">H60+H66</f>
        <v>46384.73</v>
      </c>
      <c r="I67" s="72" t="n">
        <f aca="false">I60+I66</f>
        <v>51014.4</v>
      </c>
      <c r="J67" s="72" t="n">
        <f aca="false">J60+J66</f>
        <v>44043.7</v>
      </c>
      <c r="K67" s="72" t="n">
        <f aca="false">K60+K66</f>
        <v>41327.1</v>
      </c>
      <c r="L67" s="72" t="n">
        <f aca="false">L60+L66</f>
        <v>39531.59</v>
      </c>
      <c r="M67" s="72" t="n">
        <f aca="false">M60+M66</f>
        <v>47275.5699022335</v>
      </c>
      <c r="N67" s="72" t="n">
        <f aca="false">N60+N66</f>
        <v>51020.0707546365</v>
      </c>
      <c r="O67" s="72" t="n">
        <f aca="false">O60+O66</f>
        <v>73576.3476896221</v>
      </c>
      <c r="P67" s="72" t="n">
        <f aca="false">P60+P66</f>
        <v>65692.7332681606</v>
      </c>
      <c r="Q67" s="72" t="n">
        <f aca="false">Q60+Q66</f>
        <v>44829.5365013412</v>
      </c>
      <c r="R67" s="72" t="n">
        <f aca="false">R60+R66</f>
        <v>42625.5158951025</v>
      </c>
      <c r="S67" s="72" t="n">
        <f aca="false">S60+S66</f>
        <v>49015.6941779907</v>
      </c>
      <c r="T67" s="72" t="n">
        <f aca="false">T60+T66</f>
        <v>51771.1373990989</v>
      </c>
      <c r="U67" s="72" t="n">
        <f aca="false">U60+U66</f>
        <v>55762.4780956984</v>
      </c>
      <c r="V67" s="72" t="n">
        <f aca="false">V60+V66</f>
        <v>55252.2476129804</v>
      </c>
      <c r="W67" s="72" t="n">
        <f aca="false">W60+W66</f>
        <v>53503.0240531621</v>
      </c>
      <c r="X67" s="72" t="n">
        <f aca="false">X60+X66</f>
        <v>53472.081438765</v>
      </c>
      <c r="Y67" s="72" t="n">
        <f aca="false">Y60+Y66</f>
        <v>61487.5700851641</v>
      </c>
      <c r="Z67" s="72" t="n">
        <f aca="false">Z60+Z66</f>
        <v>66431.2519031645</v>
      </c>
      <c r="AA67" s="72" t="n">
        <f aca="false">AA60+AA66</f>
        <v>95798.2616143544</v>
      </c>
      <c r="AB67" s="72" t="n">
        <f aca="false">AB60+AB66</f>
        <v>85531.2377158658</v>
      </c>
    </row>
    <row r="68" customFormat="false" ht="15" hidden="false" customHeight="true" outlineLevel="0" collapsed="false">
      <c r="A68" s="28" t="s">
        <v>270</v>
      </c>
      <c r="B68" s="55" t="s">
        <v>672</v>
      </c>
      <c r="C68" s="59" t="n">
        <f aca="false">IF(C55=0,0,C67/C55)</f>
        <v>0.319268003887148</v>
      </c>
      <c r="D68" s="59" t="n">
        <f aca="false">IF(D55=0,0,D67/D55)</f>
        <v>0.314289413003302</v>
      </c>
      <c r="E68" s="58" t="n">
        <f aca="false">IF(E55=0,0,E67/E55)</f>
        <v>0.338924143900078</v>
      </c>
      <c r="F68" s="58" t="n">
        <f aca="false">IF(F55=0,0,F67/F55)</f>
        <v>0.332930090317198</v>
      </c>
      <c r="G68" s="58" t="n">
        <f aca="false">IF(G55=0,0,G67/G55)</f>
        <v>0.333987261532872</v>
      </c>
      <c r="H68" s="58" t="n">
        <f aca="false">IF(H55=0,0,H67/H55)</f>
        <v>0.330536930207952</v>
      </c>
      <c r="I68" s="58" t="n">
        <f aca="false">IF(I55=0,0,I67/I55)</f>
        <v>0.334355604656272</v>
      </c>
      <c r="J68" s="58" t="n">
        <f aca="false">IF(J55=0,0,J67/J55)</f>
        <v>0.315461862117216</v>
      </c>
      <c r="K68" s="58" t="n">
        <f aca="false">IF(K55=0,0,K67/K55)</f>
        <v>0.328704763833353</v>
      </c>
      <c r="L68" s="58" t="n">
        <f aca="false">IF(L55=0,0,L67/L55)</f>
        <v>0.322736206378278</v>
      </c>
      <c r="M68" s="58" t="n">
        <f aca="false">IF(M55=0,0,M67/M55)</f>
        <v>0.322990135214982</v>
      </c>
      <c r="N68" s="58" t="n">
        <f aca="false">IF(N55=0,0,N67/N55)</f>
        <v>0.301342140422137</v>
      </c>
      <c r="O68" s="58" t="n">
        <f aca="false">IF(O55=0,0,O67/O55)</f>
        <v>0.301277798036235</v>
      </c>
      <c r="P68" s="58" t="n">
        <f aca="false">IF(P55=0,0,P67/P55)</f>
        <v>0.301212777018803</v>
      </c>
      <c r="Q68" s="58" t="n">
        <f aca="false">IF(Q55=0,0,Q67/Q55)</f>
        <v>0.322589403078781</v>
      </c>
      <c r="R68" s="58" t="n">
        <f aca="false">IF(R55=0,0,R67/R55)</f>
        <v>0.322487670887946</v>
      </c>
      <c r="S68" s="58" t="n">
        <f aca="false">IF(S55=0,0,S67/S55)</f>
        <v>0.322385319799751</v>
      </c>
      <c r="T68" s="58" t="n">
        <f aca="false">IF(T55=0,0,T67/T55)</f>
        <v>0.322282350194862</v>
      </c>
      <c r="U68" s="58" t="n">
        <f aca="false">IF(U55=0,0,U67/U55)</f>
        <v>0.322178762452795</v>
      </c>
      <c r="V68" s="58" t="n">
        <f aca="false">IF(V55=0,0,V67/V55)</f>
        <v>0.322074556951921</v>
      </c>
      <c r="W68" s="58" t="n">
        <f aca="false">IF(W55=0,0,W67/W55)</f>
        <v>0.321969734069465</v>
      </c>
      <c r="X68" s="58" t="n">
        <f aca="false">IF(X55=0,0,X67/X55)</f>
        <v>0.321864294181507</v>
      </c>
      <c r="Y68" s="58" t="n">
        <f aca="false">IF(Y55=0,0,Y67/Y55)</f>
        <v>0.321758237662986</v>
      </c>
      <c r="Z68" s="58" t="n">
        <f aca="false">IF(Z55=0,0,Z67/Z55)</f>
        <v>0.300525347219954</v>
      </c>
      <c r="AA68" s="58" t="n">
        <f aca="false">IF(AA55=0,0,AA67/AA55)</f>
        <v>0.30045289269524</v>
      </c>
      <c r="AB68" s="58" t="n">
        <f aca="false">IF(AB55=0,0,AB67/AB55)</f>
        <v>0.300379765221398</v>
      </c>
    </row>
    <row r="69" customFormat="false" ht="15" hidden="false" customHeight="true" outlineLevel="0" collapsed="false">
      <c r="A69" s="28" t="s">
        <v>327</v>
      </c>
      <c r="B69" s="55" t="s">
        <v>702</v>
      </c>
      <c r="C69" s="56" t="n">
        <f aca="false">SUM(E69:P69)</f>
        <v>-172293.700940012</v>
      </c>
      <c r="D69" s="56" t="n">
        <f aca="false">SUM(Q69:AB69)</f>
        <v>-216267.556763331</v>
      </c>
      <c r="E69" s="57" t="n">
        <f aca="false">-IF(E$5="A",Inputs_Actuals!E70,Assumptions!$F$110*E55)</f>
        <v>-11057</v>
      </c>
      <c r="F69" s="57" t="n">
        <f aca="false">-IF(F$5="A",Inputs_Actuals!F70,Assumptions!$F$110*F55)</f>
        <v>-9410</v>
      </c>
      <c r="G69" s="57" t="n">
        <f aca="false">-IF(G$5="A",Inputs_Actuals!G70,Assumptions!$F$110*G55)</f>
        <v>-11456</v>
      </c>
      <c r="H69" s="57" t="n">
        <f aca="false">-IF(H$5="A",Inputs_Actuals!H70,Assumptions!$F$110*H55)</f>
        <v>-13283</v>
      </c>
      <c r="I69" s="57" t="n">
        <f aca="false">-IF(I$5="A",Inputs_Actuals!I70,Assumptions!$F$110*I55)</f>
        <v>-15111</v>
      </c>
      <c r="J69" s="57" t="n">
        <f aca="false">-IF(J$5="A",Inputs_Actuals!J70,Assumptions!$F$110*J55)</f>
        <v>-13890</v>
      </c>
      <c r="K69" s="57" t="n">
        <f aca="false">-IF(K$5="A",Inputs_Actuals!K70,Assumptions!$F$110*K55)</f>
        <v>-12615</v>
      </c>
      <c r="L69" s="57" t="n">
        <f aca="false">-IF(L$5="A",Inputs_Actuals!L70,Assumptions!$F$110*L55)</f>
        <v>-11563</v>
      </c>
      <c r="M69" s="57" t="n">
        <f aca="false">-IF(M$5="A",Inputs_Actuals!M70,Assumptions!$F$110*M55)</f>
        <v>-13905.0040575476</v>
      </c>
      <c r="N69" s="57" t="n">
        <f aca="false">-IF(N$5="A",Inputs_Actuals!N70,Assumptions!$F$110*N55)</f>
        <v>-16084.397339518</v>
      </c>
      <c r="O69" s="57" t="n">
        <f aca="false">-IF(O$5="A",Inputs_Actuals!O70,Assumptions!$F$110*O55)</f>
        <v>-23200.3588584162</v>
      </c>
      <c r="P69" s="57" t="n">
        <f aca="false">-IF(P$5="A",Inputs_Actuals!P70,Assumptions!$F$110*P55)</f>
        <v>-20718.9406845304</v>
      </c>
      <c r="Q69" s="57" t="n">
        <f aca="false">-IF(Q$5="A",Inputs_Actuals!Q70,Assumptions!$F$110*Q55)</f>
        <v>-13201.9400729891</v>
      </c>
      <c r="R69" s="57" t="n">
        <f aca="false">-IF(R$5="A",Inputs_Actuals!R70,Assumptions!$F$110*R55)</f>
        <v>-12556.8335647839</v>
      </c>
      <c r="S69" s="57" t="n">
        <f aca="false">-IF(S$5="A",Inputs_Actuals!S70,Assumptions!$F$110*S55)</f>
        <v>-14443.8678219017</v>
      </c>
      <c r="T69" s="57" t="n">
        <f aca="false">-IF(T$5="A",Inputs_Actuals!T70,Assumptions!$F$110*T55)</f>
        <v>-15260.7117638948</v>
      </c>
      <c r="U69" s="57" t="n">
        <f aca="false">-IF(U$5="A",Inputs_Actuals!U70,Assumptions!$F$110*U55)</f>
        <v>-16442.5345071202</v>
      </c>
      <c r="V69" s="57" t="n">
        <f aca="false">-IF(V$5="A",Inputs_Actuals!V70,Assumptions!$F$110*V55)</f>
        <v>-16297.3554102155</v>
      </c>
      <c r="W69" s="57" t="n">
        <f aca="false">-IF(W$5="A",Inputs_Actuals!W70,Assumptions!$F$110*W55)</f>
        <v>-15786.5375133484</v>
      </c>
      <c r="X69" s="57" t="n">
        <f aca="false">-IF(X$5="A",Inputs_Actuals!X70,Assumptions!$F$110*X55)</f>
        <v>-15782.576161797</v>
      </c>
      <c r="Y69" s="57" t="n">
        <f aca="false">-IF(Y$5="A",Inputs_Actuals!Y70,Assumptions!$F$110*Y55)</f>
        <v>-18154.3732975342</v>
      </c>
      <c r="Z69" s="57" t="n">
        <f aca="false">-IF(Z$5="A",Inputs_Actuals!Z70,Assumptions!$F$110*Z55)</f>
        <v>-20999.7891664746</v>
      </c>
      <c r="AA69" s="57" t="n">
        <f aca="false">-IF(AA$5="A",Inputs_Actuals!AA70,Assumptions!$F$110*AA55)</f>
        <v>-30290.3885255482</v>
      </c>
      <c r="AB69" s="57" t="n">
        <f aca="false">-IF(AB$5="A",Inputs_Actuals!AB70,Assumptions!$F$110*AB55)</f>
        <v>-27050.6489577229</v>
      </c>
    </row>
    <row r="70" customFormat="false" ht="15" hidden="false" customHeight="true" outlineLevel="0" collapsed="false">
      <c r="A70" s="70" t="s">
        <v>330</v>
      </c>
      <c r="B70" s="71" t="s">
        <v>677</v>
      </c>
      <c r="C70" s="72" t="n">
        <f aca="false">SUM(E70:P70)</f>
        <v>409379.840674641</v>
      </c>
      <c r="D70" s="72" t="n">
        <f aca="false">SUM(Q70:AB70)</f>
        <v>499212.479729357</v>
      </c>
      <c r="E70" s="72" t="n">
        <f aca="false">E67+E69</f>
        <v>31986.39</v>
      </c>
      <c r="F70" s="72" t="n">
        <f aca="false">F67+F69</f>
        <v>26628.81</v>
      </c>
      <c r="G70" s="72" t="n">
        <f aca="false">G67+G69</f>
        <v>31269.1</v>
      </c>
      <c r="H70" s="72" t="n">
        <f aca="false">H67+H69</f>
        <v>33101.73</v>
      </c>
      <c r="I70" s="72" t="n">
        <f aca="false">I67+I69</f>
        <v>35903.4</v>
      </c>
      <c r="J70" s="72" t="n">
        <f aca="false">J67+J69</f>
        <v>30153.7</v>
      </c>
      <c r="K70" s="72" t="n">
        <f aca="false">K67+K69</f>
        <v>28712.1</v>
      </c>
      <c r="L70" s="72" t="n">
        <f aca="false">L67+L69</f>
        <v>27968.59</v>
      </c>
      <c r="M70" s="72" t="n">
        <f aca="false">M67+M69</f>
        <v>33370.5658446859</v>
      </c>
      <c r="N70" s="72" t="n">
        <f aca="false">N67+N69</f>
        <v>34935.6734151185</v>
      </c>
      <c r="O70" s="72" t="n">
        <f aca="false">O67+O69</f>
        <v>50375.9888312059</v>
      </c>
      <c r="P70" s="72" t="n">
        <f aca="false">P67+P69</f>
        <v>44973.7925836302</v>
      </c>
      <c r="Q70" s="72" t="n">
        <f aca="false">Q67+Q69</f>
        <v>31627.596428352</v>
      </c>
      <c r="R70" s="72" t="n">
        <f aca="false">R67+R69</f>
        <v>30068.6823303186</v>
      </c>
      <c r="S70" s="72" t="n">
        <f aca="false">S67+S69</f>
        <v>34571.826356089</v>
      </c>
      <c r="T70" s="72" t="n">
        <f aca="false">T67+T69</f>
        <v>36510.425635204</v>
      </c>
      <c r="U70" s="72" t="n">
        <f aca="false">U67+U69</f>
        <v>39319.9435885783</v>
      </c>
      <c r="V70" s="72" t="n">
        <f aca="false">V67+V69</f>
        <v>38954.892202765</v>
      </c>
      <c r="W70" s="72" t="n">
        <f aca="false">W67+W69</f>
        <v>37716.4865398137</v>
      </c>
      <c r="X70" s="72" t="n">
        <f aca="false">X67+X69</f>
        <v>37689.505276968</v>
      </c>
      <c r="Y70" s="72" t="n">
        <f aca="false">Y67+Y69</f>
        <v>43333.1967876298</v>
      </c>
      <c r="Z70" s="72" t="n">
        <f aca="false">Z67+Z69</f>
        <v>45431.4627366899</v>
      </c>
      <c r="AA70" s="72" t="n">
        <f aca="false">AA67+AA69</f>
        <v>65507.8730888062</v>
      </c>
      <c r="AB70" s="72" t="n">
        <f aca="false">AB67+AB69</f>
        <v>58480.588758143</v>
      </c>
    </row>
    <row r="71" customFormat="false" ht="15" hidden="false" customHeight="true" outlineLevel="0" collapsed="false">
      <c r="A71" s="28" t="s">
        <v>271</v>
      </c>
      <c r="B71" s="55" t="s">
        <v>678</v>
      </c>
      <c r="C71" s="59" t="n">
        <f aca="false">IF(C55=0,0,C70/C55)</f>
        <v>0.224699724524205</v>
      </c>
      <c r="D71" s="59" t="n">
        <f aca="false">IF(D55=0,0,D70/D55)</f>
        <v>0.219289413003302</v>
      </c>
      <c r="E71" s="58" t="n">
        <f aca="false">IF(E55=0,0,E70/E55)</f>
        <v>0.251861199761544</v>
      </c>
      <c r="F71" s="58" t="n">
        <f aca="false">IF(F55=0,0,F70/F55)</f>
        <v>0.245999579851263</v>
      </c>
      <c r="G71" s="58" t="n">
        <f aca="false">IF(G55=0,0,G70/G55)</f>
        <v>0.244434327353184</v>
      </c>
      <c r="H71" s="58" t="n">
        <f aca="false">IF(H55=0,0,H70/H55)</f>
        <v>0.235882459998635</v>
      </c>
      <c r="I71" s="58" t="n">
        <f aca="false">IF(I55=0,0,I70/I55)</f>
        <v>0.235315969926452</v>
      </c>
      <c r="J71" s="58" t="n">
        <f aca="false">IF(J55=0,0,J70/J55)</f>
        <v>0.215975096363927</v>
      </c>
      <c r="K71" s="58" t="n">
        <f aca="false">IF(K55=0,0,K70/K55)</f>
        <v>0.228368408372705</v>
      </c>
      <c r="L71" s="58" t="n">
        <f aca="false">IF(L55=0,0,L70/L55)</f>
        <v>0.228335784984855</v>
      </c>
      <c r="M71" s="58" t="n">
        <f aca="false">IF(M55=0,0,M70/M55)</f>
        <v>0.227990135214982</v>
      </c>
      <c r="N71" s="58" t="n">
        <f aca="false">IF(N55=0,0,N70/N55)</f>
        <v>0.206342140422137</v>
      </c>
      <c r="O71" s="58" t="n">
        <f aca="false">IF(O55=0,0,O70/O55)</f>
        <v>0.206277798036235</v>
      </c>
      <c r="P71" s="58" t="n">
        <f aca="false">IF(P55=0,0,P70/P55)</f>
        <v>0.206212777018803</v>
      </c>
      <c r="Q71" s="58" t="n">
        <f aca="false">IF(Q55=0,0,Q70/Q55)</f>
        <v>0.227589403078781</v>
      </c>
      <c r="R71" s="58" t="n">
        <f aca="false">IF(R55=0,0,R70/R55)</f>
        <v>0.227487670887946</v>
      </c>
      <c r="S71" s="58" t="n">
        <f aca="false">IF(S55=0,0,S70/S55)</f>
        <v>0.227385319799751</v>
      </c>
      <c r="T71" s="58" t="n">
        <f aca="false">IF(T55=0,0,T70/T55)</f>
        <v>0.227282350194862</v>
      </c>
      <c r="U71" s="58" t="n">
        <f aca="false">IF(U55=0,0,U70/U55)</f>
        <v>0.227178762452795</v>
      </c>
      <c r="V71" s="58" t="n">
        <f aca="false">IF(V55=0,0,V70/V55)</f>
        <v>0.227074556951921</v>
      </c>
      <c r="W71" s="58" t="n">
        <f aca="false">IF(W55=0,0,W70/W55)</f>
        <v>0.226969734069465</v>
      </c>
      <c r="X71" s="58" t="n">
        <f aca="false">IF(X55=0,0,X70/X55)</f>
        <v>0.226864294181507</v>
      </c>
      <c r="Y71" s="58" t="n">
        <f aca="false">IF(Y55=0,0,Y70/Y55)</f>
        <v>0.226758237662986</v>
      </c>
      <c r="Z71" s="58" t="n">
        <f aca="false">IF(Z55=0,0,Z70/Z55)</f>
        <v>0.205525347219954</v>
      </c>
      <c r="AA71" s="58" t="n">
        <f aca="false">IF(AA55=0,0,AA70/AA55)</f>
        <v>0.20545289269524</v>
      </c>
      <c r="AB71" s="58" t="n">
        <f aca="false">IF(AB55=0,0,AB70/AB55)</f>
        <v>0.205379765221398</v>
      </c>
    </row>
    <row r="72" customFormat="false" ht="15" hidden="false" customHeight="true" outlineLevel="0" collapsed="false">
      <c r="A72" s="28" t="s">
        <v>679</v>
      </c>
      <c r="B72" s="55" t="s">
        <v>680</v>
      </c>
      <c r="C72" s="61" t="n">
        <f aca="false">IF(C49=0,0,C51/C49)</f>
        <v>62.8656978494693</v>
      </c>
      <c r="D72" s="61" t="n">
        <f aca="false">IF(D49=0,0,D51/D49)</f>
        <v>63.9337866345441</v>
      </c>
      <c r="E72" s="62" t="n">
        <f aca="false">IF(E49=0,0,E51/E49)</f>
        <v>62.7650989881214</v>
      </c>
      <c r="F72" s="62" t="n">
        <f aca="false">IF(F49=0,0,F51/F49)</f>
        <v>63.1204791029562</v>
      </c>
      <c r="G72" s="62" t="n">
        <f aca="false">IF(G49=0,0,G51/G49)</f>
        <v>62.9130589254766</v>
      </c>
      <c r="H72" s="62" t="n">
        <f aca="false">IF(H49=0,0,H51/H49)</f>
        <v>62.3772259864488</v>
      </c>
      <c r="I72" s="62" t="n">
        <f aca="false">IF(I49=0,0,I51/I49)</f>
        <v>63.8666468401487</v>
      </c>
      <c r="J72" s="62" t="n">
        <f aca="false">IF(J49=0,0,J51/J49)</f>
        <v>63.3389152269988</v>
      </c>
      <c r="K72" s="62" t="n">
        <f aca="false">IF(K49=0,0,K51/K49)</f>
        <v>61.0634499344119</v>
      </c>
      <c r="L72" s="62" t="n">
        <f aca="false">IF(L49=0,0,L51/L49)</f>
        <v>62.350026929982</v>
      </c>
      <c r="M72" s="62" t="n">
        <f aca="false">IF(M49=0,0,M51/M49)</f>
        <v>62.8516184623442</v>
      </c>
      <c r="N72" s="62" t="n">
        <f aca="false">IF(N49=0,0,N51/N49)</f>
        <v>62.9554230201921</v>
      </c>
      <c r="O72" s="62" t="n">
        <f aca="false">IF(O49=0,0,O51/O49)</f>
        <v>63.0593990197067</v>
      </c>
      <c r="P72" s="62" t="n">
        <f aca="false">IF(P49=0,0,P51/P49)</f>
        <v>63.1635467440379</v>
      </c>
      <c r="Q72" s="62" t="n">
        <f aca="false">IF(Q49=0,0,Q51/Q49)</f>
        <v>63.2678664768033</v>
      </c>
      <c r="R72" s="62" t="n">
        <f aca="false">IF(R49=0,0,R51/R49)</f>
        <v>63.3723585020888</v>
      </c>
      <c r="S72" s="62" t="n">
        <f aca="false">IF(S49=0,0,S51/S49)</f>
        <v>63.4770231044495</v>
      </c>
      <c r="T72" s="62" t="n">
        <f aca="false">IF(T49=0,0,T51/T49)</f>
        <v>63.5818605689103</v>
      </c>
      <c r="U72" s="62" t="n">
        <f aca="false">IF(U49=0,0,U51/U49)</f>
        <v>63.6868711809672</v>
      </c>
      <c r="V72" s="62" t="n">
        <f aca="false">IF(V49=0,0,V51/V49)</f>
        <v>63.7920552265875</v>
      </c>
      <c r="W72" s="62" t="n">
        <f aca="false">IF(W49=0,0,W51/W49)</f>
        <v>63.8974129922108</v>
      </c>
      <c r="X72" s="62" t="n">
        <f aca="false">IF(X49=0,0,X51/X49)</f>
        <v>64.0029447647498</v>
      </c>
      <c r="Y72" s="62" t="n">
        <f aca="false">IF(Y49=0,0,Y51/Y49)</f>
        <v>64.1086508315911</v>
      </c>
      <c r="Z72" s="62" t="n">
        <f aca="false">IF(Z49=0,0,Z51/Z49)</f>
        <v>64.2145314805959</v>
      </c>
      <c r="AA72" s="62" t="n">
        <f aca="false">IF(AA49=0,0,AA51/AA49)</f>
        <v>64.3205870001008</v>
      </c>
      <c r="AB72" s="62" t="n">
        <f aca="false">IF(AB49=0,0,AB51/AB49)</f>
        <v>64.4268176789187</v>
      </c>
    </row>
    <row r="73" customFormat="false" ht="15" hidden="false" customHeight="true" outlineLevel="0" collapsed="false">
      <c r="A73" s="28" t="s">
        <v>681</v>
      </c>
      <c r="B73" s="55" t="s">
        <v>682</v>
      </c>
      <c r="C73" s="61" t="n">
        <f aca="false">IF(C49=0,0,C55/C49)</f>
        <v>55.7261607668981</v>
      </c>
      <c r="D73" s="61" t="n">
        <f aca="false">IF(D49=0,0,D55/D49)</f>
        <v>56.5814011715716</v>
      </c>
      <c r="E73" s="62" t="n">
        <f aca="false">IF(E49=0,0,E55/E49)</f>
        <v>55.8733260008799</v>
      </c>
      <c r="F73" s="62" t="n">
        <f aca="false">IF(F49=0,0,F55/F49)</f>
        <v>55.1719571865443</v>
      </c>
      <c r="G73" s="62" t="n">
        <f aca="false">IF(G49=0,0,G55/G49)</f>
        <v>55.4264904679376</v>
      </c>
      <c r="H73" s="62" t="n">
        <f aca="false">IF(H49=0,0,H55/H49)</f>
        <v>55.9312315663611</v>
      </c>
      <c r="I73" s="62" t="n">
        <f aca="false">IF(I49=0,0,I55/I49)</f>
        <v>56.7194349442379</v>
      </c>
      <c r="J73" s="62" t="n">
        <f aca="false">IF(J49=0,0,J55/J49)</f>
        <v>56.0934351145038</v>
      </c>
      <c r="K73" s="62" t="n">
        <f aca="false">IF(K49=0,0,K55/K49)</f>
        <v>54.9746873633581</v>
      </c>
      <c r="L73" s="62" t="n">
        <f aca="false">IF(L49=0,0,L55/L49)</f>
        <v>54.9770466786355</v>
      </c>
      <c r="M73" s="62" t="n">
        <f aca="false">IF(M49=0,0,M55/M49)</f>
        <v>55.6236823391746</v>
      </c>
      <c r="N73" s="62" t="n">
        <f aca="false">IF(N49=0,0,N55/N49)</f>
        <v>55.71554937287</v>
      </c>
      <c r="O73" s="62" t="n">
        <f aca="false">IF(O49=0,0,O55/O49)</f>
        <v>55.8075681324404</v>
      </c>
      <c r="P73" s="62" t="n">
        <f aca="false">IF(P49=0,0,P55/P49)</f>
        <v>55.8997388684736</v>
      </c>
      <c r="Q73" s="62" t="n">
        <f aca="false">IF(Q49=0,0,Q55/Q49)</f>
        <v>55.992061831971</v>
      </c>
      <c r="R73" s="62" t="n">
        <f aca="false">IF(R49=0,0,R55/R49)</f>
        <v>56.0845372743486</v>
      </c>
      <c r="S73" s="62" t="n">
        <f aca="false">IF(S49=0,0,S55/S49)</f>
        <v>56.1771654474378</v>
      </c>
      <c r="T73" s="62" t="n">
        <f aca="false">IF(T49=0,0,T55/T49)</f>
        <v>56.2699466034856</v>
      </c>
      <c r="U73" s="62" t="n">
        <f aca="false">IF(U49=0,0,U55/U49)</f>
        <v>56.362880995156</v>
      </c>
      <c r="V73" s="62" t="n">
        <f aca="false">IF(V49=0,0,V55/V49)</f>
        <v>56.4559688755299</v>
      </c>
      <c r="W73" s="62" t="n">
        <f aca="false">IF(W49=0,0,W55/W49)</f>
        <v>56.5492104981066</v>
      </c>
      <c r="X73" s="62" t="n">
        <f aca="false">IF(X49=0,0,X55/X49)</f>
        <v>56.6426061168036</v>
      </c>
      <c r="Y73" s="62" t="n">
        <f aca="false">IF(Y49=0,0,Y55/Y49)</f>
        <v>56.7361559859581</v>
      </c>
      <c r="Z73" s="62" t="n">
        <f aca="false">IF(Z49=0,0,Z55/Z49)</f>
        <v>56.8298603603274</v>
      </c>
      <c r="AA73" s="62" t="n">
        <f aca="false">IF(AA49=0,0,AA55/AA49)</f>
        <v>56.9237194950892</v>
      </c>
      <c r="AB73" s="62" t="n">
        <f aca="false">IF(AB49=0,0,AB55/AB49)</f>
        <v>57.0177336458431</v>
      </c>
    </row>
    <row r="74" customFormat="false" ht="15" hidden="false" customHeight="true" outlineLevel="0" collapsed="false">
      <c r="A74" s="28" t="s">
        <v>683</v>
      </c>
      <c r="B74" s="55"/>
      <c r="C74" s="59" t="n">
        <f aca="false">IF(C51=0,0,-C52/C51)</f>
        <v>0.0398275678972661</v>
      </c>
      <c r="D74" s="59" t="n">
        <f aca="false">IF(D51=0,0,-D52/D51)</f>
        <v>0.04</v>
      </c>
      <c r="E74" s="58" t="n">
        <f aca="false">IF(E51=0,0,-E52/E51)</f>
        <v>0.0352574039321608</v>
      </c>
      <c r="F74" s="58" t="n">
        <f aca="false">IF(F51=0,0,-F52/F51)</f>
        <v>0.0432646724005143</v>
      </c>
      <c r="G74" s="58" t="n">
        <f aca="false">IF(G51=0,0,-G52/G51)</f>
        <v>0.0441587638411072</v>
      </c>
      <c r="H74" s="58" t="n">
        <f aca="false">IF(H51=0,0,-H52/H51)</f>
        <v>0.0372449449683415</v>
      </c>
      <c r="I74" s="58" t="n">
        <f aca="false">IF(I51=0,0,-I52/I51)</f>
        <v>0.0436841914099825</v>
      </c>
      <c r="J74" s="58" t="n">
        <f aca="false">IF(J51=0,0,-J52/J51)</f>
        <v>0.039492406497002</v>
      </c>
      <c r="K74" s="58" t="n">
        <f aca="false">IF(K51=0,0,-K52/K51)</f>
        <v>0.0348652089825209</v>
      </c>
      <c r="L74" s="58" t="n">
        <f aca="false">IF(L51=0,0,-L52/L51)</f>
        <v>0.039347559018819</v>
      </c>
      <c r="M74" s="58" t="n">
        <f aca="false">IF(M51=0,0,-M52/M51)</f>
        <v>0.04</v>
      </c>
      <c r="N74" s="58" t="n">
        <f aca="false">IF(N51=0,0,-N52/N51)</f>
        <v>0.04</v>
      </c>
      <c r="O74" s="58" t="n">
        <f aca="false">IF(O51=0,0,-O52/O51)</f>
        <v>0.04</v>
      </c>
      <c r="P74" s="58" t="n">
        <f aca="false">IF(P51=0,0,-P52/P51)</f>
        <v>0.04</v>
      </c>
      <c r="Q74" s="58" t="n">
        <f aca="false">IF(Q51=0,0,-Q52/Q51)</f>
        <v>0.04</v>
      </c>
      <c r="R74" s="58" t="n">
        <f aca="false">IF(R51=0,0,-R52/R51)</f>
        <v>0.04</v>
      </c>
      <c r="S74" s="58" t="n">
        <f aca="false">IF(S51=0,0,-S52/S51)</f>
        <v>0.04</v>
      </c>
      <c r="T74" s="58" t="n">
        <f aca="false">IF(T51=0,0,-T52/T51)</f>
        <v>0.04</v>
      </c>
      <c r="U74" s="58" t="n">
        <f aca="false">IF(U51=0,0,-U52/U51)</f>
        <v>0.04</v>
      </c>
      <c r="V74" s="58" t="n">
        <f aca="false">IF(V51=0,0,-V52/V51)</f>
        <v>0.04</v>
      </c>
      <c r="W74" s="58" t="n">
        <f aca="false">IF(W51=0,0,-W52/W51)</f>
        <v>0.04</v>
      </c>
      <c r="X74" s="58" t="n">
        <f aca="false">IF(X51=0,0,-X52/X51)</f>
        <v>0.04</v>
      </c>
      <c r="Y74" s="58" t="n">
        <f aca="false">IF(Y51=0,0,-Y52/Y51)</f>
        <v>0.04</v>
      </c>
      <c r="Z74" s="58" t="n">
        <f aca="false">IF(Z51=0,0,-Z52/Z51)</f>
        <v>0.04</v>
      </c>
      <c r="AA74" s="58" t="n">
        <f aca="false">IF(AA51=0,0,-AA52/AA51)</f>
        <v>0.04</v>
      </c>
      <c r="AB74" s="58" t="n">
        <f aca="false">IF(AB51=0,0,-AB52/AB51)</f>
        <v>0.04</v>
      </c>
    </row>
    <row r="75" customFormat="false" ht="15" hidden="false" customHeight="true" outlineLevel="0" collapsed="false">
      <c r="A75" s="28" t="s">
        <v>684</v>
      </c>
      <c r="B75" s="55"/>
      <c r="C75" s="59" t="n">
        <f aca="false">IF(C51=0,0,-C53/C51)</f>
        <v>0.073740519737214</v>
      </c>
      <c r="D75" s="59" t="n">
        <f aca="false">IF(D51=0,0,-D53/D51)</f>
        <v>0.075</v>
      </c>
      <c r="E75" s="58" t="n">
        <f aca="false">IF(E51=0,0,-E53/E51)</f>
        <v>0.0745452268028888</v>
      </c>
      <c r="F75" s="58" t="n">
        <f aca="false">IF(F51=0,0,-F53/F51)</f>
        <v>0.0826615250772797</v>
      </c>
      <c r="G75" s="58" t="n">
        <f aca="false">IF(G51=0,0,-G53/G51)</f>
        <v>0.0748398762728185</v>
      </c>
      <c r="H75" s="58" t="n">
        <f aca="false">IF(H51=0,0,-H53/H51)</f>
        <v>0.0660939630730013</v>
      </c>
      <c r="I75" s="58" t="n">
        <f aca="false">IF(I51=0,0,-I53/I51)</f>
        <v>0.0682241715544844</v>
      </c>
      <c r="J75" s="58" t="n">
        <f aca="false">IF(J51=0,0,-J53/J51)</f>
        <v>0.0748998290903629</v>
      </c>
      <c r="K75" s="58" t="n">
        <f aca="false">IF(K51=0,0,-K53/K51)</f>
        <v>0.0648468540862003</v>
      </c>
      <c r="L75" s="58" t="n">
        <f aca="false">IF(L51=0,0,-L53/L51)</f>
        <v>0.0789038774982209</v>
      </c>
      <c r="M75" s="58" t="n">
        <f aca="false">IF(M51=0,0,-M53/M51)</f>
        <v>0.075</v>
      </c>
      <c r="N75" s="58" t="n">
        <f aca="false">IF(N51=0,0,-N53/N51)</f>
        <v>0.075</v>
      </c>
      <c r="O75" s="58" t="n">
        <f aca="false">IF(O51=0,0,-O53/O51)</f>
        <v>0.075</v>
      </c>
      <c r="P75" s="58" t="n">
        <f aca="false">IF(P51=0,0,-P53/P51)</f>
        <v>0.075</v>
      </c>
      <c r="Q75" s="58" t="n">
        <f aca="false">IF(Q51=0,0,-Q53/Q51)</f>
        <v>0.075</v>
      </c>
      <c r="R75" s="58" t="n">
        <f aca="false">IF(R51=0,0,-R53/R51)</f>
        <v>0.075</v>
      </c>
      <c r="S75" s="58" t="n">
        <f aca="false">IF(S51=0,0,-S53/S51)</f>
        <v>0.075</v>
      </c>
      <c r="T75" s="58" t="n">
        <f aca="false">IF(T51=0,0,-T53/T51)</f>
        <v>0.075</v>
      </c>
      <c r="U75" s="58" t="n">
        <f aca="false">IF(U51=0,0,-U53/U51)</f>
        <v>0.075</v>
      </c>
      <c r="V75" s="58" t="n">
        <f aca="false">IF(V51=0,0,-V53/V51)</f>
        <v>0.075</v>
      </c>
      <c r="W75" s="58" t="n">
        <f aca="false">IF(W51=0,0,-W53/W51)</f>
        <v>0.075</v>
      </c>
      <c r="X75" s="58" t="n">
        <f aca="false">IF(X51=0,0,-X53/X51)</f>
        <v>0.075</v>
      </c>
      <c r="Y75" s="58" t="n">
        <f aca="false">IF(Y51=0,0,-Y53/Y51)</f>
        <v>0.075</v>
      </c>
      <c r="Z75" s="58" t="n">
        <f aca="false">IF(Z51=0,0,-Z53/Z51)</f>
        <v>0.075</v>
      </c>
      <c r="AA75" s="58" t="n">
        <f aca="false">IF(AA51=0,0,-AA53/AA51)</f>
        <v>0.075</v>
      </c>
      <c r="AB75" s="58" t="n">
        <f aca="false">IF(AB51=0,0,-AB53/AB51)</f>
        <v>0.075</v>
      </c>
    </row>
    <row r="76" customFormat="false" ht="15" hidden="false" customHeight="true" outlineLevel="0" collapsed="false">
      <c r="A76" s="28" t="s">
        <v>685</v>
      </c>
      <c r="B76" s="55"/>
      <c r="C76" s="59" t="n">
        <f aca="false">IF(C55=0,0,-C66/C55)</f>
        <v>0.292341905993207</v>
      </c>
      <c r="D76" s="59" t="n">
        <f aca="false">IF(D55=0,0,-D66/D55)</f>
        <v>0.290869375250887</v>
      </c>
      <c r="E76" s="58" t="n">
        <f aca="false">IF(E55=0,0,-E66/E55)</f>
        <v>0.281865986373078</v>
      </c>
      <c r="F76" s="58" t="n">
        <f aca="false">IF(F55=0,0,-F66/F55)</f>
        <v>0.281937539735373</v>
      </c>
      <c r="G76" s="58" t="n">
        <f aca="false">IF(G55=0,0,-G66/G55)</f>
        <v>0.281017670288547</v>
      </c>
      <c r="H76" s="58" t="n">
        <f aca="false">IF(H55=0,0,-H66/H55)</f>
        <v>0.284326835906931</v>
      </c>
      <c r="I76" s="58" t="n">
        <f aca="false">IF(I55=0,0,-I66/I55)</f>
        <v>0.279756982913615</v>
      </c>
      <c r="J76" s="58" t="n">
        <f aca="false">IF(J55=0,0,-J66/J55)</f>
        <v>0.299319794156223</v>
      </c>
      <c r="K76" s="58" t="n">
        <f aca="false">IF(K55=0,0,-K66/K55)</f>
        <v>0.283312008046634</v>
      </c>
      <c r="L76" s="58" t="n">
        <f aca="false">IF(L55=0,0,-L66/L55)</f>
        <v>0.285405546267636</v>
      </c>
      <c r="M76" s="58" t="n">
        <f aca="false">IF(M55=0,0,-M66/M55)</f>
        <v>0.285480353414734</v>
      </c>
      <c r="N76" s="58" t="n">
        <f aca="false">IF(N55=0,0,-N66/N55)</f>
        <v>0.306809899572662</v>
      </c>
      <c r="O76" s="58" t="n">
        <f aca="false">IF(O55=0,0,-O66/O55)</f>
        <v>0.306555534314989</v>
      </c>
      <c r="P76" s="58" t="n">
        <f aca="false">IF(P55=0,0,-P66/P55)</f>
        <v>0.306301588469525</v>
      </c>
      <c r="Q76" s="58" t="n">
        <f aca="false">IF(Q55=0,0,-Q66/Q55)</f>
        <v>0.284605736116496</v>
      </c>
      <c r="R76" s="58" t="n">
        <f aca="false">IF(R55=0,0,-R66/R55)</f>
        <v>0.284387982373119</v>
      </c>
      <c r="S76" s="58" t="n">
        <f aca="false">IF(S55=0,0,-S66/S55)</f>
        <v>0.284170587674761</v>
      </c>
      <c r="T76" s="58" t="n">
        <f aca="false">IF(T55=0,0,-T66/T55)</f>
        <v>0.283953551429408</v>
      </c>
      <c r="U76" s="58" t="n">
        <f aca="false">IF(U55=0,0,-U66/U55)</f>
        <v>0.283736873046021</v>
      </c>
      <c r="V76" s="58" t="n">
        <f aca="false">IF(V55=0,0,-V66/V55)</f>
        <v>0.283520551934537</v>
      </c>
      <c r="W76" s="58" t="n">
        <f aca="false">IF(W55=0,0,-W66/W55)</f>
        <v>0.283304587505866</v>
      </c>
      <c r="X76" s="58" t="n">
        <f aca="false">IF(X55=0,0,-X66/X55)</f>
        <v>0.283088979171887</v>
      </c>
      <c r="Y76" s="58" t="n">
        <f aca="false">IF(Y55=0,0,-Y66/Y55)</f>
        <v>0.282873726345452</v>
      </c>
      <c r="Z76" s="58" t="n">
        <f aca="false">IF(Z55=0,0,-Z66/Z55)</f>
        <v>0.303785046108127</v>
      </c>
      <c r="AA76" s="58" t="n">
        <f aca="false">IF(AA55=0,0,-AA66/AA55)</f>
        <v>0.303535668404525</v>
      </c>
      <c r="AB76" s="58" t="n">
        <f aca="false">IF(AB55=0,0,-AB66/AB55)</f>
        <v>0.303286701889365</v>
      </c>
    </row>
    <row r="77" customFormat="false" ht="15" hidden="false" customHeight="true" outlineLevel="0" collapsed="false">
      <c r="A77" s="28" t="s">
        <v>686</v>
      </c>
      <c r="B77" s="55"/>
      <c r="C77" s="59" t="n">
        <f aca="false">IF(C55=0,0,-C69/C55)</f>
        <v>0.0945682793629431</v>
      </c>
      <c r="D77" s="59" t="n">
        <f aca="false">IF(D55=0,0,-D69/D55)</f>
        <v>0.095</v>
      </c>
      <c r="E77" s="58" t="n">
        <f aca="false">IF(E55=0,0,-E69/E55)</f>
        <v>0.0870629441385347</v>
      </c>
      <c r="F77" s="58" t="n">
        <f aca="false">IF(F55=0,0,-F69/F55)</f>
        <v>0.0869305104659346</v>
      </c>
      <c r="G77" s="58" t="n">
        <f aca="false">IF(G55=0,0,-G69/G55)</f>
        <v>0.0895529341796878</v>
      </c>
      <c r="H77" s="58" t="n">
        <f aca="false">IF(H55=0,0,-H69/H55)</f>
        <v>0.0946544702093173</v>
      </c>
      <c r="I77" s="58" t="n">
        <f aca="false">IF(I55=0,0,-I69/I55)</f>
        <v>0.0990396347298199</v>
      </c>
      <c r="J77" s="58" t="n">
        <f aca="false">IF(J55=0,0,-J69/J55)</f>
        <v>0.0994867657532889</v>
      </c>
      <c r="K77" s="58" t="n">
        <f aca="false">IF(K55=0,0,-K69/K55)</f>
        <v>0.100336355460648</v>
      </c>
      <c r="L77" s="58" t="n">
        <f aca="false">IF(L55=0,0,-L69/L55)</f>
        <v>0.0944004213934231</v>
      </c>
      <c r="M77" s="58" t="n">
        <f aca="false">IF(M55=0,0,-M69/M55)</f>
        <v>0.095</v>
      </c>
      <c r="N77" s="58" t="n">
        <f aca="false">IF(N55=0,0,-N69/N55)</f>
        <v>0.095</v>
      </c>
      <c r="O77" s="58" t="n">
        <f aca="false">IF(O55=0,0,-O69/O55)</f>
        <v>0.095</v>
      </c>
      <c r="P77" s="58" t="n">
        <f aca="false">IF(P55=0,0,-P69/P55)</f>
        <v>0.095</v>
      </c>
      <c r="Q77" s="58" t="n">
        <f aca="false">IF(Q55=0,0,-Q69/Q55)</f>
        <v>0.095</v>
      </c>
      <c r="R77" s="58" t="n">
        <f aca="false">IF(R55=0,0,-R69/R55)</f>
        <v>0.095</v>
      </c>
      <c r="S77" s="58" t="n">
        <f aca="false">IF(S55=0,0,-S69/S55)</f>
        <v>0.095</v>
      </c>
      <c r="T77" s="58" t="n">
        <f aca="false">IF(T55=0,0,-T69/T55)</f>
        <v>0.095</v>
      </c>
      <c r="U77" s="58" t="n">
        <f aca="false">IF(U55=0,0,-U69/U55)</f>
        <v>0.095</v>
      </c>
      <c r="V77" s="58" t="n">
        <f aca="false">IF(V55=0,0,-V69/V55)</f>
        <v>0.095</v>
      </c>
      <c r="W77" s="58" t="n">
        <f aca="false">IF(W55=0,0,-W69/W55)</f>
        <v>0.095</v>
      </c>
      <c r="X77" s="58" t="n">
        <f aca="false">IF(X55=0,0,-X69/X55)</f>
        <v>0.095</v>
      </c>
      <c r="Y77" s="58" t="n">
        <f aca="false">IF(Y55=0,0,-Y69/Y55)</f>
        <v>0.095</v>
      </c>
      <c r="Z77" s="58" t="n">
        <f aca="false">IF(Z55=0,0,-Z69/Z55)</f>
        <v>0.095</v>
      </c>
      <c r="AA77" s="58" t="n">
        <f aca="false">IF(AA55=0,0,-AA69/AA55)</f>
        <v>0.095</v>
      </c>
      <c r="AB77" s="58" t="n">
        <f aca="false">IF(AB55=0,0,-AB69/AB55)</f>
        <v>0.095</v>
      </c>
    </row>
    <row r="78" customFormat="false" ht="15" hidden="false" customHeight="true" outlineLevel="0" collapsed="false">
      <c r="A78" s="28" t="s">
        <v>687</v>
      </c>
      <c r="B78" s="55" t="s">
        <v>688</v>
      </c>
      <c r="C78" s="61" t="n">
        <f aca="false">IF(C49=0,0,C70/C49)</f>
        <v>12.5216529731136</v>
      </c>
      <c r="D78" s="61" t="n">
        <f aca="false">IF(D49=0,0,D70/D49)</f>
        <v>12.4077022498182</v>
      </c>
      <c r="E78" s="62" t="n">
        <f aca="false">IF(E49=0,0,E70/E49)</f>
        <v>14.0723229212495</v>
      </c>
      <c r="F78" s="62" t="n">
        <f aca="false">IF(F49=0,0,F70/F49)</f>
        <v>13.5722782874618</v>
      </c>
      <c r="G78" s="62" t="n">
        <f aca="false">IF(G49=0,0,G70/G49)</f>
        <v>13.548136915078</v>
      </c>
      <c r="H78" s="62" t="n">
        <f aca="false">IF(H49=0,0,H70/H49)</f>
        <v>13.1931964926265</v>
      </c>
      <c r="I78" s="62" t="n">
        <f aca="false">IF(I49=0,0,I70/I49)</f>
        <v>13.3469888475836</v>
      </c>
      <c r="J78" s="62" t="n">
        <f aca="false">IF(J49=0,0,J70/J49)</f>
        <v>12.1147850542386</v>
      </c>
      <c r="K78" s="62" t="n">
        <f aca="false">IF(K49=0,0,K70/K49)</f>
        <v>12.5544818539572</v>
      </c>
      <c r="L78" s="62" t="n">
        <f aca="false">IF(L49=0,0,L70/L49)</f>
        <v>12.5532271095153</v>
      </c>
      <c r="M78" s="62" t="n">
        <f aca="false">IF(M49=0,0,M70/M49)</f>
        <v>12.6816508576636</v>
      </c>
      <c r="N78" s="62" t="n">
        <f aca="false">IF(N49=0,0,N70/N49)</f>
        <v>11.4964657123932</v>
      </c>
      <c r="O78" s="62" t="n">
        <f aca="false">IF(O49=0,0,O70/O49)</f>
        <v>11.511862268117</v>
      </c>
      <c r="P78" s="62" t="n">
        <f aca="false">IF(P49=0,0,P70/P49)</f>
        <v>11.5272403866939</v>
      </c>
      <c r="Q78" s="62" t="n">
        <f aca="false">IF(Q49=0,0,Q70/Q49)</f>
        <v>12.7431999294885</v>
      </c>
      <c r="R78" s="62" t="n">
        <f aca="false">IF(R49=0,0,R70/R49)</f>
        <v>12.7585407573697</v>
      </c>
      <c r="S78" s="62" t="n">
        <f aca="false">IF(S49=0,0,S70/S49)</f>
        <v>12.7738627307091</v>
      </c>
      <c r="T78" s="62" t="n">
        <f aca="false">IF(T49=0,0,T70/T49)</f>
        <v>12.7891657093796</v>
      </c>
      <c r="U78" s="62" t="n">
        <f aca="false">IF(U49=0,0,U70/U49)</f>
        <v>12.8044495527537</v>
      </c>
      <c r="V78" s="62" t="n">
        <f aca="false">IF(V49=0,0,V70/V49)</f>
        <v>12.8197141197024</v>
      </c>
      <c r="W78" s="62" t="n">
        <f aca="false">IF(W49=0,0,W70/W49)</f>
        <v>12.8349592685934</v>
      </c>
      <c r="X78" s="62" t="n">
        <f aca="false">IF(X49=0,0,X70/X49)</f>
        <v>12.8501848572897</v>
      </c>
      <c r="Y78" s="62" t="n">
        <f aca="false">IF(Y49=0,0,Y70/Y49)</f>
        <v>12.8653907431482</v>
      </c>
      <c r="Z78" s="62" t="n">
        <f aca="false">IF(Z49=0,0,Z70/Z49)</f>
        <v>11.6799767830178</v>
      </c>
      <c r="AA78" s="62" t="n">
        <f aca="false">IF(AA49=0,0,AA70/AA49)</f>
        <v>11.6951428332385</v>
      </c>
      <c r="AB78" s="62" t="n">
        <f aca="false">IF(AB49=0,0,AB70/AB49)</f>
        <v>11.7102887496395</v>
      </c>
    </row>
    <row r="80" customFormat="false" ht="15" hidden="false" customHeight="true" outlineLevel="0" collapsed="false">
      <c r="A80" s="22" t="s">
        <v>703</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row>
    <row r="81" customFormat="false" ht="15" hidden="false" customHeight="true" outlineLevel="0" collapsed="false">
      <c r="A81" s="28" t="s">
        <v>640</v>
      </c>
      <c r="B81" s="55" t="s">
        <v>641</v>
      </c>
      <c r="C81" s="113" t="n">
        <f aca="false">IFERROR(SUMIFS(Inputs_Actuals!$E$29:$AB$29,Assumptions!$E$62:$AB$62,"&gt;"&amp;(Assumptions!$C$10-Assumptions!$C$29),Assumptions!$E$62:$AB$62,"&lt;="&amp;Assumptions!$C$10)/SUMIFS(Assumptions!$E$69:$AB$69,Assumptions!$E$62:$AB$62,"&gt;"&amp;(Assumptions!$C$10-Assumptions!$C$29),Assumptions!$E$62:$AB$62,"&lt;="&amp;Assumptions!$C$10),0)</f>
        <v>823.443223443224</v>
      </c>
    </row>
    <row r="82" customFormat="false" ht="15" hidden="false" customHeight="true" outlineLevel="0" collapsed="false">
      <c r="A82" s="28" t="s">
        <v>642</v>
      </c>
      <c r="B82" s="55" t="s">
        <v>643</v>
      </c>
      <c r="C82" s="56" t="n">
        <f aca="false">SUM(E82:P82)</f>
        <v>8914.42000185374</v>
      </c>
      <c r="D82" s="56" t="n">
        <f aca="false">SUM(Q82:AB82)</f>
        <v>16691.4547634545</v>
      </c>
      <c r="E82" s="57" t="n">
        <f aca="false">IF(E$5="A",Volume_Price!E110,Channel_PL!$C$81*Assumptions!E$69*(1+Assumptions!$F$80)^(Assumptions!E$68/12))</f>
        <v>243</v>
      </c>
      <c r="F82" s="57" t="n">
        <f aca="false">IF(F$5="A",Volume_Price!F110,Channel_PL!$C$81*Assumptions!F$69*(1+Assumptions!$F$80)^(Assumptions!F$68/12))</f>
        <v>278</v>
      </c>
      <c r="G82" s="57" t="n">
        <f aca="false">IF(G$5="A",Volume_Price!G110,Channel_PL!$C$81*Assumptions!G$69*(1+Assumptions!$F$80)^(Assumptions!G$68/12))</f>
        <v>385</v>
      </c>
      <c r="H82" s="57" t="n">
        <f aca="false">IF(H$5="A",Volume_Price!H110,Channel_PL!$C$81*Assumptions!H$69*(1+Assumptions!$F$80)^(Assumptions!H$68/12))</f>
        <v>495</v>
      </c>
      <c r="I82" s="57" t="n">
        <f aca="false">IF(I$5="A",Volume_Price!I110,Channel_PL!$C$81*Assumptions!I$69*(1+Assumptions!$F$80)^(Assumptions!I$68/12))</f>
        <v>564</v>
      </c>
      <c r="J82" s="57" t="n">
        <f aca="false">IF(J$5="A",Volume_Price!J110,Channel_PL!$C$81*Assumptions!J$69*(1+Assumptions!$F$80)^(Assumptions!J$68/12))</f>
        <v>683</v>
      </c>
      <c r="K82" s="57" t="n">
        <f aca="false">IF(K$5="A",Volume_Price!K110,Channel_PL!$C$81*Assumptions!K$69*(1+Assumptions!$F$80)^(Assumptions!K$68/12))</f>
        <v>709</v>
      </c>
      <c r="L82" s="57" t="n">
        <f aca="false">IF(L$5="A",Volume_Price!L110,Channel_PL!$C$81*Assumptions!L$69*(1+Assumptions!$F$80)^(Assumptions!L$68/12))</f>
        <v>856</v>
      </c>
      <c r="M82" s="57" t="n">
        <f aca="false">IF(M$5="A",Volume_Price!M110,Channel_PL!$C$81*Assumptions!M$69*(1+Assumptions!$F$80)^(Assumptions!M$68/12))</f>
        <v>852.065402077595</v>
      </c>
      <c r="N82" s="57" t="n">
        <f aca="false">IF(N$5="A",Volume_Price!N110,Channel_PL!$C$81*Assumptions!N$69*(1+Assumptions!$F$80)^(Assumptions!N$68/12))</f>
        <v>1007.53429099372</v>
      </c>
      <c r="O82" s="57" t="n">
        <f aca="false">IF(O$5="A",Volume_Price!O110,Channel_PL!$C$81*Assumptions!O$69*(1+Assumptions!$F$80)^(Assumptions!O$68/12))</f>
        <v>1485.60371635581</v>
      </c>
      <c r="P82" s="57" t="n">
        <f aca="false">IF(P$5="A",Volume_Price!P110,Channel_PL!$C$81*Assumptions!P$69*(1+Assumptions!$F$80)^(Assumptions!P$68/12))</f>
        <v>1356.21659242662</v>
      </c>
      <c r="Q82" s="57" t="n">
        <f aca="false">IF(Q$5="A",Volume_Price!Q110,Channel_PL!$C$81*Assumptions!Q$69*(1+Assumptions!$F$80)^(Assumptions!Q$68/12))</f>
        <v>883.390033121292</v>
      </c>
      <c r="R82" s="57" t="n">
        <f aca="false">IF(R$5="A",Volume_Price!R110,Channel_PL!$C$81*Assumptions!R$69*(1+Assumptions!$F$80)^(Assumptions!R$68/12))</f>
        <v>858.910886851022</v>
      </c>
      <c r="S82" s="57" t="n">
        <f aca="false">IF(S$5="A",Volume_Price!S110,Channel_PL!$C$81*Assumptions!S$69*(1+Assumptions!$F$80)^(Assumptions!S$68/12))</f>
        <v>1009.96123974804</v>
      </c>
      <c r="T82" s="57" t="n">
        <f aca="false">IF(T$5="A",Volume_Price!T110,Channel_PL!$C$81*Assumptions!T$69*(1+Assumptions!$F$80)^(Assumptions!T$68/12))</f>
        <v>1090.81028125866</v>
      </c>
      <c r="U82" s="57" t="n">
        <f aca="false">IF(U$5="A",Volume_Price!U110,Channel_PL!$C$81*Assumptions!U$69*(1+Assumptions!$F$80)^(Assumptions!U$68/12))</f>
        <v>1201.42434106682</v>
      </c>
      <c r="V82" s="57" t="n">
        <f aca="false">IF(V$5="A",Volume_Price!V110,Channel_PL!$C$81*Assumptions!V$69*(1+Assumptions!$F$80)^(Assumptions!V$68/12))</f>
        <v>1217.30115184887</v>
      </c>
      <c r="W82" s="57" t="n">
        <f aca="false">IF(W$5="A",Volume_Price!W110,Channel_PL!$C$81*Assumptions!W$69*(1+Assumptions!$F$80)^(Assumptions!W$68/12))</f>
        <v>1205.37176413738</v>
      </c>
      <c r="X82" s="57" t="n">
        <f aca="false">IF(X$5="A",Volume_Price!X110,Channel_PL!$C$81*Assumptions!X$69*(1+Assumptions!$F$80)^(Assumptions!X$68/12))</f>
        <v>1231.87106227106</v>
      </c>
      <c r="Y82" s="57" t="n">
        <f aca="false">IF(Y$5="A",Volume_Price!Y110,Channel_PL!$C$81*Assumptions!Y$69*(1+Assumptions!$F$80)^(Assumptions!Y$68/12))</f>
        <v>1448.51118353191</v>
      </c>
      <c r="Z82" s="57" t="n">
        <f aca="false">IF(Z$5="A",Volume_Price!Z110,Channel_PL!$C$81*Assumptions!Z$69*(1+Assumptions!$F$80)^(Assumptions!Z$68/12))</f>
        <v>1712.80829468932</v>
      </c>
      <c r="AA82" s="57" t="n">
        <f aca="false">IF(AA$5="A",Volume_Price!AA110,Channel_PL!$C$81*Assumptions!AA$69*(1+Assumptions!$F$80)^(Assumptions!AA$68/12))</f>
        <v>2525.52631780488</v>
      </c>
      <c r="AB82" s="57" t="n">
        <f aca="false">IF(AB$5="A",Volume_Price!AB110,Channel_PL!$C$81*Assumptions!AB$69*(1+Assumptions!$F$80)^(Assumptions!AB$68/12))</f>
        <v>2305.56820712525</v>
      </c>
    </row>
    <row r="83" customFormat="false" ht="15" hidden="false" customHeight="true" outlineLevel="0" collapsed="false">
      <c r="A83" s="28" t="s">
        <v>644</v>
      </c>
      <c r="B83" s="55" t="s">
        <v>645</v>
      </c>
      <c r="C83" s="56" t="n">
        <f aca="false">SUM(E83:P83)</f>
        <v>7405.85000154479</v>
      </c>
      <c r="D83" s="56" t="n">
        <f aca="false">SUM(Q83:AB83)</f>
        <v>13909.5456362121</v>
      </c>
      <c r="E83" s="57" t="n">
        <f aca="false">IF(E$5="A",Inputs_Actuals!E23,E82/Assumptions!$F$92)</f>
        <v>202</v>
      </c>
      <c r="F83" s="57" t="n">
        <f aca="false">IF(F$5="A",Inputs_Actuals!F23,F82/Assumptions!$F$92)</f>
        <v>233</v>
      </c>
      <c r="G83" s="57" t="n">
        <f aca="false">IF(G$5="A",Inputs_Actuals!G23,G82/Assumptions!$F$92)</f>
        <v>319</v>
      </c>
      <c r="H83" s="57" t="n">
        <f aca="false">IF(H$5="A",Inputs_Actuals!H23,H82/Assumptions!$F$92)</f>
        <v>411</v>
      </c>
      <c r="I83" s="57" t="n">
        <f aca="false">IF(I$5="A",Inputs_Actuals!I23,I82/Assumptions!$F$92)</f>
        <v>472</v>
      </c>
      <c r="J83" s="57" t="n">
        <f aca="false">IF(J$5="A",Inputs_Actuals!J23,J82/Assumptions!$F$92)</f>
        <v>560</v>
      </c>
      <c r="K83" s="57" t="n">
        <f aca="false">IF(K$5="A",Inputs_Actuals!K23,K82/Assumptions!$F$92)</f>
        <v>584</v>
      </c>
      <c r="L83" s="57" t="n">
        <f aca="false">IF(L$5="A",Inputs_Actuals!L23,L82/Assumptions!$F$92)</f>
        <v>707</v>
      </c>
      <c r="M83" s="57" t="n">
        <f aca="false">IF(M$5="A",Inputs_Actuals!M23,M82/Assumptions!$F$92)</f>
        <v>710.054501731329</v>
      </c>
      <c r="N83" s="57" t="n">
        <f aca="false">IF(N$5="A",Inputs_Actuals!N23,N82/Assumptions!$F$92)</f>
        <v>839.611909161433</v>
      </c>
      <c r="O83" s="57" t="n">
        <f aca="false">IF(O$5="A",Inputs_Actuals!O23,O82/Assumptions!$F$92)</f>
        <v>1238.00309696318</v>
      </c>
      <c r="P83" s="57" t="n">
        <f aca="false">IF(P$5="A",Inputs_Actuals!P23,P82/Assumptions!$F$92)</f>
        <v>1130.18049368885</v>
      </c>
      <c r="Q83" s="57" t="n">
        <f aca="false">IF(Q$5="A",Inputs_Actuals!Q23,Q82/Assumptions!$F$92)</f>
        <v>736.15836093441</v>
      </c>
      <c r="R83" s="57" t="n">
        <f aca="false">IF(R$5="A",Inputs_Actuals!R23,R82/Assumptions!$F$92)</f>
        <v>715.759072375851</v>
      </c>
      <c r="S83" s="57" t="n">
        <f aca="false">IF(S$5="A",Inputs_Actuals!S23,S82/Assumptions!$F$92)</f>
        <v>841.6343664567</v>
      </c>
      <c r="T83" s="57" t="n">
        <f aca="false">IF(T$5="A",Inputs_Actuals!T23,T82/Assumptions!$F$92)</f>
        <v>909.008567715546</v>
      </c>
      <c r="U83" s="57" t="n">
        <f aca="false">IF(U$5="A",Inputs_Actuals!U23,U82/Assumptions!$F$92)</f>
        <v>1001.18695088902</v>
      </c>
      <c r="V83" s="57" t="n">
        <f aca="false">IF(V$5="A",Inputs_Actuals!V23,V82/Assumptions!$F$92)</f>
        <v>1014.41762654072</v>
      </c>
      <c r="W83" s="57" t="n">
        <f aca="false">IF(W$5="A",Inputs_Actuals!W23,W82/Assumptions!$F$92)</f>
        <v>1004.47647011448</v>
      </c>
      <c r="X83" s="57" t="n">
        <f aca="false">IF(X$5="A",Inputs_Actuals!X23,X82/Assumptions!$F$92)</f>
        <v>1026.55921855922</v>
      </c>
      <c r="Y83" s="57" t="n">
        <f aca="false">IF(Y$5="A",Inputs_Actuals!Y23,Y82/Assumptions!$F$92)</f>
        <v>1207.09265294326</v>
      </c>
      <c r="Z83" s="57" t="n">
        <f aca="false">IF(Z$5="A",Inputs_Actuals!Z23,Z82/Assumptions!$F$92)</f>
        <v>1427.34024557444</v>
      </c>
      <c r="AA83" s="57" t="n">
        <f aca="false">IF(AA$5="A",Inputs_Actuals!AA23,AA82/Assumptions!$F$92)</f>
        <v>2104.6052648374</v>
      </c>
      <c r="AB83" s="57" t="n">
        <f aca="false">IF(AB$5="A",Inputs_Actuals!AB23,AB82/Assumptions!$F$92)</f>
        <v>1921.30683927104</v>
      </c>
    </row>
    <row r="84" customFormat="false" ht="15" hidden="false" customHeight="true" outlineLevel="0" collapsed="false">
      <c r="A84" s="28" t="s">
        <v>646</v>
      </c>
      <c r="B84" s="55" t="s">
        <v>647</v>
      </c>
      <c r="C84" s="114" t="n">
        <f aca="false">AVERAGE(E84:P84)</f>
        <v>1.20389402597264</v>
      </c>
      <c r="D84" s="114" t="n">
        <f aca="false">AVERAGE(Q84:AB84)</f>
        <v>1.2</v>
      </c>
      <c r="E84" s="115" t="n">
        <f aca="false">IF(E83=0,0,E82/E83)</f>
        <v>1.2029702970297</v>
      </c>
      <c r="F84" s="115" t="n">
        <f aca="false">IF(F83=0,0,F82/F83)</f>
        <v>1.1931330472103</v>
      </c>
      <c r="G84" s="115" t="n">
        <f aca="false">IF(G83=0,0,G82/G83)</f>
        <v>1.20689655172414</v>
      </c>
      <c r="H84" s="115" t="n">
        <f aca="false">IF(H83=0,0,H82/H83)</f>
        <v>1.2043795620438</v>
      </c>
      <c r="I84" s="115" t="n">
        <f aca="false">IF(I83=0,0,I82/I83)</f>
        <v>1.19491525423729</v>
      </c>
      <c r="J84" s="115" t="n">
        <f aca="false">IF(J83=0,0,J82/J83)</f>
        <v>1.21964285714286</v>
      </c>
      <c r="K84" s="115" t="n">
        <f aca="false">IF(K83=0,0,K82/K83)</f>
        <v>1.21404109589041</v>
      </c>
      <c r="L84" s="115" t="n">
        <f aca="false">IF(L83=0,0,L82/L83)</f>
        <v>1.21074964639321</v>
      </c>
      <c r="M84" s="115" t="n">
        <f aca="false">IF(M83=0,0,M82/M83)</f>
        <v>1.2</v>
      </c>
      <c r="N84" s="115" t="n">
        <f aca="false">IF(N83=0,0,N82/N83)</f>
        <v>1.2</v>
      </c>
      <c r="O84" s="115" t="n">
        <f aca="false">IF(O83=0,0,O82/O83)</f>
        <v>1.2</v>
      </c>
      <c r="P84" s="115" t="n">
        <f aca="false">IF(P83=0,0,P82/P83)</f>
        <v>1.2</v>
      </c>
      <c r="Q84" s="115" t="n">
        <f aca="false">IF(Q83=0,0,Q82/Q83)</f>
        <v>1.2</v>
      </c>
      <c r="R84" s="115" t="n">
        <f aca="false">IF(R83=0,0,R82/R83)</f>
        <v>1.2</v>
      </c>
      <c r="S84" s="115" t="n">
        <f aca="false">IF(S83=0,0,S82/S83)</f>
        <v>1.2</v>
      </c>
      <c r="T84" s="115" t="n">
        <f aca="false">IF(T83=0,0,T82/T83)</f>
        <v>1.2</v>
      </c>
      <c r="U84" s="115" t="n">
        <f aca="false">IF(U83=0,0,U82/U83)</f>
        <v>1.2</v>
      </c>
      <c r="V84" s="115" t="n">
        <f aca="false">IF(V83=0,0,V82/V83)</f>
        <v>1.2</v>
      </c>
      <c r="W84" s="115" t="n">
        <f aca="false">IF(W83=0,0,W82/W83)</f>
        <v>1.2</v>
      </c>
      <c r="X84" s="115" t="n">
        <f aca="false">IF(X83=0,0,X82/X83)</f>
        <v>1.2</v>
      </c>
      <c r="Y84" s="115" t="n">
        <f aca="false">IF(Y83=0,0,Y82/Y83)</f>
        <v>1.2</v>
      </c>
      <c r="Z84" s="115" t="n">
        <f aca="false">IF(Z83=0,0,Z82/Z83)</f>
        <v>1.2</v>
      </c>
      <c r="AA84" s="115" t="n">
        <f aca="false">IF(AA83=0,0,AA82/AA83)</f>
        <v>1.2</v>
      </c>
      <c r="AB84" s="115" t="n">
        <f aca="false">IF(AB83=0,0,AB82/AB83)</f>
        <v>1.2</v>
      </c>
    </row>
    <row r="85" customFormat="false" ht="15" hidden="false" customHeight="true" outlineLevel="0" collapsed="false">
      <c r="A85" s="28" t="s">
        <v>648</v>
      </c>
      <c r="B85" s="55" t="s">
        <v>68</v>
      </c>
      <c r="C85" s="56" t="n">
        <f aca="false">SUM(E85:P85)</f>
        <v>563453.166643362</v>
      </c>
      <c r="D85" s="56" t="n">
        <f aca="false">SUM(Q85:AB85)</f>
        <v>1060832.70337947</v>
      </c>
      <c r="E85" s="57" t="n">
        <f aca="false">Volume_Price!E132</f>
        <v>16345.028957529</v>
      </c>
      <c r="F85" s="57" t="n">
        <f aca="false">Volume_Price!F132</f>
        <v>17951.8635926993</v>
      </c>
      <c r="G85" s="57" t="n">
        <f aca="false">Volume_Price!G132</f>
        <v>25738.288973384</v>
      </c>
      <c r="H85" s="57" t="n">
        <f aca="false">Volume_Price!H132</f>
        <v>32270.0649350649</v>
      </c>
      <c r="I85" s="57" t="n">
        <f aca="false">Volume_Price!I132</f>
        <v>36826.718464351</v>
      </c>
      <c r="J85" s="57" t="n">
        <f aca="false">Volume_Price!J132</f>
        <v>43728.5108303249</v>
      </c>
      <c r="K85" s="57" t="n">
        <f aca="false">Volume_Price!K132</f>
        <v>43183.4165923283</v>
      </c>
      <c r="L85" s="57" t="n">
        <f aca="false">Volume_Price!L132</f>
        <v>52973.853046595</v>
      </c>
      <c r="M85" s="57" t="n">
        <f aca="false">Volume_Price!M132</f>
        <v>53211.624885654</v>
      </c>
      <c r="N85" s="57" t="n">
        <f aca="false">Volume_Price!N132</f>
        <v>63024.6012619446</v>
      </c>
      <c r="O85" s="57" t="n">
        <f aca="false">Volume_Price!O132</f>
        <v>93082.9050302504</v>
      </c>
      <c r="P85" s="57" t="n">
        <f aca="false">Volume_Price!P132</f>
        <v>85116.2900732365</v>
      </c>
      <c r="Q85" s="57" t="n">
        <f aca="false">Volume_Price!Q132</f>
        <v>55533.213929711</v>
      </c>
      <c r="R85" s="57" t="n">
        <f aca="false">Volume_Price!R132</f>
        <v>54083.5389750287</v>
      </c>
      <c r="S85" s="57" t="n">
        <f aca="false">Volume_Price!S132</f>
        <v>63699.845983912</v>
      </c>
      <c r="T85" s="57" t="n">
        <f aca="false">Volume_Price!T132</f>
        <v>68912.7497056268</v>
      </c>
      <c r="U85" s="57" t="n">
        <f aca="false">Volume_Price!U132</f>
        <v>76026.2315574613</v>
      </c>
      <c r="V85" s="57" t="n">
        <f aca="false">Volume_Price!V132</f>
        <v>77158.1402783386</v>
      </c>
      <c r="W85" s="57" t="n">
        <f aca="false">Volume_Price!W132</f>
        <v>76528.1849879189</v>
      </c>
      <c r="X85" s="57" t="n">
        <f aca="false">Volume_Price!X132</f>
        <v>78339.7775120879</v>
      </c>
      <c r="Y85" s="57" t="n">
        <f aca="false">Volume_Price!Y132</f>
        <v>92268.957551724</v>
      </c>
      <c r="Z85" s="57" t="n">
        <f aca="false">Volume_Price!Z132</f>
        <v>109284.658588212</v>
      </c>
      <c r="AA85" s="57" t="n">
        <f aca="false">Volume_Price!AA132</f>
        <v>161405.757322454</v>
      </c>
      <c r="AB85" s="57" t="n">
        <f aca="false">Volume_Price!AB132</f>
        <v>147591.646986992</v>
      </c>
    </row>
    <row r="86" customFormat="false" ht="15" hidden="false" customHeight="true" outlineLevel="0" collapsed="false">
      <c r="A86" s="28" t="s">
        <v>649</v>
      </c>
      <c r="B86" s="55" t="s">
        <v>650</v>
      </c>
      <c r="C86" s="56" t="n">
        <f aca="false">SUM(E86:P86)</f>
        <v>-27864.6113226137</v>
      </c>
      <c r="D86" s="56" t="n">
        <f aca="false">SUM(Q86:AB86)</f>
        <v>-53041.6351689734</v>
      </c>
      <c r="E86" s="57" t="n">
        <f aca="false">-IF(E$5="A",Inputs_Actuals!E56/Assumptions!E$70,Assumptions!$F$86*E85)</f>
        <v>-792.471042471042</v>
      </c>
      <c r="F86" s="57" t="n">
        <f aca="false">-IF(F$5="A",Inputs_Actuals!F56/Assumptions!F$70,Assumptions!$F$86*F85)</f>
        <v>-957.732949087416</v>
      </c>
      <c r="G86" s="57" t="n">
        <f aca="false">-IF(G$5="A",Inputs_Actuals!G56/Assumptions!G$70,Assumptions!$F$86*G85)</f>
        <v>-1257.60456273764</v>
      </c>
      <c r="H86" s="57" t="n">
        <f aca="false">-IF(H$5="A",Inputs_Actuals!H56/Assumptions!H$70,Assumptions!$F$86*H85)</f>
        <v>-1633.58070500928</v>
      </c>
      <c r="I86" s="57" t="n">
        <f aca="false">-IF(I$5="A",Inputs_Actuals!I56/Assumptions!I$70,Assumptions!$F$86*I85)</f>
        <v>-2019.19561243144</v>
      </c>
      <c r="J86" s="57" t="n">
        <f aca="false">-IF(J$5="A",Inputs_Actuals!J56/Assumptions!J$70,Assumptions!$F$86*J85)</f>
        <v>-2065.8844765343</v>
      </c>
      <c r="K86" s="57" t="n">
        <f aca="false">-IF(K$5="A",Inputs_Actuals!K56/Assumptions!K$70,Assumptions!$F$86*K85)</f>
        <v>-2066.01248884924</v>
      </c>
      <c r="L86" s="57" t="n">
        <f aca="false">-IF(L$5="A",Inputs_Actuals!L56/Assumptions!L$70,Assumptions!$F$86*L85)</f>
        <v>-2350.35842293907</v>
      </c>
      <c r="M86" s="57" t="n">
        <f aca="false">-IF(M$5="A",Inputs_Actuals!M56/Assumptions!M$70,Assumptions!$F$86*M85)</f>
        <v>-2660.5812442827</v>
      </c>
      <c r="N86" s="57" t="n">
        <f aca="false">-IF(N$5="A",Inputs_Actuals!N56/Assumptions!N$70,Assumptions!$F$86*N85)</f>
        <v>-3151.23006309723</v>
      </c>
      <c r="O86" s="57" t="n">
        <f aca="false">-IF(O$5="A",Inputs_Actuals!O56/Assumptions!O$70,Assumptions!$F$86*O85)</f>
        <v>-4654.14525151252</v>
      </c>
      <c r="P86" s="57" t="n">
        <f aca="false">-IF(P$5="A",Inputs_Actuals!P56/Assumptions!P$70,Assumptions!$F$86*P85)</f>
        <v>-4255.81450366183</v>
      </c>
      <c r="Q86" s="57" t="n">
        <f aca="false">-IF(Q$5="A",Inputs_Actuals!Q56/Assumptions!Q$70,Assumptions!$F$86*Q85)</f>
        <v>-2776.66069648555</v>
      </c>
      <c r="R86" s="57" t="n">
        <f aca="false">-IF(R$5="A",Inputs_Actuals!R56/Assumptions!R$70,Assumptions!$F$86*R85)</f>
        <v>-2704.17694875143</v>
      </c>
      <c r="S86" s="57" t="n">
        <f aca="false">-IF(S$5="A",Inputs_Actuals!S56/Assumptions!S$70,Assumptions!$F$86*S85)</f>
        <v>-3184.9922991956</v>
      </c>
      <c r="T86" s="57" t="n">
        <f aca="false">-IF(T$5="A",Inputs_Actuals!T56/Assumptions!T$70,Assumptions!$F$86*T85)</f>
        <v>-3445.63748528134</v>
      </c>
      <c r="U86" s="57" t="n">
        <f aca="false">-IF(U$5="A",Inputs_Actuals!U56/Assumptions!U$70,Assumptions!$F$86*U85)</f>
        <v>-3801.31157787307</v>
      </c>
      <c r="V86" s="57" t="n">
        <f aca="false">-IF(V$5="A",Inputs_Actuals!V56/Assumptions!V$70,Assumptions!$F$86*V85)</f>
        <v>-3857.90701391693</v>
      </c>
      <c r="W86" s="57" t="n">
        <f aca="false">-IF(W$5="A",Inputs_Actuals!W56/Assumptions!W$70,Assumptions!$F$86*W85)</f>
        <v>-3826.40924939594</v>
      </c>
      <c r="X86" s="57" t="n">
        <f aca="false">-IF(X$5="A",Inputs_Actuals!X56/Assumptions!X$70,Assumptions!$F$86*X85)</f>
        <v>-3916.9888756044</v>
      </c>
      <c r="Y86" s="57" t="n">
        <f aca="false">-IF(Y$5="A",Inputs_Actuals!Y56/Assumptions!Y$70,Assumptions!$F$86*Y85)</f>
        <v>-4613.4478775862</v>
      </c>
      <c r="Z86" s="57" t="n">
        <f aca="false">-IF(Z$5="A",Inputs_Actuals!Z56/Assumptions!Z$70,Assumptions!$F$86*Z85)</f>
        <v>-5464.2329294106</v>
      </c>
      <c r="AA86" s="57" t="n">
        <f aca="false">-IF(AA$5="A",Inputs_Actuals!AA56/Assumptions!AA$70,Assumptions!$F$86*AA85)</f>
        <v>-8070.28786612271</v>
      </c>
      <c r="AB86" s="57" t="n">
        <f aca="false">-IF(AB$5="A",Inputs_Actuals!AB56/Assumptions!AB$70,Assumptions!$F$86*AB85)</f>
        <v>-7379.5823493496</v>
      </c>
    </row>
    <row r="87" customFormat="false" ht="15" hidden="false" customHeight="true" outlineLevel="0" collapsed="false">
      <c r="A87" s="28" t="s">
        <v>651</v>
      </c>
      <c r="B87" s="55" t="s">
        <v>650</v>
      </c>
      <c r="C87" s="56" t="n">
        <f aca="false">SUM(E87:P87)</f>
        <v>-48144.7695821721</v>
      </c>
      <c r="D87" s="56" t="n">
        <f aca="false">SUM(Q87:AB87)</f>
        <v>-90170.7797872547</v>
      </c>
      <c r="E87" s="57" t="n">
        <f aca="false">-IF(E$5="A",Inputs_Actuals!E57/Assumptions!E$70,Assumptions!$F$89*E85)</f>
        <v>-1516.40926640927</v>
      </c>
      <c r="F87" s="57" t="n">
        <f aca="false">-IF(F$5="A",Inputs_Actuals!F57/Assumptions!F$70,Assumptions!$F$89*F85)</f>
        <v>-1656.09990393852</v>
      </c>
      <c r="G87" s="57" t="n">
        <f aca="false">-IF(G$5="A",Inputs_Actuals!G57/Assumptions!G$70,Assumptions!$F$89*G85)</f>
        <v>-2269.01140684411</v>
      </c>
      <c r="H87" s="57" t="n">
        <f aca="false">-IF(H$5="A",Inputs_Actuals!H57/Assumptions!H$70,Assumptions!$F$89*H85)</f>
        <v>-3041.7439703154</v>
      </c>
      <c r="I87" s="57" t="n">
        <f aca="false">-IF(I$5="A",Inputs_Actuals!I57/Assumptions!I$70,Assumptions!$F$89*I85)</f>
        <v>-3085.92321755027</v>
      </c>
      <c r="J87" s="57" t="n">
        <f aca="false">-IF(J$5="A",Inputs_Actuals!J57/Assumptions!J$70,Assumptions!$F$89*J85)</f>
        <v>-3414.25992779783</v>
      </c>
      <c r="K87" s="57" t="n">
        <f aca="false">-IF(K$5="A",Inputs_Actuals!K57/Assumptions!K$70,Assumptions!$F$89*K85)</f>
        <v>-3621.76628010705</v>
      </c>
      <c r="L87" s="57" t="n">
        <f aca="false">-IF(L$5="A",Inputs_Actuals!L57/Assumptions!L$70,Assumptions!$F$89*L85)</f>
        <v>-4512.54480286738</v>
      </c>
      <c r="M87" s="57" t="n">
        <f aca="false">-IF(M$5="A",Inputs_Actuals!M57/Assumptions!M$70,Assumptions!$F$89*M85)</f>
        <v>-4522.98811528059</v>
      </c>
      <c r="N87" s="57" t="n">
        <f aca="false">-IF(N$5="A",Inputs_Actuals!N57/Assumptions!N$70,Assumptions!$F$89*N85)</f>
        <v>-5357.09110726529</v>
      </c>
      <c r="O87" s="57" t="n">
        <f aca="false">-IF(O$5="A",Inputs_Actuals!O57/Assumptions!O$70,Assumptions!$F$89*O85)</f>
        <v>-7912.04692757128</v>
      </c>
      <c r="P87" s="57" t="n">
        <f aca="false">-IF(P$5="A",Inputs_Actuals!P57/Assumptions!P$70,Assumptions!$F$89*P85)</f>
        <v>-7234.8846562251</v>
      </c>
      <c r="Q87" s="57" t="n">
        <f aca="false">-IF(Q$5="A",Inputs_Actuals!Q57/Assumptions!Q$70,Assumptions!$F$89*Q85)</f>
        <v>-4720.32318402544</v>
      </c>
      <c r="R87" s="57" t="n">
        <f aca="false">-IF(R$5="A",Inputs_Actuals!R57/Assumptions!R$70,Assumptions!$F$89*R85)</f>
        <v>-4597.10081287744</v>
      </c>
      <c r="S87" s="57" t="n">
        <f aca="false">-IF(S$5="A",Inputs_Actuals!S57/Assumptions!S$70,Assumptions!$F$89*S85)</f>
        <v>-5414.48690863252</v>
      </c>
      <c r="T87" s="57" t="n">
        <f aca="false">-IF(T$5="A",Inputs_Actuals!T57/Assumptions!T$70,Assumptions!$F$89*T85)</f>
        <v>-5857.58372497828</v>
      </c>
      <c r="U87" s="57" t="n">
        <f aca="false">-IF(U$5="A",Inputs_Actuals!U57/Assumptions!U$70,Assumptions!$F$89*U85)</f>
        <v>-6462.22968238421</v>
      </c>
      <c r="V87" s="57" t="n">
        <f aca="false">-IF(V$5="A",Inputs_Actuals!V57/Assumptions!V$70,Assumptions!$F$89*V85)</f>
        <v>-6558.44192365878</v>
      </c>
      <c r="W87" s="57" t="n">
        <f aca="false">-IF(W$5="A",Inputs_Actuals!W57/Assumptions!W$70,Assumptions!$F$89*W85)</f>
        <v>-6504.8957239731</v>
      </c>
      <c r="X87" s="57" t="n">
        <f aca="false">-IF(X$5="A",Inputs_Actuals!X57/Assumptions!X$70,Assumptions!$F$89*X85)</f>
        <v>-6658.88108852747</v>
      </c>
      <c r="Y87" s="57" t="n">
        <f aca="false">-IF(Y$5="A",Inputs_Actuals!Y57/Assumptions!Y$70,Assumptions!$F$89*Y85)</f>
        <v>-7842.86139189655</v>
      </c>
      <c r="Z87" s="57" t="n">
        <f aca="false">-IF(Z$5="A",Inputs_Actuals!Z57/Assumptions!Z$70,Assumptions!$F$89*Z85)</f>
        <v>-9289.19597999801</v>
      </c>
      <c r="AA87" s="57" t="n">
        <f aca="false">-IF(AA$5="A",Inputs_Actuals!AA57/Assumptions!AA$70,Assumptions!$F$89*AA85)</f>
        <v>-13719.4893724086</v>
      </c>
      <c r="AB87" s="57" t="n">
        <f aca="false">-IF(AB$5="A",Inputs_Actuals!AB57/Assumptions!AB$70,Assumptions!$F$89*AB85)</f>
        <v>-12545.2899938943</v>
      </c>
    </row>
    <row r="88" customFormat="false" ht="15" hidden="false" customHeight="true" outlineLevel="0" collapsed="false">
      <c r="A88" s="28" t="s">
        <v>652</v>
      </c>
      <c r="B88" s="55" t="s">
        <v>653</v>
      </c>
      <c r="C88" s="56" t="n">
        <f aca="false">SUM(E88:P88)</f>
        <v>487443.785738576</v>
      </c>
      <c r="D88" s="56" t="n">
        <f aca="false">SUM(Q88:AB88)</f>
        <v>917620.288423239</v>
      </c>
      <c r="E88" s="69" t="n">
        <f aca="false">E85+E86+E87</f>
        <v>14036.1486486486</v>
      </c>
      <c r="F88" s="69" t="n">
        <f aca="false">F85+F86+F87</f>
        <v>15338.0307396734</v>
      </c>
      <c r="G88" s="69" t="n">
        <f aca="false">G85+G86+G87</f>
        <v>22211.6730038023</v>
      </c>
      <c r="H88" s="69" t="n">
        <f aca="false">H85+H86+H87</f>
        <v>27594.7402597403</v>
      </c>
      <c r="I88" s="69" t="n">
        <f aca="false">I85+I86+I87</f>
        <v>31721.5996343693</v>
      </c>
      <c r="J88" s="69" t="n">
        <f aca="false">J85+J86+J87</f>
        <v>38248.3664259928</v>
      </c>
      <c r="K88" s="69" t="n">
        <f aca="false">K85+K86+K87</f>
        <v>37495.637823372</v>
      </c>
      <c r="L88" s="69" t="n">
        <f aca="false">L85+L86+L87</f>
        <v>46110.9498207885</v>
      </c>
      <c r="M88" s="69" t="n">
        <f aca="false">M85+M86+M87</f>
        <v>46028.0555260907</v>
      </c>
      <c r="N88" s="69" t="n">
        <f aca="false">N85+N86+N87</f>
        <v>54516.2800915821</v>
      </c>
      <c r="O88" s="69" t="n">
        <f aca="false">O85+O86+O87</f>
        <v>80516.7128511666</v>
      </c>
      <c r="P88" s="69" t="n">
        <f aca="false">P85+P86+P87</f>
        <v>73625.5909133496</v>
      </c>
      <c r="Q88" s="69" t="n">
        <f aca="false">Q85+Q86+Q87</f>
        <v>48036.2300492</v>
      </c>
      <c r="R88" s="69" t="n">
        <f aca="false">R85+R86+R87</f>
        <v>46782.2612133998</v>
      </c>
      <c r="S88" s="69" t="n">
        <f aca="false">S85+S86+S87</f>
        <v>55100.3667760839</v>
      </c>
      <c r="T88" s="69" t="n">
        <f aca="false">T85+T86+T87</f>
        <v>59609.5284953672</v>
      </c>
      <c r="U88" s="69" t="n">
        <f aca="false">U85+U86+U87</f>
        <v>65762.690297204</v>
      </c>
      <c r="V88" s="69" t="n">
        <f aca="false">V85+V86+V87</f>
        <v>66741.7913407629</v>
      </c>
      <c r="W88" s="69" t="n">
        <f aca="false">W85+W86+W87</f>
        <v>66196.8800145498</v>
      </c>
      <c r="X88" s="69" t="n">
        <f aca="false">X85+X86+X87</f>
        <v>67763.907547956</v>
      </c>
      <c r="Y88" s="69" t="n">
        <f aca="false">Y85+Y86+Y87</f>
        <v>79812.6482822413</v>
      </c>
      <c r="Z88" s="69" t="n">
        <f aca="false">Z85+Z86+Z87</f>
        <v>94531.2296788033</v>
      </c>
      <c r="AA88" s="69" t="n">
        <f aca="false">AA85+AA86+AA87</f>
        <v>139615.980083923</v>
      </c>
      <c r="AB88" s="69" t="n">
        <f aca="false">AB85+AB86+AB87</f>
        <v>127666.774643748</v>
      </c>
    </row>
    <row r="89" customFormat="false" ht="15" hidden="false" customHeight="true" outlineLevel="0" collapsed="false">
      <c r="A89" s="70" t="s">
        <v>312</v>
      </c>
      <c r="B89" s="71" t="s">
        <v>693</v>
      </c>
      <c r="C89" s="72" t="n">
        <f aca="false">SUM(E89:P89)</f>
        <v>487443.785738576</v>
      </c>
      <c r="D89" s="72" t="n">
        <f aca="false">SUM(Q89:AB89)</f>
        <v>917620.288423239</v>
      </c>
      <c r="E89" s="72" t="n">
        <f aca="false">E88</f>
        <v>14036.1486486486</v>
      </c>
      <c r="F89" s="72" t="n">
        <f aca="false">F88</f>
        <v>15338.0307396734</v>
      </c>
      <c r="G89" s="72" t="n">
        <f aca="false">G88</f>
        <v>22211.6730038023</v>
      </c>
      <c r="H89" s="72" t="n">
        <f aca="false">H88</f>
        <v>27594.7402597403</v>
      </c>
      <c r="I89" s="72" t="n">
        <f aca="false">I88</f>
        <v>31721.5996343693</v>
      </c>
      <c r="J89" s="72" t="n">
        <f aca="false">J88</f>
        <v>38248.3664259928</v>
      </c>
      <c r="K89" s="72" t="n">
        <f aca="false">K88</f>
        <v>37495.637823372</v>
      </c>
      <c r="L89" s="72" t="n">
        <f aca="false">L88</f>
        <v>46110.9498207885</v>
      </c>
      <c r="M89" s="72" t="n">
        <f aca="false">M88</f>
        <v>46028.0555260907</v>
      </c>
      <c r="N89" s="72" t="n">
        <f aca="false">N88</f>
        <v>54516.2800915821</v>
      </c>
      <c r="O89" s="72" t="n">
        <f aca="false">O88</f>
        <v>80516.7128511666</v>
      </c>
      <c r="P89" s="72" t="n">
        <f aca="false">P88</f>
        <v>73625.5909133496</v>
      </c>
      <c r="Q89" s="72" t="n">
        <f aca="false">Q88</f>
        <v>48036.2300492</v>
      </c>
      <c r="R89" s="72" t="n">
        <f aca="false">R88</f>
        <v>46782.2612133998</v>
      </c>
      <c r="S89" s="72" t="n">
        <f aca="false">S88</f>
        <v>55100.3667760839</v>
      </c>
      <c r="T89" s="72" t="n">
        <f aca="false">T88</f>
        <v>59609.5284953672</v>
      </c>
      <c r="U89" s="72" t="n">
        <f aca="false">U88</f>
        <v>65762.690297204</v>
      </c>
      <c r="V89" s="72" t="n">
        <f aca="false">V88</f>
        <v>66741.7913407629</v>
      </c>
      <c r="W89" s="72" t="n">
        <f aca="false">W88</f>
        <v>66196.8800145498</v>
      </c>
      <c r="X89" s="72" t="n">
        <f aca="false">X88</f>
        <v>67763.907547956</v>
      </c>
      <c r="Y89" s="72" t="n">
        <f aca="false">Y88</f>
        <v>79812.6482822413</v>
      </c>
      <c r="Z89" s="72" t="n">
        <f aca="false">Z88</f>
        <v>94531.2296788033</v>
      </c>
      <c r="AA89" s="72" t="n">
        <f aca="false">AA88</f>
        <v>139615.980083923</v>
      </c>
      <c r="AB89" s="72" t="n">
        <f aca="false">AB88</f>
        <v>127666.774643748</v>
      </c>
    </row>
    <row r="90" customFormat="false" ht="15" hidden="false" customHeight="true" outlineLevel="0" collapsed="false">
      <c r="A90" s="28" t="s">
        <v>657</v>
      </c>
      <c r="B90" s="55" t="s">
        <v>658</v>
      </c>
      <c r="C90" s="56" t="n">
        <f aca="false">SUM(E90:P90)</f>
        <v>748.620700157568</v>
      </c>
      <c r="D90" s="56" t="n">
        <f aca="false">SUM(Q90:AB90)</f>
        <v>1418.77365489363</v>
      </c>
      <c r="E90" s="57" t="n">
        <f aca="false">IF(E$5="A",Inputs_Actuals!E58,E82*Assumptions!$F$89)</f>
        <v>21</v>
      </c>
      <c r="F90" s="57" t="n">
        <f aca="false">IF(F$5="A",Inputs_Actuals!F58,F82*Assumptions!$F$89)</f>
        <v>26</v>
      </c>
      <c r="G90" s="57" t="n">
        <f aca="false">IF(G$5="A",Inputs_Actuals!G58,G82*Assumptions!$F$89)</f>
        <v>32</v>
      </c>
      <c r="H90" s="57" t="n">
        <f aca="false">IF(H$5="A",Inputs_Actuals!H58,H82*Assumptions!$F$89)</f>
        <v>47</v>
      </c>
      <c r="I90" s="57" t="n">
        <f aca="false">IF(I$5="A",Inputs_Actuals!I58,I82*Assumptions!$F$89)</f>
        <v>48</v>
      </c>
      <c r="J90" s="57" t="n">
        <f aca="false">IF(J$5="A",Inputs_Actuals!J58,J82*Assumptions!$F$89)</f>
        <v>53</v>
      </c>
      <c r="K90" s="57" t="n">
        <f aca="false">IF(K$5="A",Inputs_Actuals!K58,K82*Assumptions!$F$89)</f>
        <v>56</v>
      </c>
      <c r="L90" s="57" t="n">
        <f aca="false">IF(L$5="A",Inputs_Actuals!L58,L82*Assumptions!$F$89)</f>
        <v>66</v>
      </c>
      <c r="M90" s="57" t="n">
        <f aca="false">IF(M$5="A",Inputs_Actuals!M58,M82*Assumptions!$F$89)</f>
        <v>72.4255591765956</v>
      </c>
      <c r="N90" s="57" t="n">
        <f aca="false">IF(N$5="A",Inputs_Actuals!N58,N82*Assumptions!$F$89)</f>
        <v>85.6404147344661</v>
      </c>
      <c r="O90" s="57" t="n">
        <f aca="false">IF(O$5="A",Inputs_Actuals!O58,O82*Assumptions!$F$89)</f>
        <v>126.276315890244</v>
      </c>
      <c r="P90" s="57" t="n">
        <f aca="false">IF(P$5="A",Inputs_Actuals!P58,P82*Assumptions!$F$89)</f>
        <v>115.278410356262</v>
      </c>
      <c r="Q90" s="57" t="n">
        <f aca="false">IF(Q$5="A",Inputs_Actuals!Q58,Q82*Assumptions!$F$89)</f>
        <v>75.0881528153099</v>
      </c>
      <c r="R90" s="57" t="n">
        <f aca="false">IF(R$5="A",Inputs_Actuals!R58,R82*Assumptions!$F$89)</f>
        <v>73.0074253823368</v>
      </c>
      <c r="S90" s="57" t="n">
        <f aca="false">IF(S$5="A",Inputs_Actuals!S58,S82*Assumptions!$F$89)</f>
        <v>85.8467053785834</v>
      </c>
      <c r="T90" s="57" t="n">
        <f aca="false">IF(T$5="A",Inputs_Actuals!T58,T82*Assumptions!$F$89)</f>
        <v>92.7188739069857</v>
      </c>
      <c r="U90" s="57" t="n">
        <f aca="false">IF(U$5="A",Inputs_Actuals!U58,U82*Assumptions!$F$89)</f>
        <v>102.12106899068</v>
      </c>
      <c r="V90" s="57" t="n">
        <f aca="false">IF(V$5="A",Inputs_Actuals!V58,V82*Assumptions!$F$89)</f>
        <v>103.470597907154</v>
      </c>
      <c r="W90" s="57" t="n">
        <f aca="false">IF(W$5="A",Inputs_Actuals!W58,W82*Assumptions!$F$89)</f>
        <v>102.456599951677</v>
      </c>
      <c r="X90" s="57" t="n">
        <f aca="false">IF(X$5="A",Inputs_Actuals!X58,X82*Assumptions!$F$89)</f>
        <v>104.70904029304</v>
      </c>
      <c r="Y90" s="57" t="n">
        <f aca="false">IF(Y$5="A",Inputs_Actuals!Y58,Y82*Assumptions!$F$89)</f>
        <v>123.123450600213</v>
      </c>
      <c r="Z90" s="57" t="n">
        <f aca="false">IF(Z$5="A",Inputs_Actuals!Z58,Z82*Assumptions!$F$89)</f>
        <v>145.588705048592</v>
      </c>
      <c r="AA90" s="57" t="n">
        <f aca="false">IF(AA$5="A",Inputs_Actuals!AA58,AA82*Assumptions!$F$89)</f>
        <v>214.669737013415</v>
      </c>
      <c r="AB90" s="57" t="n">
        <f aca="false">IF(AB$5="A",Inputs_Actuals!AB58,AB82*Assumptions!$F$89)</f>
        <v>195.973297605646</v>
      </c>
    </row>
    <row r="91" customFormat="false" ht="15" hidden="false" customHeight="true" outlineLevel="0" collapsed="false">
      <c r="A91" s="28" t="s">
        <v>659</v>
      </c>
      <c r="B91" s="55" t="s">
        <v>68</v>
      </c>
      <c r="C91" s="56" t="n">
        <f aca="false">SUM(E91:P91)</f>
        <v>-192891.14601821</v>
      </c>
      <c r="D91" s="56" t="n">
        <f aca="false">SUM(Q91:AB91)</f>
        <v>-371883.28797695</v>
      </c>
      <c r="E91" s="57" t="n">
        <f aca="false">-Volume_Price!E138</f>
        <v>-5066.32</v>
      </c>
      <c r="F91" s="57" t="n">
        <f aca="false">-Volume_Price!F138</f>
        <v>-5746.41</v>
      </c>
      <c r="G91" s="57" t="n">
        <f aca="false">-Volume_Price!G138</f>
        <v>-8299.21</v>
      </c>
      <c r="H91" s="57" t="n">
        <f aca="false">-Volume_Price!H138</f>
        <v>-10565.43</v>
      </c>
      <c r="I91" s="57" t="n">
        <f aca="false">-Volume_Price!I138</f>
        <v>-12384.43</v>
      </c>
      <c r="J91" s="57" t="n">
        <f aca="false">-Volume_Price!J138</f>
        <v>-14764.04</v>
      </c>
      <c r="K91" s="57" t="n">
        <f aca="false">-Volume_Price!K138</f>
        <v>-14931.02</v>
      </c>
      <c r="L91" s="57" t="n">
        <f aca="false">-Volume_Price!L138</f>
        <v>-18664.43</v>
      </c>
      <c r="M91" s="57" t="n">
        <f aca="false">-Volume_Price!M138</f>
        <v>-18493.0005413341</v>
      </c>
      <c r="N91" s="57" t="n">
        <f aca="false">-Volume_Price!N138</f>
        <v>-21921.1864498673</v>
      </c>
      <c r="O91" s="57" t="n">
        <f aca="false">-Volume_Price!O138</f>
        <v>-32402.3840911525</v>
      </c>
      <c r="P91" s="57" t="n">
        <f aca="false">-Volume_Price!P138</f>
        <v>-29653.284935856</v>
      </c>
      <c r="Q91" s="57" t="n">
        <f aca="false">-Volume_Price!Q138</f>
        <v>-19362.7046533922</v>
      </c>
      <c r="R91" s="57" t="n">
        <f aca="false">-Volume_Price!R138</f>
        <v>-18872.5855321123</v>
      </c>
      <c r="S91" s="57" t="n">
        <f aca="false">-Volume_Price!S138</f>
        <v>-22246.2990116703</v>
      </c>
      <c r="T91" s="57" t="n">
        <f aca="false">-Volume_Price!T138</f>
        <v>-24086.4089030466</v>
      </c>
      <c r="U91" s="57" t="n">
        <f aca="false">-Volume_Price!U138</f>
        <v>-26594.3284116634</v>
      </c>
      <c r="V91" s="57" t="n">
        <f aca="false">-Volume_Price!V138</f>
        <v>-27012.2277420023</v>
      </c>
      <c r="W91" s="57" t="n">
        <f aca="false">-Volume_Price!W138</f>
        <v>-26813.4781191338</v>
      </c>
      <c r="X91" s="57" t="n">
        <f aca="false">-Volume_Price!X138</f>
        <v>-27470.537716044</v>
      </c>
      <c r="Y91" s="57" t="n">
        <f aca="false">-Volume_Price!Y138</f>
        <v>-32381.2439478759</v>
      </c>
      <c r="Z91" s="57" t="n">
        <f aca="false">-Volume_Price!Z138</f>
        <v>-38383.9974737177</v>
      </c>
      <c r="AA91" s="57" t="n">
        <f aca="false">-Volume_Price!AA138</f>
        <v>-56736.574543608</v>
      </c>
      <c r="AB91" s="57" t="n">
        <f aca="false">-Volume_Price!AB138</f>
        <v>-51922.9019226839</v>
      </c>
    </row>
    <row r="92" customFormat="false" ht="15" hidden="false" customHeight="true" outlineLevel="0" collapsed="false">
      <c r="A92" s="28" t="s">
        <v>660</v>
      </c>
      <c r="B92" s="55" t="s">
        <v>661</v>
      </c>
      <c r="C92" s="56" t="n">
        <f aca="false">SUM(E92:P92)</f>
        <v>10430.4595450061</v>
      </c>
      <c r="D92" s="56" t="n">
        <f aca="false">SUM(Q92:AB92)</f>
        <v>20546.5516607265</v>
      </c>
      <c r="E92" s="57" t="n">
        <f aca="false">IF(E$5="A",Inputs_Actuals!E59,E90*Assumptions!$F$95*IF(E82=0,0,-E91/E82))</f>
        <v>269</v>
      </c>
      <c r="F92" s="57" t="n">
        <f aca="false">IF(F$5="A",Inputs_Actuals!F59,F90*Assumptions!$F$95*IF(F82=0,0,-F91/F82))</f>
        <v>375</v>
      </c>
      <c r="G92" s="57" t="n">
        <f aca="false">IF(G$5="A",Inputs_Actuals!G59,G90*Assumptions!$F$95*IF(G82=0,0,-G91/G82))</f>
        <v>432</v>
      </c>
      <c r="H92" s="57" t="n">
        <f aca="false">IF(H$5="A",Inputs_Actuals!H59,H90*Assumptions!$F$95*IF(H82=0,0,-H91/H82))</f>
        <v>573</v>
      </c>
      <c r="I92" s="57" t="n">
        <f aca="false">IF(I$5="A",Inputs_Actuals!I59,I90*Assumptions!$F$95*IF(I82=0,0,-I91/I82))</f>
        <v>675</v>
      </c>
      <c r="J92" s="57" t="n">
        <f aca="false">IF(J$5="A",Inputs_Actuals!J59,J90*Assumptions!$F$95*IF(J82=0,0,-J91/J82))</f>
        <v>741</v>
      </c>
      <c r="K92" s="57" t="n">
        <f aca="false">IF(K$5="A",Inputs_Actuals!K59,K90*Assumptions!$F$95*IF(K82=0,0,-K91/K82))</f>
        <v>775</v>
      </c>
      <c r="L92" s="57" t="n">
        <f aca="false">IF(L$5="A",Inputs_Actuals!L59,L90*Assumptions!$F$95*IF(L82=0,0,-L91/L82))</f>
        <v>929</v>
      </c>
      <c r="M92" s="57" t="n">
        <f aca="false">IF(M$5="A",Inputs_Actuals!M59,M90*Assumptions!$F$95*IF(M82=0,0,-M91/M82))</f>
        <v>1021.73827990871</v>
      </c>
      <c r="N92" s="57" t="n">
        <f aca="false">IF(N$5="A",Inputs_Actuals!N59,N90*Assumptions!$F$95*IF(N82=0,0,-N91/N82))</f>
        <v>1211.14555135517</v>
      </c>
      <c r="O92" s="57" t="n">
        <f aca="false">IF(O$5="A",Inputs_Actuals!O59,O90*Assumptions!$F$95*IF(O82=0,0,-O91/O82))</f>
        <v>1790.23172103617</v>
      </c>
      <c r="P92" s="57" t="n">
        <f aca="false">IF(P$5="A",Inputs_Actuals!P59,P90*Assumptions!$F$95*IF(P82=0,0,-P91/P82))</f>
        <v>1638.34399270605</v>
      </c>
      <c r="Q92" s="57" t="n">
        <f aca="false">IF(Q$5="A",Inputs_Actuals!Q59,Q90*Assumptions!$F$95*IF(Q82=0,0,-Q91/Q82))</f>
        <v>1069.78943209992</v>
      </c>
      <c r="R92" s="57" t="n">
        <f aca="false">IF(R$5="A",Inputs_Actuals!R59,R90*Assumptions!$F$95*IF(R82=0,0,-R91/R82))</f>
        <v>1042.7103506492</v>
      </c>
      <c r="S92" s="57" t="n">
        <f aca="false">IF(S$5="A",Inputs_Actuals!S59,S90*Assumptions!$F$95*IF(S82=0,0,-S91/S82))</f>
        <v>1229.10802039479</v>
      </c>
      <c r="T92" s="57" t="n">
        <f aca="false">IF(T$5="A",Inputs_Actuals!T59,T90*Assumptions!$F$95*IF(T82=0,0,-T91/T82))</f>
        <v>1330.77409189332</v>
      </c>
      <c r="U92" s="57" t="n">
        <f aca="false">IF(U$5="A",Inputs_Actuals!U59,U90*Assumptions!$F$95*IF(U82=0,0,-U91/U82))</f>
        <v>1469.3366447444</v>
      </c>
      <c r="V92" s="57" t="n">
        <f aca="false">IF(V$5="A",Inputs_Actuals!V59,V90*Assumptions!$F$95*IF(V82=0,0,-V91/V82))</f>
        <v>1492.42558274563</v>
      </c>
      <c r="W92" s="57" t="n">
        <f aca="false">IF(W$5="A",Inputs_Actuals!W59,W90*Assumptions!$F$95*IF(W82=0,0,-W91/W82))</f>
        <v>1481.44466608214</v>
      </c>
      <c r="X92" s="57" t="n">
        <f aca="false">IF(X$5="A",Inputs_Actuals!X59,X90*Assumptions!$F$95*IF(X82=0,0,-X91/X82))</f>
        <v>1517.74720881143</v>
      </c>
      <c r="Y92" s="57" t="n">
        <f aca="false">IF(Y$5="A",Inputs_Actuals!Y59,Y90*Assumptions!$F$95*IF(Y82=0,0,-Y91/Y82))</f>
        <v>1789.06372812015</v>
      </c>
      <c r="Z92" s="57" t="n">
        <f aca="false">IF(Z$5="A",Inputs_Actuals!Z59,Z90*Assumptions!$F$95*IF(Z82=0,0,-Z91/Z82))</f>
        <v>2120.7158604229</v>
      </c>
      <c r="AA92" s="57" t="n">
        <f aca="false">IF(AA$5="A",Inputs_Actuals!AA59,AA90*Assumptions!$F$95*IF(AA82=0,0,-AA91/AA82))</f>
        <v>3134.69574353434</v>
      </c>
      <c r="AB92" s="57" t="n">
        <f aca="false">IF(AB$5="A",Inputs_Actuals!AB59,AB90*Assumptions!$F$95*IF(AB82=0,0,-AB91/AB82))</f>
        <v>2868.74033122829</v>
      </c>
    </row>
    <row r="93" customFormat="false" ht="15" hidden="false" customHeight="true" outlineLevel="0" collapsed="false">
      <c r="A93" s="70" t="s">
        <v>662</v>
      </c>
      <c r="B93" s="71" t="s">
        <v>663</v>
      </c>
      <c r="C93" s="72" t="n">
        <f aca="false">SUM(E93:P93)</f>
        <v>-182460.686473204</v>
      </c>
      <c r="D93" s="72" t="n">
        <f aca="false">SUM(Q93:AB93)</f>
        <v>-351336.736316224</v>
      </c>
      <c r="E93" s="72" t="n">
        <f aca="false">E91+E92</f>
        <v>-4797.32</v>
      </c>
      <c r="F93" s="72" t="n">
        <f aca="false">F91+F92</f>
        <v>-5371.41</v>
      </c>
      <c r="G93" s="72" t="n">
        <f aca="false">G91+G92</f>
        <v>-7867.21</v>
      </c>
      <c r="H93" s="72" t="n">
        <f aca="false">H91+H92</f>
        <v>-9992.43</v>
      </c>
      <c r="I93" s="72" t="n">
        <f aca="false">I91+I92</f>
        <v>-11709.43</v>
      </c>
      <c r="J93" s="72" t="n">
        <f aca="false">J91+J92</f>
        <v>-14023.04</v>
      </c>
      <c r="K93" s="72" t="n">
        <f aca="false">K91+K92</f>
        <v>-14156.02</v>
      </c>
      <c r="L93" s="72" t="n">
        <f aca="false">L91+L92</f>
        <v>-17735.43</v>
      </c>
      <c r="M93" s="72" t="n">
        <f aca="false">M91+M92</f>
        <v>-17471.2622614254</v>
      </c>
      <c r="N93" s="72" t="n">
        <f aca="false">N91+N92</f>
        <v>-20710.0408985121</v>
      </c>
      <c r="O93" s="72" t="n">
        <f aca="false">O91+O92</f>
        <v>-30612.1523701163</v>
      </c>
      <c r="P93" s="72" t="n">
        <f aca="false">P91+P92</f>
        <v>-28014.94094315</v>
      </c>
      <c r="Q93" s="72" t="n">
        <f aca="false">Q91+Q92</f>
        <v>-18292.9152212923</v>
      </c>
      <c r="R93" s="72" t="n">
        <f aca="false">R91+R92</f>
        <v>-17829.8751814631</v>
      </c>
      <c r="S93" s="72" t="n">
        <f aca="false">S91+S92</f>
        <v>-21017.1909912755</v>
      </c>
      <c r="T93" s="72" t="n">
        <f aca="false">T91+T92</f>
        <v>-22755.6348111533</v>
      </c>
      <c r="U93" s="72" t="n">
        <f aca="false">U91+U92</f>
        <v>-25124.991766919</v>
      </c>
      <c r="V93" s="72" t="n">
        <f aca="false">V91+V92</f>
        <v>-25519.8021592566</v>
      </c>
      <c r="W93" s="72" t="n">
        <f aca="false">W91+W92</f>
        <v>-25332.0334530517</v>
      </c>
      <c r="X93" s="72" t="n">
        <f aca="false">X91+X92</f>
        <v>-25952.7905072325</v>
      </c>
      <c r="Y93" s="72" t="n">
        <f aca="false">Y91+Y92</f>
        <v>-30592.1802197558</v>
      </c>
      <c r="Z93" s="72" t="n">
        <f aca="false">Z91+Z92</f>
        <v>-36263.2816132948</v>
      </c>
      <c r="AA93" s="72" t="n">
        <f aca="false">AA91+AA92</f>
        <v>-53601.8788000736</v>
      </c>
      <c r="AB93" s="72" t="n">
        <f aca="false">AB91+AB92</f>
        <v>-49054.1615914556</v>
      </c>
    </row>
    <row r="94" customFormat="false" ht="15" hidden="false" customHeight="true" outlineLevel="0" collapsed="false">
      <c r="A94" s="70" t="s">
        <v>319</v>
      </c>
      <c r="B94" s="71" t="s">
        <v>664</v>
      </c>
      <c r="C94" s="72" t="n">
        <f aca="false">SUM(E94:P94)</f>
        <v>304983.099265372</v>
      </c>
      <c r="D94" s="72" t="n">
        <f aca="false">SUM(Q94:AB94)</f>
        <v>566283.552107015</v>
      </c>
      <c r="E94" s="72" t="n">
        <f aca="false">E89+E93</f>
        <v>9238.82864864865</v>
      </c>
      <c r="F94" s="72" t="n">
        <f aca="false">F89+F93</f>
        <v>9966.62073967339</v>
      </c>
      <c r="G94" s="72" t="n">
        <f aca="false">G89+G93</f>
        <v>14344.4630038023</v>
      </c>
      <c r="H94" s="72" t="n">
        <f aca="false">H89+H93</f>
        <v>17602.3102597403</v>
      </c>
      <c r="I94" s="72" t="n">
        <f aca="false">I89+I93</f>
        <v>20012.1696343693</v>
      </c>
      <c r="J94" s="72" t="n">
        <f aca="false">J89+J93</f>
        <v>24225.3264259928</v>
      </c>
      <c r="K94" s="72" t="n">
        <f aca="false">K89+K93</f>
        <v>23339.617823372</v>
      </c>
      <c r="L94" s="72" t="n">
        <f aca="false">L89+L93</f>
        <v>28375.5198207885</v>
      </c>
      <c r="M94" s="72" t="n">
        <f aca="false">M89+M93</f>
        <v>28556.7932646654</v>
      </c>
      <c r="N94" s="72" t="n">
        <f aca="false">N89+N93</f>
        <v>33806.2391930699</v>
      </c>
      <c r="O94" s="72" t="n">
        <f aca="false">O89+O93</f>
        <v>49904.5604810503</v>
      </c>
      <c r="P94" s="72" t="n">
        <f aca="false">P89+P93</f>
        <v>45610.6499701996</v>
      </c>
      <c r="Q94" s="72" t="n">
        <f aca="false">Q89+Q93</f>
        <v>29743.3148279077</v>
      </c>
      <c r="R94" s="72" t="n">
        <f aca="false">R89+R93</f>
        <v>28952.3860319367</v>
      </c>
      <c r="S94" s="72" t="n">
        <f aca="false">S89+S93</f>
        <v>34083.1757848083</v>
      </c>
      <c r="T94" s="72" t="n">
        <f aca="false">T89+T93</f>
        <v>36853.8936842139</v>
      </c>
      <c r="U94" s="72" t="n">
        <f aca="false">U89+U93</f>
        <v>40637.6985302851</v>
      </c>
      <c r="V94" s="72" t="n">
        <f aca="false">V89+V93</f>
        <v>41221.9891815063</v>
      </c>
      <c r="W94" s="72" t="n">
        <f aca="false">W89+W93</f>
        <v>40864.8465614981</v>
      </c>
      <c r="X94" s="72" t="n">
        <f aca="false">X89+X93</f>
        <v>41811.1170407235</v>
      </c>
      <c r="Y94" s="72" t="n">
        <f aca="false">Y89+Y93</f>
        <v>49220.4680624855</v>
      </c>
      <c r="Z94" s="72" t="n">
        <f aca="false">Z89+Z93</f>
        <v>58267.9480655085</v>
      </c>
      <c r="AA94" s="72" t="n">
        <f aca="false">AA89+AA93</f>
        <v>86014.1012838492</v>
      </c>
      <c r="AB94" s="72" t="n">
        <f aca="false">AB89+AB93</f>
        <v>78612.6130522925</v>
      </c>
    </row>
    <row r="95" customFormat="false" ht="15" hidden="false" customHeight="true" outlineLevel="0" collapsed="false">
      <c r="A95" s="28" t="s">
        <v>269</v>
      </c>
      <c r="B95" s="55" t="s">
        <v>665</v>
      </c>
      <c r="C95" s="59" t="n">
        <f aca="false">IF(C89=0,0,C94/C89)</f>
        <v>0.625678505272687</v>
      </c>
      <c r="D95" s="59" t="n">
        <f aca="false">IF(D89=0,0,D94/D89)</f>
        <v>0.61712187410336</v>
      </c>
      <c r="E95" s="58" t="n">
        <f aca="false">IF(E89=0,0,E94/E89)</f>
        <v>0.658216785808843</v>
      </c>
      <c r="F95" s="58" t="n">
        <f aca="false">IF(F89=0,0,F94/F89)</f>
        <v>0.649797937481877</v>
      </c>
      <c r="G95" s="58" t="n">
        <f aca="false">IF(G89=0,0,G94/G89)</f>
        <v>0.645807409525016</v>
      </c>
      <c r="H95" s="58" t="n">
        <f aca="false">IF(H89=0,0,H94/H89)</f>
        <v>0.637886426690575</v>
      </c>
      <c r="I95" s="58" t="n">
        <f aca="false">IF(I89=0,0,I94/I89)</f>
        <v>0.630868867428954</v>
      </c>
      <c r="J95" s="58" t="n">
        <f aca="false">IF(J89=0,0,J94/J89)</f>
        <v>0.633368917150139</v>
      </c>
      <c r="K95" s="58" t="n">
        <f aca="false">IF(K89=0,0,K94/K89)</f>
        <v>0.622462216360107</v>
      </c>
      <c r="L95" s="58" t="n">
        <f aca="false">IF(L89=0,0,L94/L89)</f>
        <v>0.615374871501688</v>
      </c>
      <c r="M95" s="58" t="n">
        <f aca="false">IF(M89=0,0,M94/M89)</f>
        <v>0.620421456832521</v>
      </c>
      <c r="N95" s="58" t="n">
        <f aca="false">IF(N89=0,0,N94/N89)</f>
        <v>0.620112728459805</v>
      </c>
      <c r="O95" s="58" t="n">
        <f aca="false">IF(O89=0,0,O94/O89)</f>
        <v>0.61980374898436</v>
      </c>
      <c r="P95" s="58" t="n">
        <f aca="false">IF(P89=0,0,P94/P89)</f>
        <v>0.619494518201953</v>
      </c>
      <c r="Q95" s="58" t="n">
        <f aca="false">IF(Q89=0,0,Q94/Q89)</f>
        <v>0.619185035908184</v>
      </c>
      <c r="R95" s="58" t="n">
        <f aca="false">IF(R89=0,0,R94/R89)</f>
        <v>0.618875301898488</v>
      </c>
      <c r="S95" s="58" t="n">
        <f aca="false">IF(S89=0,0,S94/S89)</f>
        <v>0.618565315968133</v>
      </c>
      <c r="T95" s="58" t="n">
        <f aca="false">IF(T89=0,0,T94/T89)</f>
        <v>0.61825507791222</v>
      </c>
      <c r="U95" s="58" t="n">
        <f aca="false">IF(U89=0,0,U94/U89)</f>
        <v>0.617944587525685</v>
      </c>
      <c r="V95" s="58" t="n">
        <f aca="false">IF(V89=0,0,V94/V89)</f>
        <v>0.617633844603294</v>
      </c>
      <c r="W95" s="58" t="n">
        <f aca="false">IF(W89=0,0,W94/W89)</f>
        <v>0.617322848939651</v>
      </c>
      <c r="X95" s="58" t="n">
        <f aca="false">IF(X89=0,0,X94/X89)</f>
        <v>0.617011600329188</v>
      </c>
      <c r="Y95" s="58" t="n">
        <f aca="false">IF(Y89=0,0,Y94/Y89)</f>
        <v>0.616700098566173</v>
      </c>
      <c r="Z95" s="58" t="n">
        <f aca="false">IF(Z89=0,0,Z94/Z89)</f>
        <v>0.616388343444705</v>
      </c>
      <c r="AA95" s="58" t="n">
        <f aca="false">IF(AA89=0,0,AA94/AA89)</f>
        <v>0.616076334758717</v>
      </c>
      <c r="AB95" s="58" t="n">
        <f aca="false">IF(AB89=0,0,AB94/AB89)</f>
        <v>0.615764072301972</v>
      </c>
    </row>
    <row r="96" customFormat="false" ht="15" hidden="false" customHeight="true" outlineLevel="0" collapsed="false">
      <c r="A96" s="28" t="s">
        <v>704</v>
      </c>
      <c r="B96" s="55" t="s">
        <v>705</v>
      </c>
      <c r="C96" s="56" t="n">
        <f aca="false">SUM(E96:P96)</f>
        <v>-73116.9337891698</v>
      </c>
      <c r="D96" s="56" t="n">
        <f aca="false">SUM(Q96:AB96)</f>
        <v>-137643.043263486</v>
      </c>
      <c r="E96" s="57" t="n">
        <f aca="false">-IF(E$5="A",Inputs_Actuals!E72/Assumptions!E$70,Assumptions!$F$101*E88)</f>
        <v>-2105.21235521236</v>
      </c>
      <c r="F96" s="57" t="n">
        <f aca="false">-IF(F$5="A",Inputs_Actuals!F72/Assumptions!F$70,Assumptions!$F$101*F88)</f>
        <v>-2300.67243035543</v>
      </c>
      <c r="G96" s="57" t="n">
        <f aca="false">-IF(G$5="A",Inputs_Actuals!G72/Assumptions!G$70,Assumptions!$F$101*G88)</f>
        <v>-3331.74904942966</v>
      </c>
      <c r="H96" s="57" t="n">
        <f aca="false">-IF(H$5="A",Inputs_Actuals!H72/Assumptions!H$70,Assumptions!$F$101*H88)</f>
        <v>-4139.146567718</v>
      </c>
      <c r="I96" s="57" t="n">
        <f aca="false">-IF(I$5="A",Inputs_Actuals!I72/Assumptions!I$70,Assumptions!$F$101*I88)</f>
        <v>-4758.68372943327</v>
      </c>
      <c r="J96" s="57" t="n">
        <f aca="false">-IF(J$5="A",Inputs_Actuals!J72/Assumptions!J$70,Assumptions!$F$101*J88)</f>
        <v>-5737.36462093863</v>
      </c>
      <c r="K96" s="57" t="n">
        <f aca="false">-IF(K$5="A",Inputs_Actuals!K72/Assumptions!K$70,Assumptions!$F$101*K88)</f>
        <v>-5624.44246208742</v>
      </c>
      <c r="L96" s="57" t="n">
        <f aca="false">-IF(L$5="A",Inputs_Actuals!L72/Assumptions!L$70,Assumptions!$F$101*L88)</f>
        <v>-6916.66666666667</v>
      </c>
      <c r="M96" s="57" t="n">
        <f aca="false">-IF(M$5="A",Inputs_Actuals!M72/Assumptions!M$70,Assumptions!$F$101*M88)</f>
        <v>-6904.20832891361</v>
      </c>
      <c r="N96" s="57" t="n">
        <f aca="false">-IF(N$5="A",Inputs_Actuals!N72/Assumptions!N$70,Assumptions!$F$101*N88)</f>
        <v>-8177.44201373731</v>
      </c>
      <c r="O96" s="57" t="n">
        <f aca="false">-IF(O$5="A",Inputs_Actuals!O72/Assumptions!O$70,Assumptions!$F$101*O88)</f>
        <v>-12077.506927675</v>
      </c>
      <c r="P96" s="57" t="n">
        <f aca="false">-IF(P$5="A",Inputs_Actuals!P72/Assumptions!P$70,Assumptions!$F$101*P88)</f>
        <v>-11043.8386370024</v>
      </c>
      <c r="Q96" s="57" t="n">
        <f aca="false">-IF(Q$5="A",Inputs_Actuals!Q72/Assumptions!Q$70,Assumptions!$F$101*Q88)</f>
        <v>-7205.43450738</v>
      </c>
      <c r="R96" s="57" t="n">
        <f aca="false">-IF(R$5="A",Inputs_Actuals!R72/Assumptions!R$70,Assumptions!$F$101*R88)</f>
        <v>-7017.33918200997</v>
      </c>
      <c r="S96" s="57" t="n">
        <f aca="false">-IF(S$5="A",Inputs_Actuals!S72/Assumptions!S$70,Assumptions!$F$101*S88)</f>
        <v>-8265.05501641258</v>
      </c>
      <c r="T96" s="57" t="n">
        <f aca="false">-IF(T$5="A",Inputs_Actuals!T72/Assumptions!T$70,Assumptions!$F$101*T88)</f>
        <v>-8941.42927430508</v>
      </c>
      <c r="U96" s="57" t="n">
        <f aca="false">-IF(U$5="A",Inputs_Actuals!U72/Assumptions!U$70,Assumptions!$F$101*U88)</f>
        <v>-9864.4035445806</v>
      </c>
      <c r="V96" s="57" t="n">
        <f aca="false">-IF(V$5="A",Inputs_Actuals!V72/Assumptions!V$70,Assumptions!$F$101*V88)</f>
        <v>-10011.2687011144</v>
      </c>
      <c r="W96" s="57" t="n">
        <f aca="false">-IF(W$5="A",Inputs_Actuals!W72/Assumptions!W$70,Assumptions!$F$101*W88)</f>
        <v>-9929.53200218247</v>
      </c>
      <c r="X96" s="57" t="n">
        <f aca="false">-IF(X$5="A",Inputs_Actuals!X72/Assumptions!X$70,Assumptions!$F$101*X88)</f>
        <v>-10164.5861321934</v>
      </c>
      <c r="Y96" s="57" t="n">
        <f aca="false">-IF(Y$5="A",Inputs_Actuals!Y72/Assumptions!Y$70,Assumptions!$F$101*Y88)</f>
        <v>-11971.8972423362</v>
      </c>
      <c r="Z96" s="57" t="n">
        <f aca="false">-IF(Z$5="A",Inputs_Actuals!Z72/Assumptions!Z$70,Assumptions!$F$101*Z88)</f>
        <v>-14179.6844518205</v>
      </c>
      <c r="AA96" s="57" t="n">
        <f aca="false">-IF(AA$5="A",Inputs_Actuals!AA72/Assumptions!AA$70,Assumptions!$F$101*AA88)</f>
        <v>-20942.3970125884</v>
      </c>
      <c r="AB96" s="57" t="n">
        <f aca="false">-IF(AB$5="A",Inputs_Actuals!AB72/Assumptions!AB$70,Assumptions!$F$101*AB88)</f>
        <v>-19150.0161965622</v>
      </c>
    </row>
    <row r="97" customFormat="false" ht="15" hidden="false" customHeight="true" outlineLevel="0" collapsed="false">
      <c r="A97" s="28" t="s">
        <v>706</v>
      </c>
      <c r="B97" s="55" t="s">
        <v>707</v>
      </c>
      <c r="C97" s="56" t="n">
        <f aca="false">SUM(E97:P97)</f>
        <v>-50926.1576010959</v>
      </c>
      <c r="D97" s="56" t="n">
        <f aca="false">SUM(Q97:AB97)</f>
        <v>-94837.8111559915</v>
      </c>
      <c r="E97" s="57" t="n">
        <f aca="false">-IF(E$5="A",Inputs_Actuals!E73/Assumptions!E$70,E82*Assumptions!$F$102/Assumptions!E$70)</f>
        <v>-1489.38223938224</v>
      </c>
      <c r="F97" s="57" t="n">
        <f aca="false">-IF(F$5="A",Inputs_Actuals!F73/Assumptions!F$70,F82*Assumptions!$F$102/Assumptions!F$70)</f>
        <v>-1661.86359269933</v>
      </c>
      <c r="G97" s="57" t="n">
        <f aca="false">-IF(G$5="A",Inputs_Actuals!G73/Assumptions!G$70,G82*Assumptions!$F$102/Assumptions!G$70)</f>
        <v>-2266.15969581749</v>
      </c>
      <c r="H97" s="57" t="n">
        <f aca="false">-IF(H$5="A",Inputs_Actuals!H73/Assumptions!H$70,H82*Assumptions!$F$102/Assumptions!H$70)</f>
        <v>-2878.47866419295</v>
      </c>
      <c r="I97" s="57" t="n">
        <f aca="false">-IF(I$5="A",Inputs_Actuals!I73/Assumptions!I$70,I82*Assumptions!$F$102/Assumptions!I$70)</f>
        <v>-3217.55027422303</v>
      </c>
      <c r="J97" s="57" t="n">
        <f aca="false">-IF(J$5="A",Inputs_Actuals!J73/Assumptions!J$70,J82*Assumptions!$F$102/Assumptions!J$70)</f>
        <v>-3886.28158844765</v>
      </c>
      <c r="K97" s="57" t="n">
        <f aca="false">-IF(K$5="A",Inputs_Actuals!K73/Assumptions!K$70,K82*Assumptions!$F$102/Assumptions!K$70)</f>
        <v>-3953.61284567351</v>
      </c>
      <c r="L97" s="57" t="n">
        <f aca="false">-IF(L$5="A",Inputs_Actuals!L73/Assumptions!L$70,L82*Assumptions!$F$102/Assumptions!L$70)</f>
        <v>-4860.21505376344</v>
      </c>
      <c r="M97" s="57" t="n">
        <f aca="false">-IF(M$5="A",Inputs_Actuals!M73/Assumptions!M$70,M82*Assumptions!$F$102/Assumptions!M$70)</f>
        <v>-4841.2806936227</v>
      </c>
      <c r="N97" s="57" t="n">
        <f aca="false">-IF(N$5="A",Inputs_Actuals!N73/Assumptions!N$70,N82*Assumptions!$F$102/Assumptions!N$70)</f>
        <v>-5724.6266533734</v>
      </c>
      <c r="O97" s="57" t="n">
        <f aca="false">-IF(O$5="A",Inputs_Actuals!O73/Assumptions!O$70,O82*Assumptions!$F$102/Assumptions!O$70)</f>
        <v>-8440.93020656711</v>
      </c>
      <c r="P97" s="57" t="n">
        <f aca="false">-IF(P$5="A",Inputs_Actuals!P73/Assumptions!P$70,P82*Assumptions!$F$102/Assumptions!P$70)</f>
        <v>-7705.77609333305</v>
      </c>
      <c r="Q97" s="57" t="n">
        <f aca="false">-IF(Q$5="A",Inputs_Actuals!Q73/Assumptions!Q$70,Q82*Assumptions!$F$102/Assumptions!Q$70)</f>
        <v>-5019.26155182552</v>
      </c>
      <c r="R97" s="57" t="n">
        <f aca="false">-IF(R$5="A",Inputs_Actuals!R73/Assumptions!R$70,R82*Assumptions!$F$102/Assumptions!R$70)</f>
        <v>-4880.17549347171</v>
      </c>
      <c r="S97" s="57" t="n">
        <f aca="false">-IF(S$5="A",Inputs_Actuals!S73/Assumptions!S$70,S82*Assumptions!$F$102/Assumptions!S$70)</f>
        <v>-5738.41613493205</v>
      </c>
      <c r="T97" s="57" t="n">
        <f aca="false">-IF(T$5="A",Inputs_Actuals!T73/Assumptions!T$70,T82*Assumptions!$F$102/Assumptions!T$70)</f>
        <v>-6197.78568896963</v>
      </c>
      <c r="U97" s="57" t="n">
        <f aca="false">-IF(U$5="A",Inputs_Actuals!U73/Assumptions!U$70,U82*Assumptions!$F$102/Assumptions!U$70)</f>
        <v>-6826.2746651524</v>
      </c>
      <c r="V97" s="57" t="n">
        <f aca="false">-IF(V$5="A",Inputs_Actuals!V73/Assumptions!V$70,V82*Assumptions!$F$102/Assumptions!V$70)</f>
        <v>-6916.4838173231</v>
      </c>
      <c r="W97" s="57" t="n">
        <f aca="false">-IF(W$5="A",Inputs_Actuals!W73/Assumptions!W$70,W82*Assumptions!$F$102/Assumptions!W$70)</f>
        <v>-6848.70320532603</v>
      </c>
      <c r="X97" s="57" t="n">
        <f aca="false">-IF(X$5="A",Inputs_Actuals!X73/Assumptions!X$70,X82*Assumptions!$F$102/Assumptions!X$70)</f>
        <v>-6999.2673992674</v>
      </c>
      <c r="Y97" s="57" t="n">
        <f aca="false">-IF(Y$5="A",Inputs_Actuals!Y73/Assumptions!Y$70,Y82*Assumptions!$F$102/Assumptions!Y$70)</f>
        <v>-8230.17717915859</v>
      </c>
      <c r="Z97" s="57" t="n">
        <f aca="false">-IF(Z$5="A",Inputs_Actuals!Z73/Assumptions!Z$70,Z82*Assumptions!$F$102/Assumptions!Z$70)</f>
        <v>-9731.86531073479</v>
      </c>
      <c r="AA97" s="57" t="n">
        <f aca="false">-IF(AA$5="A",Inputs_Actuals!AA73/Assumptions!AA$70,AA82*Assumptions!$F$102/Assumptions!AA$70)</f>
        <v>-14349.5813511641</v>
      </c>
      <c r="AB97" s="57" t="n">
        <f aca="false">-IF(AB$5="A",Inputs_Actuals!AB73/Assumptions!AB$70,AB82*Assumptions!$F$102/Assumptions!AB$70)</f>
        <v>-13099.8193586662</v>
      </c>
    </row>
    <row r="98" customFormat="false" ht="15" hidden="false" customHeight="true" outlineLevel="0" collapsed="false">
      <c r="A98" s="28" t="s">
        <v>708</v>
      </c>
      <c r="B98" s="55" t="s">
        <v>709</v>
      </c>
      <c r="C98" s="56" t="n">
        <f aca="false">SUM(E98:P98)</f>
        <v>-4844.76565848835</v>
      </c>
      <c r="D98" s="56" t="n">
        <f aca="false">SUM(Q98:AB98)</f>
        <v>-9104.42987097518</v>
      </c>
      <c r="E98" s="57" t="n">
        <f aca="false">-IF(E$5="A",Inputs_Actuals!E74/Assumptions!E$70,E82*Assumptions!$F$103/Assumptions!E$70)</f>
        <v>-126.447876447876</v>
      </c>
      <c r="F98" s="57" t="n">
        <f aca="false">-IF(F$5="A",Inputs_Actuals!F74/Assumptions!F$70,F82*Assumptions!$F$103/Assumptions!F$70)</f>
        <v>-152.737752161383</v>
      </c>
      <c r="G98" s="57" t="n">
        <f aca="false">-IF(G$5="A",Inputs_Actuals!G74/Assumptions!G$70,G82*Assumptions!$F$103/Assumptions!G$70)</f>
        <v>-181.558935361217</v>
      </c>
      <c r="H98" s="57" t="n">
        <f aca="false">-IF(H$5="A",Inputs_Actuals!H74/Assumptions!H$70,H82*Assumptions!$F$103/Assumptions!H$70)</f>
        <v>-263.450834879406</v>
      </c>
      <c r="I98" s="57" t="n">
        <f aca="false">-IF(I$5="A",Inputs_Actuals!I74/Assumptions!I$70,I82*Assumptions!$F$103/Assumptions!I$70)</f>
        <v>-344.606946983547</v>
      </c>
      <c r="J98" s="57" t="n">
        <f aca="false">-IF(J$5="A",Inputs_Actuals!J74/Assumptions!J$70,J82*Assumptions!$F$103/Assumptions!J$70)</f>
        <v>-371.841155234657</v>
      </c>
      <c r="K98" s="57" t="n">
        <f aca="false">-IF(K$5="A",Inputs_Actuals!K74/Assumptions!K$70,K82*Assumptions!$F$103/Assumptions!K$70)</f>
        <v>-376.449598572703</v>
      </c>
      <c r="L98" s="57" t="n">
        <f aca="false">-IF(L$5="A",Inputs_Actuals!L74/Assumptions!L$70,L82*Assumptions!$F$103/Assumptions!L$70)</f>
        <v>-463.26164874552</v>
      </c>
      <c r="M98" s="57" t="n">
        <f aca="false">-IF(M$5="A",Inputs_Actuals!M74/Assumptions!M$70,M82*Assumptions!$F$103/Assumptions!M$70)</f>
        <v>-464.762946587779</v>
      </c>
      <c r="N98" s="57" t="n">
        <f aca="false">-IF(N$5="A",Inputs_Actuals!N74/Assumptions!N$70,N82*Assumptions!$F$103/Assumptions!N$70)</f>
        <v>-549.564158723847</v>
      </c>
      <c r="O98" s="57" t="n">
        <f aca="false">-IF(O$5="A",Inputs_Actuals!O74/Assumptions!O$70,O82*Assumptions!$F$103/Assumptions!O$70)</f>
        <v>-810.329299830443</v>
      </c>
      <c r="P98" s="57" t="n">
        <f aca="false">-IF(P$5="A",Inputs_Actuals!P74/Assumptions!P$70,P82*Assumptions!$F$103/Assumptions!P$70)</f>
        <v>-739.754504959972</v>
      </c>
      <c r="Q98" s="57" t="n">
        <f aca="false">-IF(Q$5="A",Inputs_Actuals!Q74/Assumptions!Q$70,Q82*Assumptions!$F$103/Assumptions!Q$70)</f>
        <v>-481.84910897525</v>
      </c>
      <c r="R98" s="57" t="n">
        <f aca="false">-IF(R$5="A",Inputs_Actuals!R74/Assumptions!R$70,R82*Assumptions!$F$103/Assumptions!R$70)</f>
        <v>-468.496847373284</v>
      </c>
      <c r="S98" s="57" t="n">
        <f aca="false">-IF(S$5="A",Inputs_Actuals!S74/Assumptions!S$70,S82*Assumptions!$F$103/Assumptions!S$70)</f>
        <v>-550.887948953476</v>
      </c>
      <c r="T98" s="57" t="n">
        <f aca="false">-IF(T$5="A",Inputs_Actuals!T74/Assumptions!T$70,T82*Assumptions!$F$103/Assumptions!T$70)</f>
        <v>-594.987426141085</v>
      </c>
      <c r="U98" s="57" t="n">
        <f aca="false">-IF(U$5="A",Inputs_Actuals!U74/Assumptions!U$70,U82*Assumptions!$F$103/Assumptions!U$70)</f>
        <v>-655.322367854631</v>
      </c>
      <c r="V98" s="57" t="n">
        <f aca="false">-IF(V$5="A",Inputs_Actuals!V74/Assumptions!V$70,V82*Assumptions!$F$103/Assumptions!V$70)</f>
        <v>-663.982446463017</v>
      </c>
      <c r="W98" s="57" t="n">
        <f aca="false">-IF(W$5="A",Inputs_Actuals!W74/Assumptions!W$70,W82*Assumptions!$F$103/Assumptions!W$70)</f>
        <v>-657.475507711299</v>
      </c>
      <c r="X98" s="57" t="n">
        <f aca="false">-IF(X$5="A",Inputs_Actuals!X74/Assumptions!X$70,X82*Assumptions!$F$103/Assumptions!X$70)</f>
        <v>-671.92967032967</v>
      </c>
      <c r="Y98" s="57" t="n">
        <f aca="false">-IF(Y$5="A",Inputs_Actuals!Y74/Assumptions!Y$70,Y82*Assumptions!$F$103/Assumptions!Y$70)</f>
        <v>-790.097009199225</v>
      </c>
      <c r="Z98" s="57" t="n">
        <f aca="false">-IF(Z$5="A",Inputs_Actuals!Z74/Assumptions!Z$70,Z82*Assumptions!$F$103/Assumptions!Z$70)</f>
        <v>-934.25906983054</v>
      </c>
      <c r="AA98" s="57" t="n">
        <f aca="false">-IF(AA$5="A",Inputs_Actuals!AA74/Assumptions!AA$70,AA82*Assumptions!$F$103/Assumptions!AA$70)</f>
        <v>-1377.55980971175</v>
      </c>
      <c r="AB98" s="57" t="n">
        <f aca="false">-IF(AB$5="A",Inputs_Actuals!AB74/Assumptions!AB$70,AB82*Assumptions!$F$103/Assumptions!AB$70)</f>
        <v>-1257.58265843195</v>
      </c>
    </row>
    <row r="99" customFormat="false" ht="15" hidden="false" customHeight="true" outlineLevel="0" collapsed="false">
      <c r="A99" s="28" t="s">
        <v>323</v>
      </c>
      <c r="B99" s="55" t="s">
        <v>310</v>
      </c>
      <c r="C99" s="56" t="n">
        <f aca="false">SUM(E99:P99)</f>
        <v>-128887.857048754</v>
      </c>
      <c r="D99" s="56" t="n">
        <f aca="false">SUM(Q99:AB99)</f>
        <v>-241585.284290453</v>
      </c>
      <c r="E99" s="69" t="n">
        <f aca="false">E96+E97+E98</f>
        <v>-3721.04247104247</v>
      </c>
      <c r="F99" s="69" t="n">
        <f aca="false">F96+F97+F98</f>
        <v>-4115.27377521614</v>
      </c>
      <c r="G99" s="69" t="n">
        <f aca="false">G96+G97+G98</f>
        <v>-5779.46768060837</v>
      </c>
      <c r="H99" s="69" t="n">
        <f aca="false">H96+H97+H98</f>
        <v>-7281.07606679035</v>
      </c>
      <c r="I99" s="69" t="n">
        <f aca="false">I96+I97+I98</f>
        <v>-8320.84095063985</v>
      </c>
      <c r="J99" s="69" t="n">
        <f aca="false">J96+J97+J98</f>
        <v>-9995.48736462094</v>
      </c>
      <c r="K99" s="69" t="n">
        <f aca="false">K96+K97+K98</f>
        <v>-9954.50490633363</v>
      </c>
      <c r="L99" s="69" t="n">
        <f aca="false">L96+L97+L98</f>
        <v>-12240.1433691756</v>
      </c>
      <c r="M99" s="69" t="n">
        <f aca="false">M96+M97+M98</f>
        <v>-12210.2519691241</v>
      </c>
      <c r="N99" s="69" t="n">
        <f aca="false">N96+N97+N98</f>
        <v>-14451.6328258346</v>
      </c>
      <c r="O99" s="69" t="n">
        <f aca="false">O96+O97+O98</f>
        <v>-21328.7664340725</v>
      </c>
      <c r="P99" s="69" t="n">
        <f aca="false">P96+P97+P98</f>
        <v>-19489.3692352955</v>
      </c>
      <c r="Q99" s="69" t="n">
        <f aca="false">Q96+Q97+Q98</f>
        <v>-12706.5451681808</v>
      </c>
      <c r="R99" s="69" t="n">
        <f aca="false">R96+R97+R98</f>
        <v>-12366.011522855</v>
      </c>
      <c r="S99" s="69" t="n">
        <f aca="false">S96+S97+S98</f>
        <v>-14554.3591002981</v>
      </c>
      <c r="T99" s="69" t="n">
        <f aca="false">T96+T97+T98</f>
        <v>-15734.2023894158</v>
      </c>
      <c r="U99" s="69" t="n">
        <f aca="false">U96+U97+U98</f>
        <v>-17346.0005775876</v>
      </c>
      <c r="V99" s="69" t="n">
        <f aca="false">V96+V97+V98</f>
        <v>-17591.7349649006</v>
      </c>
      <c r="W99" s="69" t="n">
        <f aca="false">W96+W97+W98</f>
        <v>-17435.7107152198</v>
      </c>
      <c r="X99" s="69" t="n">
        <f aca="false">X96+X97+X98</f>
        <v>-17835.7832017905</v>
      </c>
      <c r="Y99" s="69" t="n">
        <f aca="false">Y96+Y97+Y98</f>
        <v>-20992.171430694</v>
      </c>
      <c r="Z99" s="69" t="n">
        <f aca="false">Z96+Z97+Z98</f>
        <v>-24845.8088323858</v>
      </c>
      <c r="AA99" s="69" t="n">
        <f aca="false">AA96+AA97+AA98</f>
        <v>-36669.5381734643</v>
      </c>
      <c r="AB99" s="69" t="n">
        <f aca="false">AB96+AB97+AB98</f>
        <v>-33507.4182136603</v>
      </c>
    </row>
    <row r="100" customFormat="false" ht="15" hidden="false" customHeight="true" outlineLevel="0" collapsed="false">
      <c r="A100" s="70" t="s">
        <v>324</v>
      </c>
      <c r="B100" s="71" t="s">
        <v>671</v>
      </c>
      <c r="C100" s="72" t="n">
        <f aca="false">SUM(E100:P100)</f>
        <v>176095.242216618</v>
      </c>
      <c r="D100" s="72" t="n">
        <f aca="false">SUM(Q100:AB100)</f>
        <v>324698.267816563</v>
      </c>
      <c r="E100" s="72" t="n">
        <f aca="false">E94+E99</f>
        <v>5517.78617760618</v>
      </c>
      <c r="F100" s="72" t="n">
        <f aca="false">F94+F99</f>
        <v>5851.34696445725</v>
      </c>
      <c r="G100" s="72" t="n">
        <f aca="false">G94+G99</f>
        <v>8564.99532319391</v>
      </c>
      <c r="H100" s="72" t="n">
        <f aca="false">H94+H99</f>
        <v>10321.2341929499</v>
      </c>
      <c r="I100" s="72" t="n">
        <f aca="false">I94+I99</f>
        <v>11691.3286837294</v>
      </c>
      <c r="J100" s="72" t="n">
        <f aca="false">J94+J99</f>
        <v>14229.8390613718</v>
      </c>
      <c r="K100" s="72" t="n">
        <f aca="false">K94+K99</f>
        <v>13385.1129170384</v>
      </c>
      <c r="L100" s="72" t="n">
        <f aca="false">L94+L99</f>
        <v>16135.3764516129</v>
      </c>
      <c r="M100" s="72" t="n">
        <f aca="false">M94+M99</f>
        <v>16346.5412955413</v>
      </c>
      <c r="N100" s="72" t="n">
        <f aca="false">N94+N99</f>
        <v>19354.6063672354</v>
      </c>
      <c r="O100" s="72" t="n">
        <f aca="false">O94+O99</f>
        <v>28575.7940469777</v>
      </c>
      <c r="P100" s="72" t="n">
        <f aca="false">P94+P99</f>
        <v>26121.2807349041</v>
      </c>
      <c r="Q100" s="72" t="n">
        <f aca="false">Q94+Q99</f>
        <v>17036.7696597269</v>
      </c>
      <c r="R100" s="72" t="n">
        <f aca="false">R94+R99</f>
        <v>16586.3745090818</v>
      </c>
      <c r="S100" s="72" t="n">
        <f aca="false">S94+S99</f>
        <v>19528.8166845102</v>
      </c>
      <c r="T100" s="72" t="n">
        <f aca="false">T94+T99</f>
        <v>21119.6912947981</v>
      </c>
      <c r="U100" s="72" t="n">
        <f aca="false">U94+U99</f>
        <v>23291.6979526974</v>
      </c>
      <c r="V100" s="72" t="n">
        <f aca="false">V94+V99</f>
        <v>23630.2542166057</v>
      </c>
      <c r="W100" s="72" t="n">
        <f aca="false">W94+W99</f>
        <v>23429.1358462783</v>
      </c>
      <c r="X100" s="72" t="n">
        <f aca="false">X94+X99</f>
        <v>23975.333838933</v>
      </c>
      <c r="Y100" s="72" t="n">
        <f aca="false">Y94+Y99</f>
        <v>28228.2966317915</v>
      </c>
      <c r="Z100" s="72" t="n">
        <f aca="false">Z94+Z99</f>
        <v>33422.1392331227</v>
      </c>
      <c r="AA100" s="72" t="n">
        <f aca="false">AA94+AA99</f>
        <v>49344.563110385</v>
      </c>
      <c r="AB100" s="72" t="n">
        <f aca="false">AB94+AB99</f>
        <v>45105.1948386322</v>
      </c>
    </row>
    <row r="101" customFormat="false" ht="15" hidden="false" customHeight="true" outlineLevel="0" collapsed="false">
      <c r="A101" s="28" t="s">
        <v>270</v>
      </c>
      <c r="B101" s="55" t="s">
        <v>672</v>
      </c>
      <c r="C101" s="59" t="n">
        <f aca="false">IF(C89=0,0,C100/C89)</f>
        <v>0.361262667344909</v>
      </c>
      <c r="D101" s="59" t="n">
        <f aca="false">IF(D89=0,0,D100/D89)</f>
        <v>0.353848178721611</v>
      </c>
      <c r="E101" s="58" t="n">
        <f aca="false">IF(E89=0,0,E100/E89)</f>
        <v>0.393112549298729</v>
      </c>
      <c r="F101" s="58" t="n">
        <f aca="false">IF(F89=0,0,F100/F89)</f>
        <v>0.381492713358707</v>
      </c>
      <c r="G101" s="58" t="n">
        <f aca="false">IF(G89=0,0,G100/G89)</f>
        <v>0.385607843305082</v>
      </c>
      <c r="H101" s="58" t="n">
        <f aca="false">IF(H89=0,0,H100/H89)</f>
        <v>0.374029039440107</v>
      </c>
      <c r="I101" s="58" t="n">
        <f aca="false">IF(I89=0,0,I100/I89)</f>
        <v>0.368560501944621</v>
      </c>
      <c r="J101" s="58" t="n">
        <f aca="false">IF(J89=0,0,J100/J89)</f>
        <v>0.372037825168438</v>
      </c>
      <c r="K101" s="58" t="n">
        <f aca="false">IF(K89=0,0,K100/K89)</f>
        <v>0.356977869801566</v>
      </c>
      <c r="L101" s="58" t="n">
        <f aca="false">IF(L89=0,0,L100/L89)</f>
        <v>0.349925050651168</v>
      </c>
      <c r="M101" s="58" t="n">
        <f aca="false">IF(M89=0,0,M100/M89)</f>
        <v>0.355142990697822</v>
      </c>
      <c r="N101" s="58" t="n">
        <f aca="false">IF(N89=0,0,N100/N89)</f>
        <v>0.355024340155298</v>
      </c>
      <c r="O101" s="58" t="n">
        <f aca="false">IF(O89=0,0,O100/O89)</f>
        <v>0.35490512509868</v>
      </c>
      <c r="P101" s="58" t="n">
        <f aca="false">IF(P89=0,0,P100/P89)</f>
        <v>0.354785345840503</v>
      </c>
      <c r="Q101" s="58" t="n">
        <f aca="false">IF(Q89=0,0,Q100/Q89)</f>
        <v>0.354665002692289</v>
      </c>
      <c r="R101" s="58" t="n">
        <f aca="false">IF(R89=0,0,R100/R89)</f>
        <v>0.354544095964539</v>
      </c>
      <c r="S101" s="58" t="n">
        <f aca="false">IF(S89=0,0,S100/S89)</f>
        <v>0.354422625966741</v>
      </c>
      <c r="T101" s="58" t="n">
        <f aca="false">IF(T89=0,0,T100/T89)</f>
        <v>0.354300593007367</v>
      </c>
      <c r="U101" s="58" t="n">
        <f aca="false">IF(U89=0,0,U100/U89)</f>
        <v>0.354177997393877</v>
      </c>
      <c r="V101" s="58" t="n">
        <f aca="false">IF(V89=0,0,V100/V89)</f>
        <v>0.354054839432717</v>
      </c>
      <c r="W101" s="58" t="n">
        <f aca="false">IF(W89=0,0,W100/W89)</f>
        <v>0.353931119429325</v>
      </c>
      <c r="X101" s="58" t="n">
        <f aca="false">IF(X89=0,0,X100/X89)</f>
        <v>0.353806837688129</v>
      </c>
      <c r="Y101" s="58" t="n">
        <f aca="false">IF(Y89=0,0,Y100/Y89)</f>
        <v>0.353681994512547</v>
      </c>
      <c r="Z101" s="58" t="n">
        <f aca="false">IF(Z89=0,0,Z100/Z89)</f>
        <v>0.353556590204993</v>
      </c>
      <c r="AA101" s="58" t="n">
        <f aca="false">IF(AA89=0,0,AA100/AA89)</f>
        <v>0.353430625066873</v>
      </c>
      <c r="AB101" s="58" t="n">
        <f aca="false">IF(AB89=0,0,AB100/AB89)</f>
        <v>0.35330409939859</v>
      </c>
    </row>
    <row r="102" customFormat="false" ht="15" hidden="false" customHeight="true" outlineLevel="0" collapsed="false">
      <c r="A102" s="28" t="s">
        <v>328</v>
      </c>
      <c r="B102" s="55" t="s">
        <v>710</v>
      </c>
      <c r="C102" s="56" t="n">
        <f aca="false">SUM(E102:P102)</f>
        <v>-61753.8527879694</v>
      </c>
      <c r="D102" s="56" t="n">
        <f aca="false">SUM(Q102:AB102)</f>
        <v>-110114.434610789</v>
      </c>
      <c r="E102" s="57" t="n">
        <f aca="false">-IF(E$5="A",Inputs_Actuals!E75/Assumptions!E$70,Assumptions!$F$111*E89)</f>
        <v>-2056.94980694981</v>
      </c>
      <c r="F102" s="57" t="n">
        <f aca="false">-IF(F$5="A",Inputs_Actuals!F75/Assumptions!F$70,Assumptions!$F$111*F89)</f>
        <v>-2387.12776176753</v>
      </c>
      <c r="G102" s="57" t="n">
        <f aca="false">-IF(G$5="A",Inputs_Actuals!G75/Assumptions!G$70,Assumptions!$F$111*G89)</f>
        <v>-3217.68060836502</v>
      </c>
      <c r="H102" s="57" t="n">
        <f aca="false">-IF(H$5="A",Inputs_Actuals!H75/Assumptions!H$70,Assumptions!$F$111*H89)</f>
        <v>-3833.0241187384</v>
      </c>
      <c r="I102" s="57" t="n">
        <f aca="false">-IF(I$5="A",Inputs_Actuals!I75/Assumptions!I$70,Assumptions!$F$111*I89)</f>
        <v>-4101.46252285192</v>
      </c>
      <c r="J102" s="57" t="n">
        <f aca="false">-IF(J$5="A",Inputs_Actuals!J75/Assumptions!J$70,Assumptions!$F$111*J89)</f>
        <v>-5045.12635379061</v>
      </c>
      <c r="K102" s="57" t="n">
        <f aca="false">-IF(K$5="A",Inputs_Actuals!K75/Assumptions!K$70,Assumptions!$F$111*K89)</f>
        <v>-4421.05263157895</v>
      </c>
      <c r="L102" s="57" t="n">
        <f aca="false">-IF(L$5="A",Inputs_Actuals!L75/Assumptions!L$70,Assumptions!$F$111*L89)</f>
        <v>-6129.03225806452</v>
      </c>
      <c r="M102" s="57" t="n">
        <f aca="false">-IF(M$5="A",Inputs_Actuals!M75/Assumptions!M$70,Assumptions!$F$111*M89)</f>
        <v>-5523.36666313089</v>
      </c>
      <c r="N102" s="57" t="n">
        <f aca="false">-IF(N$5="A",Inputs_Actuals!N75/Assumptions!N$70,Assumptions!$F$111*N89)</f>
        <v>-6541.95361098985</v>
      </c>
      <c r="O102" s="57" t="n">
        <f aca="false">-IF(O$5="A",Inputs_Actuals!O75/Assumptions!O$70,Assumptions!$F$111*O89)</f>
        <v>-9662.00554213999</v>
      </c>
      <c r="P102" s="57" t="n">
        <f aca="false">-IF(P$5="A",Inputs_Actuals!P75/Assumptions!P$70,Assumptions!$F$111*P89)</f>
        <v>-8835.07090960195</v>
      </c>
      <c r="Q102" s="57" t="n">
        <f aca="false">-IF(Q$5="A",Inputs_Actuals!Q75/Assumptions!Q$70,Assumptions!$F$111*Q89)</f>
        <v>-5764.347605904</v>
      </c>
      <c r="R102" s="57" t="n">
        <f aca="false">-IF(R$5="A",Inputs_Actuals!R75/Assumptions!R$70,Assumptions!$F$111*R89)</f>
        <v>-5613.87134560798</v>
      </c>
      <c r="S102" s="57" t="n">
        <f aca="false">-IF(S$5="A",Inputs_Actuals!S75/Assumptions!S$70,Assumptions!$F$111*S89)</f>
        <v>-6612.04401313007</v>
      </c>
      <c r="T102" s="57" t="n">
        <f aca="false">-IF(T$5="A",Inputs_Actuals!T75/Assumptions!T$70,Assumptions!$F$111*T89)</f>
        <v>-7153.14341944406</v>
      </c>
      <c r="U102" s="57" t="n">
        <f aca="false">-IF(U$5="A",Inputs_Actuals!U75/Assumptions!U$70,Assumptions!$F$111*U89)</f>
        <v>-7891.52283566448</v>
      </c>
      <c r="V102" s="57" t="n">
        <f aca="false">-IF(V$5="A",Inputs_Actuals!V75/Assumptions!V$70,Assumptions!$F$111*V89)</f>
        <v>-8009.01496089155</v>
      </c>
      <c r="W102" s="57" t="n">
        <f aca="false">-IF(W$5="A",Inputs_Actuals!W75/Assumptions!W$70,Assumptions!$F$111*W89)</f>
        <v>-7943.62560174598</v>
      </c>
      <c r="X102" s="57" t="n">
        <f aca="false">-IF(X$5="A",Inputs_Actuals!X75/Assumptions!X$70,Assumptions!$F$111*X89)</f>
        <v>-8131.66890575473</v>
      </c>
      <c r="Y102" s="57" t="n">
        <f aca="false">-IF(Y$5="A",Inputs_Actuals!Y75/Assumptions!Y$70,Assumptions!$F$111*Y89)</f>
        <v>-9577.51779386896</v>
      </c>
      <c r="Z102" s="57" t="n">
        <f aca="false">-IF(Z$5="A",Inputs_Actuals!Z75/Assumptions!Z$70,Assumptions!$F$111*Z89)</f>
        <v>-11343.7475614564</v>
      </c>
      <c r="AA102" s="57" t="n">
        <f aca="false">-IF(AA$5="A",Inputs_Actuals!AA75/Assumptions!AA$70,Assumptions!$F$111*AA89)</f>
        <v>-16753.9176100707</v>
      </c>
      <c r="AB102" s="57" t="n">
        <f aca="false">-IF(AB$5="A",Inputs_Actuals!AB75/Assumptions!AB$70,Assumptions!$F$111*AB89)</f>
        <v>-15320.0129572498</v>
      </c>
    </row>
    <row r="103" customFormat="false" ht="15" hidden="false" customHeight="true" outlineLevel="0" collapsed="false">
      <c r="A103" s="70" t="s">
        <v>330</v>
      </c>
      <c r="B103" s="71" t="s">
        <v>677</v>
      </c>
      <c r="C103" s="72" t="n">
        <f aca="false">SUM(E103:P103)</f>
        <v>114341.389428649</v>
      </c>
      <c r="D103" s="72" t="n">
        <f aca="false">SUM(Q103:AB103)</f>
        <v>214583.833205774</v>
      </c>
      <c r="E103" s="72" t="n">
        <f aca="false">E100+E102</f>
        <v>3460.83637065637</v>
      </c>
      <c r="F103" s="72" t="n">
        <f aca="false">F100+F102</f>
        <v>3464.21920268972</v>
      </c>
      <c r="G103" s="72" t="n">
        <f aca="false">G100+G102</f>
        <v>5347.31471482889</v>
      </c>
      <c r="H103" s="72" t="n">
        <f aca="false">H100+H102</f>
        <v>6488.2100742115</v>
      </c>
      <c r="I103" s="72" t="n">
        <f aca="false">I100+I102</f>
        <v>7589.86616087751</v>
      </c>
      <c r="J103" s="72" t="n">
        <f aca="false">J100+J102</f>
        <v>9184.71270758122</v>
      </c>
      <c r="K103" s="72" t="n">
        <f aca="false">K100+K102</f>
        <v>8964.0602854594</v>
      </c>
      <c r="L103" s="72" t="n">
        <f aca="false">L100+L102</f>
        <v>10006.3441935484</v>
      </c>
      <c r="M103" s="72" t="n">
        <f aca="false">M100+M102</f>
        <v>10823.1746324104</v>
      </c>
      <c r="N103" s="72" t="n">
        <f aca="false">N100+N102</f>
        <v>12812.6527562455</v>
      </c>
      <c r="O103" s="72" t="n">
        <f aca="false">O100+O102</f>
        <v>18913.7885048377</v>
      </c>
      <c r="P103" s="72" t="n">
        <f aca="false">P100+P102</f>
        <v>17286.2098253022</v>
      </c>
      <c r="Q103" s="72" t="n">
        <f aca="false">Q100+Q102</f>
        <v>11272.4220538229</v>
      </c>
      <c r="R103" s="72" t="n">
        <f aca="false">R100+R102</f>
        <v>10972.5031634738</v>
      </c>
      <c r="S103" s="72" t="n">
        <f aca="false">S100+S102</f>
        <v>12916.7726713802</v>
      </c>
      <c r="T103" s="72" t="n">
        <f aca="false">T100+T102</f>
        <v>13966.5478753541</v>
      </c>
      <c r="U103" s="72" t="n">
        <f aca="false">U100+U102</f>
        <v>15400.175117033</v>
      </c>
      <c r="V103" s="72" t="n">
        <f aca="false">V100+V102</f>
        <v>15621.2392557142</v>
      </c>
      <c r="W103" s="72" t="n">
        <f aca="false">W100+W102</f>
        <v>15485.5102445323</v>
      </c>
      <c r="X103" s="72" t="n">
        <f aca="false">X100+X102</f>
        <v>15843.6649331783</v>
      </c>
      <c r="Y103" s="72" t="n">
        <f aca="false">Y100+Y102</f>
        <v>18650.7788379225</v>
      </c>
      <c r="Z103" s="72" t="n">
        <f aca="false">Z100+Z102</f>
        <v>22078.3916716663</v>
      </c>
      <c r="AA103" s="72" t="n">
        <f aca="false">AA100+AA102</f>
        <v>32590.6455003142</v>
      </c>
      <c r="AB103" s="72" t="n">
        <f aca="false">AB100+AB102</f>
        <v>29785.1818813824</v>
      </c>
    </row>
    <row r="104" customFormat="false" ht="15" hidden="false" customHeight="true" outlineLevel="0" collapsed="false">
      <c r="A104" s="28" t="s">
        <v>271</v>
      </c>
      <c r="B104" s="55" t="s">
        <v>678</v>
      </c>
      <c r="C104" s="59" t="n">
        <f aca="false">IF(C89=0,0,C103/C89)</f>
        <v>0.234573488828868</v>
      </c>
      <c r="D104" s="59" t="n">
        <f aca="false">IF(D89=0,0,D103/D89)</f>
        <v>0.233848178721611</v>
      </c>
      <c r="E104" s="58" t="n">
        <f aca="false">IF(E89=0,0,E103/E89)</f>
        <v>0.246565953188987</v>
      </c>
      <c r="F104" s="58" t="n">
        <f aca="false">IF(F89=0,0,F103/F89)</f>
        <v>0.22585814707811</v>
      </c>
      <c r="G104" s="58" t="n">
        <f aca="false">IF(G89=0,0,G103/G89)</f>
        <v>0.240743446651385</v>
      </c>
      <c r="H104" s="58" t="n">
        <f aca="false">IF(H89=0,0,H103/H89)</f>
        <v>0.235124882971903</v>
      </c>
      <c r="I104" s="58" t="n">
        <f aca="false">IF(I89=0,0,I103/I89)</f>
        <v>0.239264925109708</v>
      </c>
      <c r="J104" s="58" t="n">
        <f aca="false">IF(J89=0,0,J103/J89)</f>
        <v>0.240133463617403</v>
      </c>
      <c r="K104" s="58" t="n">
        <f aca="false">IF(K89=0,0,K103/K89)</f>
        <v>0.239069417292906</v>
      </c>
      <c r="L104" s="58" t="n">
        <f aca="false">IF(L89=0,0,L103/L89)</f>
        <v>0.217005813856325</v>
      </c>
      <c r="M104" s="58" t="n">
        <f aca="false">IF(M89=0,0,M103/M89)</f>
        <v>0.235142990697822</v>
      </c>
      <c r="N104" s="58" t="n">
        <f aca="false">IF(N89=0,0,N103/N89)</f>
        <v>0.235024340155298</v>
      </c>
      <c r="O104" s="58" t="n">
        <f aca="false">IF(O89=0,0,O103/O89)</f>
        <v>0.23490512509868</v>
      </c>
      <c r="P104" s="58" t="n">
        <f aca="false">IF(P89=0,0,P103/P89)</f>
        <v>0.234785345840503</v>
      </c>
      <c r="Q104" s="58" t="n">
        <f aca="false">IF(Q89=0,0,Q103/Q89)</f>
        <v>0.234665002692289</v>
      </c>
      <c r="R104" s="58" t="n">
        <f aca="false">IF(R89=0,0,R103/R89)</f>
        <v>0.234544095964539</v>
      </c>
      <c r="S104" s="58" t="n">
        <f aca="false">IF(S89=0,0,S103/S89)</f>
        <v>0.234422625966741</v>
      </c>
      <c r="T104" s="58" t="n">
        <f aca="false">IF(T89=0,0,T103/T89)</f>
        <v>0.234300593007367</v>
      </c>
      <c r="U104" s="58" t="n">
        <f aca="false">IF(U89=0,0,U103/U89)</f>
        <v>0.234177997393876</v>
      </c>
      <c r="V104" s="58" t="n">
        <f aca="false">IF(V89=0,0,V103/V89)</f>
        <v>0.234054839432717</v>
      </c>
      <c r="W104" s="58" t="n">
        <f aca="false">IF(W89=0,0,W103/W89)</f>
        <v>0.233931119429325</v>
      </c>
      <c r="X104" s="58" t="n">
        <f aca="false">IF(X89=0,0,X103/X89)</f>
        <v>0.233806837688129</v>
      </c>
      <c r="Y104" s="58" t="n">
        <f aca="false">IF(Y89=0,0,Y103/Y89)</f>
        <v>0.233681994512547</v>
      </c>
      <c r="Z104" s="58" t="n">
        <f aca="false">IF(Z89=0,0,Z103/Z89)</f>
        <v>0.233556590204993</v>
      </c>
      <c r="AA104" s="58" t="n">
        <f aca="false">IF(AA89=0,0,AA103/AA89)</f>
        <v>0.233430625066873</v>
      </c>
      <c r="AB104" s="58" t="n">
        <f aca="false">IF(AB89=0,0,AB103/AB89)</f>
        <v>0.23330409939859</v>
      </c>
    </row>
    <row r="105" customFormat="false" ht="15" hidden="false" customHeight="true" outlineLevel="0" collapsed="false">
      <c r="A105" s="28" t="s">
        <v>679</v>
      </c>
      <c r="B105" s="55" t="s">
        <v>680</v>
      </c>
      <c r="C105" s="61" t="n">
        <f aca="false">IF(C83=0,0,C85/C83)</f>
        <v>76.0821737580198</v>
      </c>
      <c r="D105" s="61" t="n">
        <f aca="false">IF(D83=0,0,D85/D83)</f>
        <v>76.2665245238275</v>
      </c>
      <c r="E105" s="62" t="n">
        <f aca="false">IF(E83=0,0,E85/E83)</f>
        <v>80.9159849382622</v>
      </c>
      <c r="F105" s="62" t="n">
        <f aca="false">IF(F83=0,0,F85/F83)</f>
        <v>77.0466248613705</v>
      </c>
      <c r="G105" s="62" t="n">
        <f aca="false">IF(G83=0,0,G85/G83)</f>
        <v>80.6842914526145</v>
      </c>
      <c r="H105" s="62" t="n">
        <f aca="false">IF(H83=0,0,H85/H83)</f>
        <v>78.5159730780169</v>
      </c>
      <c r="I105" s="62" t="n">
        <f aca="false">IF(I83=0,0,I85/I83)</f>
        <v>78.0227086109131</v>
      </c>
      <c r="J105" s="62" t="n">
        <f aca="false">IF(J83=0,0,J85/J83)</f>
        <v>78.0866264827231</v>
      </c>
      <c r="K105" s="62" t="n">
        <f aca="false">IF(K83=0,0,K85/K83)</f>
        <v>73.9442064937128</v>
      </c>
      <c r="L105" s="62" t="n">
        <f aca="false">IF(L83=0,0,L85/L83)</f>
        <v>74.927656360106</v>
      </c>
      <c r="M105" s="62" t="n">
        <f aca="false">IF(M83=0,0,M85/M83)</f>
        <v>74.9401979086223</v>
      </c>
      <c r="N105" s="62" t="n">
        <f aca="false">IF(N83=0,0,N85/N83)</f>
        <v>75.0639677382504</v>
      </c>
      <c r="O105" s="62" t="n">
        <f aca="false">IF(O83=0,0,O85/O83)</f>
        <v>75.1879419838148</v>
      </c>
      <c r="P105" s="62" t="n">
        <f aca="false">IF(P83=0,0,P85/P83)</f>
        <v>75.3121209829251</v>
      </c>
      <c r="Q105" s="62" t="n">
        <f aca="false">IF(Q83=0,0,Q85/Q83)</f>
        <v>75.4365050737485</v>
      </c>
      <c r="R105" s="62" t="n">
        <f aca="false">IF(R83=0,0,R85/R83)</f>
        <v>75.5610945950105</v>
      </c>
      <c r="S105" s="62" t="n">
        <f aca="false">IF(S83=0,0,S85/S83)</f>
        <v>75.6858898859962</v>
      </c>
      <c r="T105" s="62" t="n">
        <f aca="false">IF(T83=0,0,T85/T83)</f>
        <v>75.8108912865511</v>
      </c>
      <c r="U105" s="62" t="n">
        <f aca="false">IF(U83=0,0,U85/U83)</f>
        <v>75.9360991370819</v>
      </c>
      <c r="V105" s="62" t="n">
        <f aca="false">IF(V83=0,0,V85/V83)</f>
        <v>76.0615137785575</v>
      </c>
      <c r="W105" s="62" t="n">
        <f aca="false">IF(W83=0,0,W85/W83)</f>
        <v>76.1871355525099</v>
      </c>
      <c r="X105" s="62" t="n">
        <f aca="false">IF(X83=0,0,X85/X83)</f>
        <v>76.3129648010353</v>
      </c>
      <c r="Y105" s="62" t="n">
        <f aca="false">IF(Y83=0,0,Y85/Y83)</f>
        <v>76.4390018667947</v>
      </c>
      <c r="Z105" s="62" t="n">
        <f aca="false">IF(Z83=0,0,Z85/Z83)</f>
        <v>76.5652470930154</v>
      </c>
      <c r="AA105" s="62" t="n">
        <f aca="false">IF(AA83=0,0,AA85/AA83)</f>
        <v>76.6917008234911</v>
      </c>
      <c r="AB105" s="62" t="n">
        <f aca="false">IF(AB83=0,0,AB85/AB83)</f>
        <v>76.8183634025836</v>
      </c>
    </row>
    <row r="106" customFormat="false" ht="15" hidden="false" customHeight="true" outlineLevel="0" collapsed="false">
      <c r="A106" s="28" t="s">
        <v>681</v>
      </c>
      <c r="B106" s="55" t="s">
        <v>682</v>
      </c>
      <c r="C106" s="61" t="n">
        <f aca="false">IF(C83=0,0,C89/C83)</f>
        <v>65.818749453054</v>
      </c>
      <c r="D106" s="61" t="n">
        <f aca="false">IF(D83=0,0,D89/D83)</f>
        <v>65.9705437131108</v>
      </c>
      <c r="E106" s="62" t="n">
        <f aca="false">IF(E83=0,0,E89/E83)</f>
        <v>69.4858843992507</v>
      </c>
      <c r="F106" s="62" t="n">
        <f aca="false">IF(F83=0,0,F89/F83)</f>
        <v>65.8284581101862</v>
      </c>
      <c r="G106" s="62" t="n">
        <f aca="false">IF(G83=0,0,G89/G83)</f>
        <v>69.6290689774366</v>
      </c>
      <c r="H106" s="62" t="n">
        <f aca="false">IF(H83=0,0,H89/H83)</f>
        <v>67.1404872499763</v>
      </c>
      <c r="I106" s="62" t="n">
        <f aca="false">IF(I83=0,0,I89/I83)</f>
        <v>67.2067788863756</v>
      </c>
      <c r="J106" s="62" t="n">
        <f aca="false">IF(J83=0,0,J89/J83)</f>
        <v>68.30065433213</v>
      </c>
      <c r="K106" s="62" t="n">
        <f aca="false">IF(K83=0,0,K89/K83)</f>
        <v>64.2048592865959</v>
      </c>
      <c r="L106" s="62" t="n">
        <f aca="false">IF(L83=0,0,L89/L83)</f>
        <v>65.2205796616528</v>
      </c>
      <c r="M106" s="62" t="n">
        <f aca="false">IF(M83=0,0,M89/M83)</f>
        <v>64.8232711909583</v>
      </c>
      <c r="N106" s="62" t="n">
        <f aca="false">IF(N83=0,0,N89/N83)</f>
        <v>64.9303320935866</v>
      </c>
      <c r="O106" s="62" t="n">
        <f aca="false">IF(O83=0,0,O89/O83)</f>
        <v>65.0375698159998</v>
      </c>
      <c r="P106" s="62" t="n">
        <f aca="false">IF(P83=0,0,P89/P83)</f>
        <v>65.1449846502303</v>
      </c>
      <c r="Q106" s="62" t="n">
        <f aca="false">IF(Q83=0,0,Q89/Q83)</f>
        <v>65.2525768887924</v>
      </c>
      <c r="R106" s="62" t="n">
        <f aca="false">IF(R83=0,0,R89/R83)</f>
        <v>65.3603468246841</v>
      </c>
      <c r="S106" s="62" t="n">
        <f aca="false">IF(S83=0,0,S89/S83)</f>
        <v>65.4682947513868</v>
      </c>
      <c r="T106" s="62" t="n">
        <f aca="false">IF(T83=0,0,T89/T83)</f>
        <v>65.5764209628667</v>
      </c>
      <c r="U106" s="62" t="n">
        <f aca="false">IF(U83=0,0,U89/U83)</f>
        <v>65.6847257535758</v>
      </c>
      <c r="V106" s="62" t="n">
        <f aca="false">IF(V83=0,0,V89/V83)</f>
        <v>65.7932094184522</v>
      </c>
      <c r="W106" s="62" t="n">
        <f aca="false">IF(W83=0,0,W89/W83)</f>
        <v>65.901872252921</v>
      </c>
      <c r="X106" s="62" t="n">
        <f aca="false">IF(X83=0,0,X89/X83)</f>
        <v>66.0107145528955</v>
      </c>
      <c r="Y106" s="62" t="n">
        <f aca="false">IF(Y83=0,0,Y89/Y83)</f>
        <v>66.1197366147775</v>
      </c>
      <c r="Z106" s="62" t="n">
        <f aca="false">IF(Z83=0,0,Z89/Z83)</f>
        <v>66.2289387354583</v>
      </c>
      <c r="AA106" s="62" t="n">
        <f aca="false">IF(AA83=0,0,AA89/AA83)</f>
        <v>66.3383212123198</v>
      </c>
      <c r="AB106" s="62" t="n">
        <f aca="false">IF(AB83=0,0,AB89/AB83)</f>
        <v>66.4478843432349</v>
      </c>
    </row>
    <row r="107" customFormat="false" ht="15" hidden="false" customHeight="true" outlineLevel="0" collapsed="false">
      <c r="A107" s="28" t="s">
        <v>683</v>
      </c>
      <c r="B107" s="55"/>
      <c r="C107" s="59" t="n">
        <f aca="false">IF(C85=0,0,-C86/C85)</f>
        <v>0.0494532872866977</v>
      </c>
      <c r="D107" s="59" t="n">
        <f aca="false">IF(D85=0,0,-D86/D85)</f>
        <v>0.05</v>
      </c>
      <c r="E107" s="58" t="n">
        <f aca="false">IF(E85=0,0,-E86/E85)</f>
        <v>0.0484839179257623</v>
      </c>
      <c r="F107" s="58" t="n">
        <f aca="false">IF(F85=0,0,-F86/F85)</f>
        <v>0.0533500571760643</v>
      </c>
      <c r="G107" s="58" t="n">
        <f aca="false">IF(G85=0,0,-G86/G85)</f>
        <v>0.0488612340951697</v>
      </c>
      <c r="H107" s="58" t="n">
        <f aca="false">IF(H85=0,0,-H86/H85)</f>
        <v>0.0506221697507095</v>
      </c>
      <c r="I107" s="58" t="n">
        <f aca="false">IF(I85=0,0,-I86/I85)</f>
        <v>0.0548296371936062</v>
      </c>
      <c r="J107" s="58" t="n">
        <f aca="false">IF(J85=0,0,-J86/J85)</f>
        <v>0.0472434216786007</v>
      </c>
      <c r="K107" s="58" t="n">
        <f aca="false">IF(K85=0,0,-K86/K85)</f>
        <v>0.0478427288038223</v>
      </c>
      <c r="L107" s="58" t="n">
        <f aca="false">IF(L85=0,0,-L86/L85)</f>
        <v>0.044368273926983</v>
      </c>
      <c r="M107" s="58" t="n">
        <f aca="false">IF(M85=0,0,-M86/M85)</f>
        <v>0.05</v>
      </c>
      <c r="N107" s="58" t="n">
        <f aca="false">IF(N85=0,0,-N86/N85)</f>
        <v>0.05</v>
      </c>
      <c r="O107" s="58" t="n">
        <f aca="false">IF(O85=0,0,-O86/O85)</f>
        <v>0.05</v>
      </c>
      <c r="P107" s="58" t="n">
        <f aca="false">IF(P85=0,0,-P86/P85)</f>
        <v>0.05</v>
      </c>
      <c r="Q107" s="58" t="n">
        <f aca="false">IF(Q85=0,0,-Q86/Q85)</f>
        <v>0.05</v>
      </c>
      <c r="R107" s="58" t="n">
        <f aca="false">IF(R85=0,0,-R86/R85)</f>
        <v>0.05</v>
      </c>
      <c r="S107" s="58" t="n">
        <f aca="false">IF(S85=0,0,-S86/S85)</f>
        <v>0.05</v>
      </c>
      <c r="T107" s="58" t="n">
        <f aca="false">IF(T85=0,0,-T86/T85)</f>
        <v>0.05</v>
      </c>
      <c r="U107" s="58" t="n">
        <f aca="false">IF(U85=0,0,-U86/U85)</f>
        <v>0.05</v>
      </c>
      <c r="V107" s="58" t="n">
        <f aca="false">IF(V85=0,0,-V86/V85)</f>
        <v>0.05</v>
      </c>
      <c r="W107" s="58" t="n">
        <f aca="false">IF(W85=0,0,-W86/W85)</f>
        <v>0.05</v>
      </c>
      <c r="X107" s="58" t="n">
        <f aca="false">IF(X85=0,0,-X86/X85)</f>
        <v>0.05</v>
      </c>
      <c r="Y107" s="58" t="n">
        <f aca="false">IF(Y85=0,0,-Y86/Y85)</f>
        <v>0.05</v>
      </c>
      <c r="Z107" s="58" t="n">
        <f aca="false">IF(Z85=0,0,-Z86/Z85)</f>
        <v>0.05</v>
      </c>
      <c r="AA107" s="58" t="n">
        <f aca="false">IF(AA85=0,0,-AA86/AA85)</f>
        <v>0.05</v>
      </c>
      <c r="AB107" s="58" t="n">
        <f aca="false">IF(AB85=0,0,-AB86/AB85)</f>
        <v>0.05</v>
      </c>
    </row>
    <row r="108" customFormat="false" ht="15" hidden="false" customHeight="true" outlineLevel="0" collapsed="false">
      <c r="A108" s="28" t="s">
        <v>684</v>
      </c>
      <c r="B108" s="55"/>
      <c r="C108" s="59" t="n">
        <f aca="false">IF(C85=0,0,-C87/C85)</f>
        <v>0.0854459118030752</v>
      </c>
      <c r="D108" s="59" t="n">
        <f aca="false">IF(D85=0,0,-D87/D85)</f>
        <v>0.085</v>
      </c>
      <c r="E108" s="58" t="n">
        <f aca="false">IF(E85=0,0,-E87/E85)</f>
        <v>0.0927749513536816</v>
      </c>
      <c r="F108" s="58" t="n">
        <f aca="false">IF(F85=0,0,-F87/F85)</f>
        <v>0.0922522553375475</v>
      </c>
      <c r="G108" s="58" t="n">
        <f aca="false">IF(G85=0,0,-G87/G85)</f>
        <v>0.0881570414098036</v>
      </c>
      <c r="H108" s="58" t="n">
        <f aca="false">IF(H85=0,0,-H87/H85)</f>
        <v>0.0942589975085614</v>
      </c>
      <c r="I108" s="58" t="n">
        <f aca="false">IF(I85=0,0,-I87/I85)</f>
        <v>0.0837957696539677</v>
      </c>
      <c r="J108" s="58" t="n">
        <f aca="false">IF(J85=0,0,-J87/J85)</f>
        <v>0.0780785776365864</v>
      </c>
      <c r="K108" s="58" t="n">
        <f aca="false">IF(K85=0,0,-K87/K85)</f>
        <v>0.0838693777821755</v>
      </c>
      <c r="L108" s="58" t="n">
        <f aca="false">IF(L85=0,0,-L87/L85)</f>
        <v>0.085184379525843</v>
      </c>
      <c r="M108" s="58" t="n">
        <f aca="false">IF(M85=0,0,-M87/M85)</f>
        <v>0.085</v>
      </c>
      <c r="N108" s="58" t="n">
        <f aca="false">IF(N85=0,0,-N87/N85)</f>
        <v>0.085</v>
      </c>
      <c r="O108" s="58" t="n">
        <f aca="false">IF(O85=0,0,-O87/O85)</f>
        <v>0.085</v>
      </c>
      <c r="P108" s="58" t="n">
        <f aca="false">IF(P85=0,0,-P87/P85)</f>
        <v>0.085</v>
      </c>
      <c r="Q108" s="58" t="n">
        <f aca="false">IF(Q85=0,0,-Q87/Q85)</f>
        <v>0.085</v>
      </c>
      <c r="R108" s="58" t="n">
        <f aca="false">IF(R85=0,0,-R87/R85)</f>
        <v>0.085</v>
      </c>
      <c r="S108" s="58" t="n">
        <f aca="false">IF(S85=0,0,-S87/S85)</f>
        <v>0.085</v>
      </c>
      <c r="T108" s="58" t="n">
        <f aca="false">IF(T85=0,0,-T87/T85)</f>
        <v>0.085</v>
      </c>
      <c r="U108" s="58" t="n">
        <f aca="false">IF(U85=0,0,-U87/U85)</f>
        <v>0.085</v>
      </c>
      <c r="V108" s="58" t="n">
        <f aca="false">IF(V85=0,0,-V87/V85)</f>
        <v>0.085</v>
      </c>
      <c r="W108" s="58" t="n">
        <f aca="false">IF(W85=0,0,-W87/W85)</f>
        <v>0.085</v>
      </c>
      <c r="X108" s="58" t="n">
        <f aca="false">IF(X85=0,0,-X87/X85)</f>
        <v>0.085</v>
      </c>
      <c r="Y108" s="58" t="n">
        <f aca="false">IF(Y85=0,0,-Y87/Y85)</f>
        <v>0.085</v>
      </c>
      <c r="Z108" s="58" t="n">
        <f aca="false">IF(Z85=0,0,-Z87/Z85)</f>
        <v>0.085</v>
      </c>
      <c r="AA108" s="58" t="n">
        <f aca="false">IF(AA85=0,0,-AA87/AA85)</f>
        <v>0.085</v>
      </c>
      <c r="AB108" s="58" t="n">
        <f aca="false">IF(AB85=0,0,-AB87/AB85)</f>
        <v>0.085</v>
      </c>
    </row>
    <row r="109" customFormat="false" ht="15" hidden="false" customHeight="true" outlineLevel="0" collapsed="false">
      <c r="A109" s="28" t="s">
        <v>685</v>
      </c>
      <c r="B109" s="55"/>
      <c r="C109" s="59" t="n">
        <f aca="false">IF(C89=0,0,-C99/C89)</f>
        <v>0.264415837927778</v>
      </c>
      <c r="D109" s="59" t="n">
        <f aca="false">IF(D89=0,0,-D99/D89)</f>
        <v>0.263273695381749</v>
      </c>
      <c r="E109" s="58" t="n">
        <f aca="false">IF(E89=0,0,-E99/E89)</f>
        <v>0.265104236510114</v>
      </c>
      <c r="F109" s="58" t="n">
        <f aca="false">IF(F89=0,0,-F99/F89)</f>
        <v>0.26830522412317</v>
      </c>
      <c r="G109" s="58" t="n">
        <f aca="false">IF(G89=0,0,-G99/G89)</f>
        <v>0.260199566219934</v>
      </c>
      <c r="H109" s="58" t="n">
        <f aca="false">IF(H89=0,0,-H99/H89)</f>
        <v>0.263857387250468</v>
      </c>
      <c r="I109" s="58" t="n">
        <f aca="false">IF(I89=0,0,-I99/I89)</f>
        <v>0.262308365484334</v>
      </c>
      <c r="J109" s="58" t="n">
        <f aca="false">IF(J89=0,0,-J99/J89)</f>
        <v>0.261331091981701</v>
      </c>
      <c r="K109" s="58" t="n">
        <f aca="false">IF(K89=0,0,-K99/K89)</f>
        <v>0.265484346558541</v>
      </c>
      <c r="L109" s="58" t="n">
        <f aca="false">IF(L89=0,0,-L99/L89)</f>
        <v>0.26544982085052</v>
      </c>
      <c r="M109" s="58" t="n">
        <f aca="false">IF(M89=0,0,-M99/M89)</f>
        <v>0.265278466134699</v>
      </c>
      <c r="N109" s="58" t="n">
        <f aca="false">IF(N89=0,0,-N99/N89)</f>
        <v>0.265088388304507</v>
      </c>
      <c r="O109" s="58" t="n">
        <f aca="false">IF(O89=0,0,-O99/O89)</f>
        <v>0.264898623885681</v>
      </c>
      <c r="P109" s="58" t="n">
        <f aca="false">IF(P89=0,0,-P99/P89)</f>
        <v>0.26470917236145</v>
      </c>
      <c r="Q109" s="58" t="n">
        <f aca="false">IF(Q89=0,0,-Q99/Q89)</f>
        <v>0.264520033215895</v>
      </c>
      <c r="R109" s="58" t="n">
        <f aca="false">IF(R89=0,0,-R99/R89)</f>
        <v>0.264331205933949</v>
      </c>
      <c r="S109" s="58" t="n">
        <f aca="false">IF(S89=0,0,-S99/S89)</f>
        <v>0.264142690001392</v>
      </c>
      <c r="T109" s="58" t="n">
        <f aca="false">IF(T89=0,0,-T99/T89)</f>
        <v>0.263954484904853</v>
      </c>
      <c r="U109" s="58" t="n">
        <f aca="false">IF(U89=0,0,-U99/U89)</f>
        <v>0.263766590131808</v>
      </c>
      <c r="V109" s="58" t="n">
        <f aca="false">IF(V89=0,0,-V99/V89)</f>
        <v>0.263579005170578</v>
      </c>
      <c r="W109" s="58" t="n">
        <f aca="false">IF(W89=0,0,-W99/W89)</f>
        <v>0.263391729510326</v>
      </c>
      <c r="X109" s="58" t="n">
        <f aca="false">IF(X89=0,0,-X99/X89)</f>
        <v>0.26320476264106</v>
      </c>
      <c r="Y109" s="58" t="n">
        <f aca="false">IF(Y89=0,0,-Y99/Y89)</f>
        <v>0.263018104053626</v>
      </c>
      <c r="Z109" s="58" t="n">
        <f aca="false">IF(Z89=0,0,-Z99/Z89)</f>
        <v>0.262831753239713</v>
      </c>
      <c r="AA109" s="58" t="n">
        <f aca="false">IF(AA89=0,0,-AA99/AA89)</f>
        <v>0.262645709691844</v>
      </c>
      <c r="AB109" s="58" t="n">
        <f aca="false">IF(AB89=0,0,-AB99/AB89)</f>
        <v>0.262459972903382</v>
      </c>
    </row>
    <row r="110" customFormat="false" ht="15" hidden="false" customHeight="true" outlineLevel="0" collapsed="false">
      <c r="A110" s="28" t="s">
        <v>686</v>
      </c>
      <c r="B110" s="55"/>
      <c r="C110" s="59" t="n">
        <f aca="false">IF(C89=0,0,-C102/C89)</f>
        <v>0.126689178516041</v>
      </c>
      <c r="D110" s="59" t="n">
        <f aca="false">IF(D89=0,0,-D102/D89)</f>
        <v>0.12</v>
      </c>
      <c r="E110" s="58" t="n">
        <f aca="false">IF(E89=0,0,-E102/E89)</f>
        <v>0.146546596109741</v>
      </c>
      <c r="F110" s="58" t="n">
        <f aca="false">IF(F89=0,0,-F102/F89)</f>
        <v>0.155634566280597</v>
      </c>
      <c r="G110" s="58" t="n">
        <f aca="false">IF(G89=0,0,-G102/G89)</f>
        <v>0.144864396653697</v>
      </c>
      <c r="H110" s="58" t="n">
        <f aca="false">IF(H89=0,0,-H102/H89)</f>
        <v>0.138904156468204</v>
      </c>
      <c r="I110" s="58" t="n">
        <f aca="false">IF(I89=0,0,-I102/I89)</f>
        <v>0.129295576834912</v>
      </c>
      <c r="J110" s="58" t="n">
        <f aca="false">IF(J89=0,0,-J102/J89)</f>
        <v>0.131904361551035</v>
      </c>
      <c r="K110" s="58" t="n">
        <f aca="false">IF(K89=0,0,-K102/K89)</f>
        <v>0.117908452508659</v>
      </c>
      <c r="L110" s="58" t="n">
        <f aca="false">IF(L89=0,0,-L102/L89)</f>
        <v>0.132919236794843</v>
      </c>
      <c r="M110" s="58" t="n">
        <f aca="false">IF(M89=0,0,-M102/M89)</f>
        <v>0.12</v>
      </c>
      <c r="N110" s="58" t="n">
        <f aca="false">IF(N89=0,0,-N102/N89)</f>
        <v>0.12</v>
      </c>
      <c r="O110" s="58" t="n">
        <f aca="false">IF(O89=0,0,-O102/O89)</f>
        <v>0.12</v>
      </c>
      <c r="P110" s="58" t="n">
        <f aca="false">IF(P89=0,0,-P102/P89)</f>
        <v>0.12</v>
      </c>
      <c r="Q110" s="58" t="n">
        <f aca="false">IF(Q89=0,0,-Q102/Q89)</f>
        <v>0.12</v>
      </c>
      <c r="R110" s="58" t="n">
        <f aca="false">IF(R89=0,0,-R102/R89)</f>
        <v>0.12</v>
      </c>
      <c r="S110" s="58" t="n">
        <f aca="false">IF(S89=0,0,-S102/S89)</f>
        <v>0.12</v>
      </c>
      <c r="T110" s="58" t="n">
        <f aca="false">IF(T89=0,0,-T102/T89)</f>
        <v>0.12</v>
      </c>
      <c r="U110" s="58" t="n">
        <f aca="false">IF(U89=0,0,-U102/U89)</f>
        <v>0.12</v>
      </c>
      <c r="V110" s="58" t="n">
        <f aca="false">IF(V89=0,0,-V102/V89)</f>
        <v>0.12</v>
      </c>
      <c r="W110" s="58" t="n">
        <f aca="false">IF(W89=0,0,-W102/W89)</f>
        <v>0.12</v>
      </c>
      <c r="X110" s="58" t="n">
        <f aca="false">IF(X89=0,0,-X102/X89)</f>
        <v>0.12</v>
      </c>
      <c r="Y110" s="58" t="n">
        <f aca="false">IF(Y89=0,0,-Y102/Y89)</f>
        <v>0.12</v>
      </c>
      <c r="Z110" s="58" t="n">
        <f aca="false">IF(Z89=0,0,-Z102/Z89)</f>
        <v>0.12</v>
      </c>
      <c r="AA110" s="58" t="n">
        <f aca="false">IF(AA89=0,0,-AA102/AA89)</f>
        <v>0.12</v>
      </c>
      <c r="AB110" s="58" t="n">
        <f aca="false">IF(AB89=0,0,-AB102/AB89)</f>
        <v>0.12</v>
      </c>
    </row>
    <row r="111" customFormat="false" ht="15" hidden="false" customHeight="true" outlineLevel="0" collapsed="false">
      <c r="A111" s="28" t="s">
        <v>687</v>
      </c>
      <c r="B111" s="55" t="s">
        <v>688</v>
      </c>
      <c r="C111" s="61" t="n">
        <f aca="false">IF(C83=0,0,C103/C83)</f>
        <v>15.439333689556</v>
      </c>
      <c r="D111" s="61" t="n">
        <f aca="false">IF(D83=0,0,D103/D83)</f>
        <v>15.4270914965854</v>
      </c>
      <c r="E111" s="62" t="n">
        <f aca="false">IF(E83=0,0,E103/E83)</f>
        <v>17.132853320081</v>
      </c>
      <c r="F111" s="62" t="n">
        <f aca="false">IF(F83=0,0,F103/F83)</f>
        <v>14.8678935737756</v>
      </c>
      <c r="G111" s="62" t="n">
        <f aca="false">IF(G83=0,0,G103/G83)</f>
        <v>16.7627420527551</v>
      </c>
      <c r="H111" s="62" t="n">
        <f aca="false">IF(H83=0,0,H103/H83)</f>
        <v>15.7863992073272</v>
      </c>
      <c r="I111" s="62" t="n">
        <f aca="false">IF(I83=0,0,I103/I83)</f>
        <v>16.0802249171134</v>
      </c>
      <c r="J111" s="62" t="n">
        <f aca="false">IF(J83=0,0,J103/J83)</f>
        <v>16.4012726921093</v>
      </c>
      <c r="K111" s="62" t="n">
        <f aca="false">IF(K83=0,0,K103/K83)</f>
        <v>15.3494182970195</v>
      </c>
      <c r="L111" s="62" t="n">
        <f aca="false">IF(L83=0,0,L103/L83)</f>
        <v>14.1532449696582</v>
      </c>
      <c r="M111" s="62" t="n">
        <f aca="false">IF(M83=0,0,M103/M83)</f>
        <v>15.2427378546579</v>
      </c>
      <c r="N111" s="62" t="n">
        <f aca="false">IF(N83=0,0,N103/N83)</f>
        <v>15.2602084563596</v>
      </c>
      <c r="O111" s="62" t="n">
        <f aca="false">IF(O83=0,0,O103/O83)</f>
        <v>15.2776584737415</v>
      </c>
      <c r="P111" s="62" t="n">
        <f aca="false">IF(P83=0,0,P103/P83)</f>
        <v>15.2950877508786</v>
      </c>
      <c r="Q111" s="62" t="n">
        <f aca="false">IF(Q83=0,0,Q103/Q83)</f>
        <v>15.3124961312873</v>
      </c>
      <c r="R111" s="62" t="n">
        <f aca="false">IF(R83=0,0,R103/R83)</f>
        <v>15.3298834579243</v>
      </c>
      <c r="S111" s="62" t="n">
        <f aca="false">IF(S83=0,0,S103/S83)</f>
        <v>15.3472495731847</v>
      </c>
      <c r="T111" s="62" t="n">
        <f aca="false">IF(T83=0,0,T103/T83)</f>
        <v>15.3645943189004</v>
      </c>
      <c r="U111" s="62" t="n">
        <f aca="false">IF(U83=0,0,U103/U83)</f>
        <v>15.3819175363384</v>
      </c>
      <c r="V111" s="62" t="n">
        <f aca="false">IF(V83=0,0,V103/V83)</f>
        <v>15.3992190661989</v>
      </c>
      <c r="W111" s="62" t="n">
        <f aca="false">IF(W83=0,0,W103/W83)</f>
        <v>15.4164987486142</v>
      </c>
      <c r="X111" s="62" t="n">
        <f aca="false">IF(X83=0,0,X103/X83)</f>
        <v>15.4337564231462</v>
      </c>
      <c r="Y111" s="62" t="n">
        <f aca="false">IF(Y83=0,0,Y103/Y83)</f>
        <v>15.4509919287855</v>
      </c>
      <c r="Z111" s="62" t="n">
        <f aca="false">IF(Z83=0,0,Z103/Z83)</f>
        <v>15.468205103949</v>
      </c>
      <c r="AA111" s="62" t="n">
        <f aca="false">IF(AA83=0,0,AA103/AA83)</f>
        <v>15.4853957864788</v>
      </c>
      <c r="AB111" s="62" t="n">
        <f aca="false">IF(AB83=0,0,AB103/AB83)</f>
        <v>15.5025638136401</v>
      </c>
    </row>
    <row r="113" customFormat="false" ht="15" hidden="false" customHeight="true" outlineLevel="0" collapsed="false">
      <c r="A113" s="22" t="s">
        <v>711</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row>
    <row r="114" customFormat="false" ht="15" hidden="false" customHeight="true" outlineLevel="0" collapsed="false">
      <c r="A114" s="28" t="s">
        <v>644</v>
      </c>
      <c r="B114" s="55" t="s">
        <v>712</v>
      </c>
      <c r="C114" s="56" t="n">
        <f aca="false">SUM(E114:P114)</f>
        <v>67119.8211092177</v>
      </c>
      <c r="D114" s="56" t="n">
        <f aca="false">SUM(Q114:AB114)</f>
        <v>85929.9505684704</v>
      </c>
      <c r="E114" s="69" t="n">
        <f aca="false">E11+E49+E83</f>
        <v>4190</v>
      </c>
      <c r="F114" s="69" t="n">
        <f aca="false">F11+F49+F83</f>
        <v>3892</v>
      </c>
      <c r="G114" s="69" t="n">
        <f aca="false">G11+G49+G83</f>
        <v>4581</v>
      </c>
      <c r="H114" s="69" t="n">
        <f aca="false">H11+H49+H83</f>
        <v>4860</v>
      </c>
      <c r="I114" s="69" t="n">
        <f aca="false">I11+I49+I83</f>
        <v>5350</v>
      </c>
      <c r="J114" s="69" t="n">
        <f aca="false">J11+J49+J83</f>
        <v>5184</v>
      </c>
      <c r="K114" s="69" t="n">
        <f aca="false">K11+K49+K83</f>
        <v>4878</v>
      </c>
      <c r="L114" s="69" t="n">
        <f aca="false">L11+L49+L83</f>
        <v>4913</v>
      </c>
      <c r="M114" s="69" t="n">
        <f aca="false">M11+M49+M83</f>
        <v>5507.90676848994</v>
      </c>
      <c r="N114" s="69" t="n">
        <f aca="false">N11+N49+N83</f>
        <v>6370.31264043087</v>
      </c>
      <c r="O114" s="69" t="n">
        <f aca="false">O11+O49+O83</f>
        <v>9188.08136505789</v>
      </c>
      <c r="P114" s="69" t="n">
        <f aca="false">P11+P49+P83</f>
        <v>8205.52033523896</v>
      </c>
      <c r="Q114" s="69" t="n">
        <f aca="false">Q11+Q49+Q83</f>
        <v>5229.01219458977</v>
      </c>
      <c r="R114" s="69" t="n">
        <f aca="false">R11+R49+R83</f>
        <v>4974.40138469012</v>
      </c>
      <c r="S114" s="69" t="n">
        <f aca="false">S11+S49+S83</f>
        <v>5723.46540587493</v>
      </c>
      <c r="T114" s="69" t="n">
        <f aca="false">T11+T49+T83</f>
        <v>6049.25520828932</v>
      </c>
      <c r="U114" s="69" t="n">
        <f aca="false">U11+U49+U83</f>
        <v>6520.55780659734</v>
      </c>
      <c r="V114" s="69" t="n">
        <f aca="false">V11+V49+V83</f>
        <v>6466.36069785976</v>
      </c>
      <c r="W114" s="69" t="n">
        <f aca="false">W11+W49+W83</f>
        <v>6267.51001602267</v>
      </c>
      <c r="X114" s="69" t="n">
        <f aca="false">X11+X49+X83</f>
        <v>6270.33286679683</v>
      </c>
      <c r="Y114" s="69" t="n">
        <f aca="false">Y11+Y49+Y83</f>
        <v>7218.35674852479</v>
      </c>
      <c r="Z114" s="69" t="n">
        <f aca="false">Z11+Z49+Z83</f>
        <v>8357.12425150005</v>
      </c>
      <c r="AA114" s="69" t="n">
        <f aca="false">AA11+AA49+AA83</f>
        <v>12066.2611665075</v>
      </c>
      <c r="AB114" s="69" t="n">
        <f aca="false">AB11+AB49+AB83</f>
        <v>10787.3128212173</v>
      </c>
    </row>
    <row r="115" customFormat="false" ht="15" hidden="false" customHeight="true" outlineLevel="0" collapsed="false">
      <c r="A115" s="28" t="s">
        <v>642</v>
      </c>
      <c r="B115" s="55" t="s">
        <v>712</v>
      </c>
      <c r="C115" s="56" t="n">
        <f aca="false">SUM(E115:P115)</f>
        <v>82833.7302180034</v>
      </c>
      <c r="D115" s="56" t="n">
        <f aca="false">SUM(Q115:AB115)</f>
        <v>105872.185505919</v>
      </c>
      <c r="E115" s="69" t="n">
        <f aca="false">E10+E48+E82</f>
        <v>5156</v>
      </c>
      <c r="F115" s="69" t="n">
        <f aca="false">F10+F48+F82</f>
        <v>4804</v>
      </c>
      <c r="G115" s="69" t="n">
        <f aca="false">G10+G48+G82</f>
        <v>5685</v>
      </c>
      <c r="H115" s="69" t="n">
        <f aca="false">H10+H48+H82</f>
        <v>6001</v>
      </c>
      <c r="I115" s="69" t="n">
        <f aca="false">I10+I48+I82</f>
        <v>6619</v>
      </c>
      <c r="J115" s="69" t="n">
        <f aca="false">J10+J48+J82</f>
        <v>6362</v>
      </c>
      <c r="K115" s="69" t="n">
        <f aca="false">K10+K48+K82</f>
        <v>5971</v>
      </c>
      <c r="L115" s="69" t="n">
        <f aca="false">L10+L48+L82</f>
        <v>6096</v>
      </c>
      <c r="M115" s="69" t="n">
        <f aca="false">M10+M48+M82</f>
        <v>6802.8848617483</v>
      </c>
      <c r="N115" s="69" t="n">
        <f aca="false">N10+N48+N82</f>
        <v>7866.21656561782</v>
      </c>
      <c r="O115" s="69" t="n">
        <f aca="false">O10+O48+O82</f>
        <v>11343.0079963018</v>
      </c>
      <c r="P115" s="69" t="n">
        <f aca="false">P10+P48+P82</f>
        <v>10127.6207943354</v>
      </c>
      <c r="Q115" s="69" t="n">
        <f aca="false">Q10+Q48+Q82</f>
        <v>6452.35880807019</v>
      </c>
      <c r="R115" s="69" t="n">
        <f aca="false">R10+R48+R82</f>
        <v>6136.72814328087</v>
      </c>
      <c r="S115" s="69" t="n">
        <f aca="false">S10+S48+S82</f>
        <v>7059.14305577585</v>
      </c>
      <c r="T115" s="69" t="n">
        <f aca="false">T10+T48+T82</f>
        <v>7459.18456952744</v>
      </c>
      <c r="U115" s="69" t="n">
        <f aca="false">U10+U48+U82</f>
        <v>8038.41437302124</v>
      </c>
      <c r="V115" s="69" t="n">
        <f aca="false">V10+V48+V82</f>
        <v>7969.69011873946</v>
      </c>
      <c r="W115" s="69" t="n">
        <f aca="false">W10+W48+W82</f>
        <v>7722.75211177422</v>
      </c>
      <c r="X115" s="69" t="n">
        <f aca="false">X10+X48+X82</f>
        <v>7724.36684004884</v>
      </c>
      <c r="Y115" s="69" t="n">
        <f aca="false">Y10+Y48+Y82</f>
        <v>8890.0779039866</v>
      </c>
      <c r="Z115" s="69" t="n">
        <f aca="false">Z10+Z48+Z82</f>
        <v>10290.0791505742</v>
      </c>
      <c r="AA115" s="69" t="n">
        <f aca="false">AA10+AA48+AA82</f>
        <v>14853.5040161227</v>
      </c>
      <c r="AB115" s="69" t="n">
        <f aca="false">AB10+AB48+AB82</f>
        <v>13275.8864149974</v>
      </c>
    </row>
    <row r="116" customFormat="false" ht="15" hidden="false" customHeight="true" outlineLevel="0" collapsed="false">
      <c r="A116" s="28" t="s">
        <v>648</v>
      </c>
      <c r="B116" s="55" t="s">
        <v>712</v>
      </c>
      <c r="C116" s="56" t="n">
        <f aca="false">SUM(E116:P116)</f>
        <v>4859531.32414745</v>
      </c>
      <c r="D116" s="56" t="n">
        <f aca="false">SUM(Q116:AB116)</f>
        <v>6357109.31068763</v>
      </c>
      <c r="E116" s="69" t="n">
        <f aca="false">E13+E51+E85</f>
        <v>299665.098957529</v>
      </c>
      <c r="F116" s="69" t="n">
        <f aca="false">F13+F51+F85</f>
        <v>283210.823592699</v>
      </c>
      <c r="G116" s="69" t="n">
        <f aca="false">G13+G51+G85</f>
        <v>331649.208973384</v>
      </c>
      <c r="H116" s="69" t="n">
        <f aca="false">H13+H51+H85</f>
        <v>349637.904935065</v>
      </c>
      <c r="I116" s="69" t="n">
        <f aca="false">I13+I51+I85</f>
        <v>391152.638464351</v>
      </c>
      <c r="J116" s="69" t="n">
        <f aca="false">J13+J51+J85</f>
        <v>372982.320830325</v>
      </c>
      <c r="K116" s="69" t="n">
        <f aca="false">K13+K51+K85</f>
        <v>344637.956592328</v>
      </c>
      <c r="L116" s="69" t="n">
        <f aca="false">L13+L51+L85</f>
        <v>356146.963046595</v>
      </c>
      <c r="M116" s="69" t="n">
        <f aca="false">M13+M51+M85</f>
        <v>399604.064293541</v>
      </c>
      <c r="N116" s="69" t="n">
        <f aca="false">N13+N51+N85</f>
        <v>463042.302157445</v>
      </c>
      <c r="O116" s="69" t="n">
        <f aca="false">O13+O51+O85</f>
        <v>669115.888879311</v>
      </c>
      <c r="P116" s="69" t="n">
        <f aca="false">P13+P51+P85</f>
        <v>598686.153424873</v>
      </c>
      <c r="Q116" s="69" t="n">
        <f aca="false">Q13+Q51+Q85</f>
        <v>382233.998255317</v>
      </c>
      <c r="R116" s="69" t="n">
        <f aca="false">R13+R51+R85</f>
        <v>364306.612058706</v>
      </c>
      <c r="S116" s="69" t="n">
        <f aca="false">S13+S51+S85</f>
        <v>419954.135907718</v>
      </c>
      <c r="T116" s="69" t="n">
        <f aca="false">T13+T51+T85</f>
        <v>444694.018396898</v>
      </c>
      <c r="U116" s="69" t="n">
        <f aca="false">U13+U51+U85</f>
        <v>480242.644701084</v>
      </c>
      <c r="V116" s="69" t="n">
        <f aca="false">V13+V51+V85</f>
        <v>477147.339402657</v>
      </c>
      <c r="W116" s="69" t="n">
        <f aca="false">W13+W51+W85</f>
        <v>463344.747628003</v>
      </c>
      <c r="X116" s="69" t="n">
        <f aca="false">X13+X51+X85</f>
        <v>464425.924684543</v>
      </c>
      <c r="Y116" s="69" t="n">
        <f aca="false">Y13+Y51+Y85</f>
        <v>535649.713549436</v>
      </c>
      <c r="Z116" s="69" t="n">
        <f aca="false">Z13+Z51+Z85</f>
        <v>621321.096830986</v>
      </c>
      <c r="AA116" s="69" t="n">
        <f aca="false">AA13+AA51+AA85</f>
        <v>898770.274753587</v>
      </c>
      <c r="AB116" s="69" t="n">
        <f aca="false">AB13+AB51+AB85</f>
        <v>805018.804518691</v>
      </c>
    </row>
    <row r="117" customFormat="false" ht="15" hidden="false" customHeight="true" outlineLevel="0" collapsed="false">
      <c r="A117" s="28" t="s">
        <v>649</v>
      </c>
      <c r="B117" s="55" t="s">
        <v>712</v>
      </c>
      <c r="C117" s="56" t="n">
        <f aca="false">SUM(E117:P117)</f>
        <v>-299393.088530749</v>
      </c>
      <c r="D117" s="56" t="n">
        <f aca="false">SUM(Q117:AB117)</f>
        <v>-387470.879120231</v>
      </c>
      <c r="E117" s="69" t="n">
        <f aca="false">E14+E52+E86</f>
        <v>-17019.471042471</v>
      </c>
      <c r="F117" s="69" t="n">
        <f aca="false">F14+F52+F86</f>
        <v>-18802.7329490874</v>
      </c>
      <c r="G117" s="69" t="n">
        <f aca="false">G14+G52+G86</f>
        <v>-21523.6045627376</v>
      </c>
      <c r="H117" s="69" t="n">
        <f aca="false">H14+H52+H86</f>
        <v>-21757.5807050093</v>
      </c>
      <c r="I117" s="69" t="n">
        <f aca="false">I14+I52+I86</f>
        <v>-23482.1956124314</v>
      </c>
      <c r="J117" s="69" t="n">
        <f aca="false">J14+J52+J86</f>
        <v>-22488.8844765343</v>
      </c>
      <c r="K117" s="69" t="n">
        <f aca="false">K14+K52+K86</f>
        <v>-21694.0124888492</v>
      </c>
      <c r="L117" s="69" t="n">
        <f aca="false">L14+L52+L86</f>
        <v>-21400.3584229391</v>
      </c>
      <c r="M117" s="69" t="n">
        <f aca="false">M14+M52+M86</f>
        <v>-24661.4743347839</v>
      </c>
      <c r="N117" s="69" t="n">
        <f aca="false">N14+N52+N86</f>
        <v>-28543.7797741739</v>
      </c>
      <c r="O117" s="69" t="n">
        <f aca="false">O14+O52+O86</f>
        <v>-41199.2724156588</v>
      </c>
      <c r="P117" s="69" t="n">
        <f aca="false">P14+P52+P86</f>
        <v>-36819.7217460726</v>
      </c>
      <c r="Q117" s="69" t="n">
        <f aca="false">Q14+Q52+Q86</f>
        <v>-23480.0685382981</v>
      </c>
      <c r="R117" s="69" t="n">
        <f aca="false">R14+R52+R86</f>
        <v>-22352.2638175363</v>
      </c>
      <c r="S117" s="69" t="n">
        <f aca="false">S14+S52+S86</f>
        <v>-25735.7231843417</v>
      </c>
      <c r="T117" s="69" t="n">
        <f aca="false">T14+T52+T86</f>
        <v>-27218.956957994</v>
      </c>
      <c r="U117" s="69" t="n">
        <f aca="false">U14+U52+U86</f>
        <v>-29359.0637831522</v>
      </c>
      <c r="V117" s="69" t="n">
        <f aca="false">V14+V52+V86</f>
        <v>-29134.0511641679</v>
      </c>
      <c r="W117" s="69" t="n">
        <f aca="false">W14+W52+W86</f>
        <v>-28256.2876286568</v>
      </c>
      <c r="X117" s="69" t="n">
        <f aca="false">X14+X52+X86</f>
        <v>-28286.9021996447</v>
      </c>
      <c r="Y117" s="69" t="n">
        <f aca="false">Y14+Y52+Y86</f>
        <v>-32583.9308006205</v>
      </c>
      <c r="Z117" s="69" t="n">
        <f aca="false">Z14+Z52+Z86</f>
        <v>-37747.4787082491</v>
      </c>
      <c r="AA117" s="69" t="n">
        <f aca="false">AA14+AA52+AA86</f>
        <v>-54533.7534576451</v>
      </c>
      <c r="AB117" s="69" t="n">
        <f aca="false">AB14+AB52+AB86</f>
        <v>-48782.3988799243</v>
      </c>
    </row>
    <row r="118" customFormat="false" ht="15" hidden="false" customHeight="true" outlineLevel="0" collapsed="false">
      <c r="A118" s="28" t="s">
        <v>651</v>
      </c>
      <c r="B118" s="55" t="s">
        <v>712</v>
      </c>
      <c r="C118" s="56" t="n">
        <f aca="false">SUM(E118:P118)</f>
        <v>-341970.419709874</v>
      </c>
      <c r="D118" s="56" t="n">
        <f aca="false">SUM(Q118:AB118)</f>
        <v>-460151.929855604</v>
      </c>
      <c r="E118" s="69" t="n">
        <f aca="false">E15+E53+E87</f>
        <v>-20746.4092664093</v>
      </c>
      <c r="F118" s="69" t="n">
        <f aca="false">F15+F53+F87</f>
        <v>-19305.0999039385</v>
      </c>
      <c r="G118" s="69" t="n">
        <f aca="false">G15+G53+G87</f>
        <v>-22416.0114068441</v>
      </c>
      <c r="H118" s="69" t="n">
        <f aca="false">H15+H53+H87</f>
        <v>-23553.7439703154</v>
      </c>
      <c r="I118" s="69" t="n">
        <f aca="false">I15+I53+I87</f>
        <v>-26382.9232175503</v>
      </c>
      <c r="J118" s="69" t="n">
        <f aca="false">J15+J53+J87</f>
        <v>-26154.2599277978</v>
      </c>
      <c r="K118" s="69" t="n">
        <f aca="false">K15+K53+K87</f>
        <v>-23211.766280107</v>
      </c>
      <c r="L118" s="69" t="n">
        <f aca="false">L15+L53+L87</f>
        <v>-27041.5448028674</v>
      </c>
      <c r="M118" s="69" t="n">
        <f aca="false">M15+M53+M87</f>
        <v>-28692.3776232753</v>
      </c>
      <c r="N118" s="69" t="n">
        <f aca="false">N15+N53+N87</f>
        <v>-33271.342746593</v>
      </c>
      <c r="O118" s="69" t="n">
        <f aca="false">O15+O53+O87</f>
        <v>-48113.6745362099</v>
      </c>
      <c r="P118" s="69" t="n">
        <f aca="false">P15+P53+P87</f>
        <v>-43081.2660279656</v>
      </c>
      <c r="Q118" s="69" t="n">
        <f aca="false">Q15+Q53+Q87</f>
        <v>-27526.1316820485</v>
      </c>
      <c r="R118" s="69" t="n">
        <f aca="false">R15+R53+R87</f>
        <v>-26255.128195167</v>
      </c>
      <c r="S118" s="69" t="n">
        <f aca="false">S15+S53+S87</f>
        <v>-30288.9899222082</v>
      </c>
      <c r="T118" s="69" t="n">
        <f aca="false">T15+T53+T87</f>
        <v>-32098.496937921</v>
      </c>
      <c r="U118" s="69" t="n">
        <f aca="false">U15+U53+U87</f>
        <v>-34691.9949615927</v>
      </c>
      <c r="V118" s="69" t="n">
        <f aca="false">V15+V53+V87</f>
        <v>-34496.1704834764</v>
      </c>
      <c r="W118" s="69" t="n">
        <f aca="false">W15+W53+W87</f>
        <v>-33525.6455056111</v>
      </c>
      <c r="X118" s="69" t="n">
        <f aca="false">X15+X53+X87</f>
        <v>-33631.6826959856</v>
      </c>
      <c r="Y118" s="69" t="n">
        <f aca="false">Y15+Y53+Y87</f>
        <v>-38821.9174954748</v>
      </c>
      <c r="Z118" s="69" t="n">
        <f aca="false">Z15+Z53+Z87</f>
        <v>-45069.3092372889</v>
      </c>
      <c r="AA118" s="69" t="n">
        <f aca="false">AA15+AA53+AA87</f>
        <v>-65250.9648699042</v>
      </c>
      <c r="AB118" s="69" t="n">
        <f aca="false">AB15+AB53+AB87</f>
        <v>-58495.4978689258</v>
      </c>
    </row>
    <row r="119" customFormat="false" ht="15" hidden="false" customHeight="true" outlineLevel="0" collapsed="false">
      <c r="A119" s="28" t="s">
        <v>713</v>
      </c>
      <c r="B119" s="55" t="s">
        <v>712</v>
      </c>
      <c r="C119" s="56" t="n">
        <f aca="false">SUM(E119:P119)</f>
        <v>92409.1385195387</v>
      </c>
      <c r="D119" s="56" t="n">
        <f aca="false">SUM(Q119:AB119)</f>
        <v>108073.506196247</v>
      </c>
      <c r="E119" s="69" t="n">
        <f aca="false">E17</f>
        <v>5655</v>
      </c>
      <c r="F119" s="69" t="n">
        <f aca="false">F17</f>
        <v>5759</v>
      </c>
      <c r="G119" s="69" t="n">
        <f aca="false">G17</f>
        <v>6668</v>
      </c>
      <c r="H119" s="69" t="n">
        <f aca="false">H17</f>
        <v>6672</v>
      </c>
      <c r="I119" s="69" t="n">
        <f aca="false">I17</f>
        <v>7610</v>
      </c>
      <c r="J119" s="69" t="n">
        <f aca="false">J17</f>
        <v>7608</v>
      </c>
      <c r="K119" s="69" t="n">
        <f aca="false">K17</f>
        <v>6829</v>
      </c>
      <c r="L119" s="69" t="n">
        <f aca="false">L17</f>
        <v>6827</v>
      </c>
      <c r="M119" s="69" t="n">
        <f aca="false">M17</f>
        <v>7365.91899927125</v>
      </c>
      <c r="N119" s="69" t="n">
        <f aca="false">N17</f>
        <v>8472.39937229208</v>
      </c>
      <c r="O119" s="69" t="n">
        <f aca="false">O17</f>
        <v>12151.8426178299</v>
      </c>
      <c r="P119" s="69" t="n">
        <f aca="false">P17</f>
        <v>10790.9775301455</v>
      </c>
      <c r="Q119" s="69" t="n">
        <f aca="false">Q17</f>
        <v>6837.17672616891</v>
      </c>
      <c r="R119" s="69" t="n">
        <f aca="false">R17</f>
        <v>6466.43615356341</v>
      </c>
      <c r="S119" s="69" t="n">
        <f aca="false">S17</f>
        <v>7396.29405184634</v>
      </c>
      <c r="T119" s="69" t="n">
        <f aca="false">T17</f>
        <v>7770.54107735213</v>
      </c>
      <c r="U119" s="69" t="n">
        <f aca="false">U17</f>
        <v>8325.13031412742</v>
      </c>
      <c r="V119" s="69" t="n">
        <f aca="false">V17</f>
        <v>8205.12539285305</v>
      </c>
      <c r="W119" s="69" t="n">
        <f aca="false">W17</f>
        <v>7903.16008732111</v>
      </c>
      <c r="X119" s="69" t="n">
        <f aca="false">X17</f>
        <v>7856.65339917695</v>
      </c>
      <c r="Y119" s="69" t="n">
        <f aca="false">Y17</f>
        <v>8986.42117911093</v>
      </c>
      <c r="Z119" s="69" t="n">
        <f aca="false">Z17</f>
        <v>10336.3272341963</v>
      </c>
      <c r="AA119" s="69" t="n">
        <f aca="false">AA17</f>
        <v>14825.2479937524</v>
      </c>
      <c r="AB119" s="69" t="n">
        <f aca="false">AB17</f>
        <v>13164.9925867775</v>
      </c>
    </row>
    <row r="120" customFormat="false" ht="15" hidden="false" customHeight="true" outlineLevel="0" collapsed="false">
      <c r="A120" s="70" t="s">
        <v>312</v>
      </c>
      <c r="B120" s="71" t="s">
        <v>712</v>
      </c>
      <c r="C120" s="72" t="n">
        <f aca="false">SUM(E120:P120)</f>
        <v>4310576.95442636</v>
      </c>
      <c r="D120" s="72" t="n">
        <f aca="false">SUM(Q120:AB120)</f>
        <v>5617560.00790804</v>
      </c>
      <c r="E120" s="72" t="n">
        <f aca="false">E18+E55+E89</f>
        <v>267554.218648649</v>
      </c>
      <c r="F120" s="72" t="n">
        <f aca="false">F18+F55+F89</f>
        <v>250861.990739673</v>
      </c>
      <c r="G120" s="72" t="n">
        <f aca="false">G18+G55+G89</f>
        <v>294377.593003802</v>
      </c>
      <c r="H120" s="72" t="n">
        <f aca="false">H18+H55+H89</f>
        <v>310998.58025974</v>
      </c>
      <c r="I120" s="72" t="n">
        <f aca="false">I18+I55+I89</f>
        <v>348897.519634369</v>
      </c>
      <c r="J120" s="72" t="n">
        <f aca="false">J18+J55+J89</f>
        <v>331947.176425993</v>
      </c>
      <c r="K120" s="72" t="n">
        <f aca="false">K18+K55+K89</f>
        <v>306561.177823372</v>
      </c>
      <c r="L120" s="72" t="n">
        <f aca="false">L18+L55+L89</f>
        <v>314532.059820789</v>
      </c>
      <c r="M120" s="72" t="n">
        <f aca="false">M18+M55+M89</f>
        <v>353616.131334753</v>
      </c>
      <c r="N120" s="72" t="n">
        <f aca="false">N18+N55+N89</f>
        <v>409699.57900897</v>
      </c>
      <c r="O120" s="72" t="n">
        <f aca="false">O18+O55+O89</f>
        <v>591954.784545272</v>
      </c>
      <c r="P120" s="72" t="n">
        <f aca="false">P18+P55+P89</f>
        <v>529576.143180981</v>
      </c>
      <c r="Q120" s="72" t="n">
        <f aca="false">Q18+Q55+Q89</f>
        <v>338064.974761139</v>
      </c>
      <c r="R120" s="72" t="n">
        <f aca="false">R18+R55+R89</f>
        <v>322165.656199566</v>
      </c>
      <c r="S120" s="72" t="n">
        <f aca="false">S18+S55+S89</f>
        <v>371325.716853015</v>
      </c>
      <c r="T120" s="72" t="n">
        <f aca="false">T18+T55+T89</f>
        <v>393147.105578336</v>
      </c>
      <c r="U120" s="72" t="n">
        <f aca="false">U18+U55+U89</f>
        <v>424516.716270466</v>
      </c>
      <c r="V120" s="72" t="n">
        <f aca="false">V18+V55+V89</f>
        <v>421722.243147866</v>
      </c>
      <c r="W120" s="72" t="n">
        <f aca="false">W18+W55+W89</f>
        <v>409465.974581056</v>
      </c>
      <c r="X120" s="72" t="n">
        <f aca="false">X18+X55+X89</f>
        <v>410363.99318809</v>
      </c>
      <c r="Y120" s="72" t="n">
        <f aca="false">Y18+Y55+Y89</f>
        <v>473230.286432452</v>
      </c>
      <c r="Z120" s="72" t="n">
        <f aca="false">Z18+Z55+Z89</f>
        <v>548840.636119645</v>
      </c>
      <c r="AA120" s="72" t="n">
        <f aca="false">AA18+AA55+AA89</f>
        <v>793810.80441979</v>
      </c>
      <c r="AB120" s="72" t="n">
        <f aca="false">AB18+AB55+AB89</f>
        <v>710905.900356619</v>
      </c>
    </row>
    <row r="121" customFormat="false" ht="15" hidden="false" customHeight="true" outlineLevel="0" collapsed="false">
      <c r="A121" s="28" t="s">
        <v>657</v>
      </c>
      <c r="B121" s="55" t="s">
        <v>712</v>
      </c>
      <c r="C121" s="56" t="n">
        <f aca="false">SUM(E121:P121)</f>
        <v>5856.5100340118</v>
      </c>
      <c r="D121" s="56" t="n">
        <f aca="false">SUM(Q121:AB121)</f>
        <v>7678.21306832867</v>
      </c>
      <c r="E121" s="69" t="n">
        <f aca="false">E19+E56+E90</f>
        <v>342</v>
      </c>
      <c r="F121" s="69" t="n">
        <f aca="false">F19+F56+F90</f>
        <v>334</v>
      </c>
      <c r="G121" s="69" t="n">
        <f aca="false">G19+G56+G90</f>
        <v>404</v>
      </c>
      <c r="H121" s="69" t="n">
        <f aca="false">H19+H56+H90</f>
        <v>401</v>
      </c>
      <c r="I121" s="69" t="n">
        <f aca="false">I19+I56+I90</f>
        <v>457</v>
      </c>
      <c r="J121" s="69" t="n">
        <f aca="false">J19+J56+J90</f>
        <v>453</v>
      </c>
      <c r="K121" s="69" t="n">
        <f aca="false">K19+K56+K90</f>
        <v>410</v>
      </c>
      <c r="L121" s="69" t="n">
        <f aca="false">L19+L56+L90</f>
        <v>452</v>
      </c>
      <c r="M121" s="69" t="n">
        <f aca="false">M19+M56+M90</f>
        <v>489.489987331263</v>
      </c>
      <c r="N121" s="69" t="n">
        <f aca="false">N19+N56+N90</f>
        <v>566.401176058937</v>
      </c>
      <c r="O121" s="69" t="n">
        <f aca="false">O19+O56+O90</f>
        <v>817.331673550691</v>
      </c>
      <c r="P121" s="69" t="n">
        <f aca="false">P19+P56+P90</f>
        <v>730.287197070906</v>
      </c>
      <c r="Q121" s="69" t="n">
        <f aca="false">Q19+Q56+Q90</f>
        <v>465.613197464924</v>
      </c>
      <c r="R121" s="69" t="n">
        <f aca="false">R19+R56+R90</f>
        <v>443.168164298956</v>
      </c>
      <c r="S121" s="69" t="n">
        <f aca="false">S19+S56+S90</f>
        <v>510.167703433632</v>
      </c>
      <c r="T121" s="69" t="n">
        <f aca="false">T19+T56+T90</f>
        <v>539.493326543541</v>
      </c>
      <c r="U121" s="69" t="n">
        <f aca="false">U19+U56+U90</f>
        <v>581.839656904697</v>
      </c>
      <c r="V121" s="69" t="n">
        <f aca="false">V19+V56+V90</f>
        <v>577.320596069973</v>
      </c>
      <c r="W121" s="69" t="n">
        <f aca="false">W19+W56+W90</f>
        <v>559.879931560077</v>
      </c>
      <c r="X121" s="69" t="n">
        <f aca="false">X19+X56+X90</f>
        <v>560.450688070818</v>
      </c>
      <c r="Y121" s="69" t="n">
        <f aca="false">Y19+Y56+Y90</f>
        <v>645.559576423139</v>
      </c>
      <c r="Z121" s="69" t="n">
        <f aca="false">Z19+Z56+Z90</f>
        <v>747.842719927704</v>
      </c>
      <c r="AA121" s="69" t="n">
        <f aca="false">AA19+AA56+AA90</f>
        <v>1080.40310911794</v>
      </c>
      <c r="AB121" s="69" t="n">
        <f aca="false">AB19+AB56+AB90</f>
        <v>966.474398513267</v>
      </c>
    </row>
    <row r="122" customFormat="false" ht="15" hidden="false" customHeight="true" outlineLevel="0" collapsed="false">
      <c r="A122" s="28" t="s">
        <v>659</v>
      </c>
      <c r="B122" s="55" t="s">
        <v>712</v>
      </c>
      <c r="C122" s="56" t="n">
        <f aca="false">SUM(E122:P122)</f>
        <v>-1686058.00466887</v>
      </c>
      <c r="D122" s="56" t="n">
        <f aca="false">SUM(Q122:AB122)</f>
        <v>-2231133.81151028</v>
      </c>
      <c r="E122" s="69" t="n">
        <f aca="false">E20+E57+E91</f>
        <v>-101786.83</v>
      </c>
      <c r="F122" s="69" t="n">
        <f aca="false">F20+F57+F91</f>
        <v>-96106.62</v>
      </c>
      <c r="G122" s="69" t="n">
        <f aca="false">G20+G57+G91</f>
        <v>-113930.99</v>
      </c>
      <c r="H122" s="69" t="n">
        <f aca="false">H20+H57+H91</f>
        <v>-120210.18</v>
      </c>
      <c r="I122" s="69" t="n">
        <f aca="false">I20+I57+I91</f>
        <v>-135205.82</v>
      </c>
      <c r="J122" s="69" t="n">
        <f aca="false">J20+J57+J91</f>
        <v>-129855.48</v>
      </c>
      <c r="K122" s="69" t="n">
        <f aca="false">K20+K57+K91</f>
        <v>-120311.83</v>
      </c>
      <c r="L122" s="69" t="n">
        <f aca="false">L20+L57+L91</f>
        <v>-124320.12</v>
      </c>
      <c r="M122" s="69" t="n">
        <f aca="false">M20+M57+M91</f>
        <v>-139493.749919515</v>
      </c>
      <c r="N122" s="69" t="n">
        <f aca="false">N20+N57+N91</f>
        <v>-161719.927267991</v>
      </c>
      <c r="O122" s="69" t="n">
        <f aca="false">O20+O57+O91</f>
        <v>-233810.252638096</v>
      </c>
      <c r="P122" s="69" t="n">
        <f aca="false">P20+P57+P91</f>
        <v>-209306.204843269</v>
      </c>
      <c r="Q122" s="69" t="n">
        <f aca="false">Q20+Q57+Q91</f>
        <v>-133700.872867899</v>
      </c>
      <c r="R122" s="69" t="n">
        <f aca="false">R20+R57+R91</f>
        <v>-127495.659504646</v>
      </c>
      <c r="S122" s="69" t="n">
        <f aca="false">S20+S57+S91</f>
        <v>-147046.611312612</v>
      </c>
      <c r="T122" s="69" t="n">
        <f aca="false">T20+T57+T91</f>
        <v>-155790.392091004</v>
      </c>
      <c r="U122" s="69" t="n">
        <f aca="false">U20+U57+U91</f>
        <v>-168332.417416621</v>
      </c>
      <c r="V122" s="69" t="n">
        <f aca="false">V20+V57+V91</f>
        <v>-167335.717383801</v>
      </c>
      <c r="W122" s="69" t="n">
        <f aca="false">W20+W57+W91</f>
        <v>-162581.437923596</v>
      </c>
      <c r="X122" s="69" t="n">
        <f aca="false">X20+X57+X91</f>
        <v>-163047.907186826</v>
      </c>
      <c r="Y122" s="69" t="n">
        <f aca="false">Y20+Y57+Y91</f>
        <v>-188153.895227451</v>
      </c>
      <c r="Z122" s="69" t="n">
        <f aca="false">Z20+Z57+Z91</f>
        <v>-218365.247157974</v>
      </c>
      <c r="AA122" s="69" t="n">
        <f aca="false">AA20+AA57+AA91</f>
        <v>-316047.782012134</v>
      </c>
      <c r="AB122" s="69" t="n">
        <f aca="false">AB20+AB57+AB91</f>
        <v>-283235.871425714</v>
      </c>
    </row>
    <row r="123" customFormat="false" ht="15" hidden="false" customHeight="true" outlineLevel="0" collapsed="false">
      <c r="A123" s="28" t="s">
        <v>714</v>
      </c>
      <c r="B123" s="55" t="s">
        <v>712</v>
      </c>
      <c r="C123" s="56" t="n">
        <f aca="false">SUM(E123:P123)</f>
        <v>77485.3109553636</v>
      </c>
      <c r="D123" s="56" t="n">
        <f aca="false">SUM(Q123:AB123)</f>
        <v>105241.873826914</v>
      </c>
      <c r="E123" s="69" t="n">
        <f aca="false">E21+E58+E92</f>
        <v>4379</v>
      </c>
      <c r="F123" s="69" t="n">
        <f aca="false">F21+F58+F92</f>
        <v>4195</v>
      </c>
      <c r="G123" s="69" t="n">
        <f aca="false">G21+G58+G92</f>
        <v>5358</v>
      </c>
      <c r="H123" s="69" t="n">
        <f aca="false">H21+H58+H92</f>
        <v>4977</v>
      </c>
      <c r="I123" s="69" t="n">
        <f aca="false">I21+I58+I92</f>
        <v>6033</v>
      </c>
      <c r="J123" s="69" t="n">
        <f aca="false">J21+J58+J92</f>
        <v>6515</v>
      </c>
      <c r="K123" s="69" t="n">
        <f aca="false">K21+K58+K92</f>
        <v>5325</v>
      </c>
      <c r="L123" s="69" t="n">
        <f aca="false">L21+L58+L92</f>
        <v>5839</v>
      </c>
      <c r="M123" s="69" t="n">
        <f aca="false">M21+M58+M92</f>
        <v>6525.60913969992</v>
      </c>
      <c r="N123" s="69" t="n">
        <f aca="false">N21+N58+N92</f>
        <v>7570.97548715572</v>
      </c>
      <c r="O123" s="69" t="n">
        <f aca="false">O21+O58+O92</f>
        <v>10954.1400415917</v>
      </c>
      <c r="P123" s="69" t="n">
        <f aca="false">P21+P58+P92</f>
        <v>9813.58628691627</v>
      </c>
      <c r="Q123" s="69" t="n">
        <f aca="false">Q21+Q58+Q92</f>
        <v>6273.57777794363</v>
      </c>
      <c r="R123" s="69" t="n">
        <f aca="false">R21+R58+R92</f>
        <v>5987.09801539023</v>
      </c>
      <c r="S123" s="69" t="n">
        <f aca="false">S21+S58+S92</f>
        <v>6910.67483890486</v>
      </c>
      <c r="T123" s="69" t="n">
        <f aca="false">T21+T58+T92</f>
        <v>7327.48850507945</v>
      </c>
      <c r="U123" s="69" t="n">
        <f aca="false">U21+U58+U92</f>
        <v>7923.84294286263</v>
      </c>
      <c r="V123" s="69" t="n">
        <f aca="false">V21+V58+V92</f>
        <v>7883.425612507</v>
      </c>
      <c r="W123" s="69" t="n">
        <f aca="false">W21+W58+W92</f>
        <v>7665.84663896876</v>
      </c>
      <c r="X123" s="69" t="n">
        <f aca="false">X21+X58+X92</f>
        <v>7694.34872527672</v>
      </c>
      <c r="Y123" s="69" t="n">
        <f aca="false">Y21+Y58+Y92</f>
        <v>8886.72944406777</v>
      </c>
      <c r="Z123" s="69" t="n">
        <f aca="false">Z21+Z58+Z92</f>
        <v>10322.5980663947</v>
      </c>
      <c r="AA123" s="69" t="n">
        <f aca="false">AA21+AA58+AA92</f>
        <v>14953.3893319507</v>
      </c>
      <c r="AB123" s="69" t="n">
        <f aca="false">AB21+AB58+AB92</f>
        <v>13412.8539275674</v>
      </c>
    </row>
    <row r="124" customFormat="false" ht="15" hidden="false" customHeight="true" outlineLevel="0" collapsed="false">
      <c r="A124" s="70" t="s">
        <v>662</v>
      </c>
      <c r="B124" s="71" t="s">
        <v>712</v>
      </c>
      <c r="C124" s="72" t="n">
        <f aca="false">SUM(E124:P124)</f>
        <v>-1608572.69371351</v>
      </c>
      <c r="D124" s="72" t="n">
        <f aca="false">SUM(Q124:AB124)</f>
        <v>-2125891.93768336</v>
      </c>
      <c r="E124" s="72" t="n">
        <f aca="false">E22+E59+E93</f>
        <v>-97407.83</v>
      </c>
      <c r="F124" s="72" t="n">
        <f aca="false">F22+F59+F93</f>
        <v>-91911.62</v>
      </c>
      <c r="G124" s="72" t="n">
        <f aca="false">G22+G59+G93</f>
        <v>-108572.99</v>
      </c>
      <c r="H124" s="72" t="n">
        <f aca="false">H22+H59+H93</f>
        <v>-115233.18</v>
      </c>
      <c r="I124" s="72" t="n">
        <f aca="false">I22+I59+I93</f>
        <v>-129172.82</v>
      </c>
      <c r="J124" s="72" t="n">
        <f aca="false">J22+J59+J93</f>
        <v>-123340.48</v>
      </c>
      <c r="K124" s="72" t="n">
        <f aca="false">K22+K59+K93</f>
        <v>-114986.83</v>
      </c>
      <c r="L124" s="72" t="n">
        <f aca="false">L22+L59+L93</f>
        <v>-118481.12</v>
      </c>
      <c r="M124" s="72" t="n">
        <f aca="false">M22+M59+M93</f>
        <v>-132968.140779815</v>
      </c>
      <c r="N124" s="72" t="n">
        <f aca="false">N22+N59+N93</f>
        <v>-154148.951780835</v>
      </c>
      <c r="O124" s="72" t="n">
        <f aca="false">O22+O59+O93</f>
        <v>-222856.112596505</v>
      </c>
      <c r="P124" s="72" t="n">
        <f aca="false">P22+P59+P93</f>
        <v>-199492.618556352</v>
      </c>
      <c r="Q124" s="72" t="n">
        <f aca="false">Q22+Q59+Q93</f>
        <v>-127427.295089955</v>
      </c>
      <c r="R124" s="72" t="n">
        <f aca="false">R22+R59+R93</f>
        <v>-121508.561489256</v>
      </c>
      <c r="S124" s="72" t="n">
        <f aca="false">S22+S59+S93</f>
        <v>-140135.936473707</v>
      </c>
      <c r="T124" s="72" t="n">
        <f aca="false">T22+T59+T93</f>
        <v>-148462.903585924</v>
      </c>
      <c r="U124" s="72" t="n">
        <f aca="false">U22+U59+U93</f>
        <v>-160408.574473758</v>
      </c>
      <c r="V124" s="72" t="n">
        <f aca="false">V22+V59+V93</f>
        <v>-159452.291771294</v>
      </c>
      <c r="W124" s="72" t="n">
        <f aca="false">W22+W59+W93</f>
        <v>-154915.591284627</v>
      </c>
      <c r="X124" s="72" t="n">
        <f aca="false">X22+X59+X93</f>
        <v>-155353.55846155</v>
      </c>
      <c r="Y124" s="72" t="n">
        <f aca="false">Y22+Y59+Y93</f>
        <v>-179267.165783383</v>
      </c>
      <c r="Z124" s="72" t="n">
        <f aca="false">Z22+Z59+Z93</f>
        <v>-208042.649091579</v>
      </c>
      <c r="AA124" s="72" t="n">
        <f aca="false">AA22+AA59+AA93</f>
        <v>-301094.392680183</v>
      </c>
      <c r="AB124" s="72" t="n">
        <f aca="false">AB22+AB59+AB93</f>
        <v>-269823.017498147</v>
      </c>
    </row>
    <row r="125" customFormat="false" ht="15" hidden="false" customHeight="true" outlineLevel="0" collapsed="false">
      <c r="A125" s="70" t="s">
        <v>319</v>
      </c>
      <c r="B125" s="71" t="s">
        <v>712</v>
      </c>
      <c r="C125" s="72" t="n">
        <f aca="false">SUM(E125:P125)</f>
        <v>2702004.26071286</v>
      </c>
      <c r="D125" s="72" t="n">
        <f aca="false">SUM(Q125:AB125)</f>
        <v>3491668.07022467</v>
      </c>
      <c r="E125" s="72" t="n">
        <f aca="false">E23+E60+E94</f>
        <v>170146.388648649</v>
      </c>
      <c r="F125" s="72" t="n">
        <f aca="false">F23+F60+F94</f>
        <v>158950.370739673</v>
      </c>
      <c r="G125" s="72" t="n">
        <f aca="false">G23+G60+G94</f>
        <v>185804.603003802</v>
      </c>
      <c r="H125" s="72" t="n">
        <f aca="false">H23+H60+H94</f>
        <v>195765.40025974</v>
      </c>
      <c r="I125" s="72" t="n">
        <f aca="false">I23+I60+I94</f>
        <v>219724.699634369</v>
      </c>
      <c r="J125" s="72" t="n">
        <f aca="false">J23+J60+J94</f>
        <v>208606.696425993</v>
      </c>
      <c r="K125" s="72" t="n">
        <f aca="false">K23+K60+K94</f>
        <v>191574.347823372</v>
      </c>
      <c r="L125" s="72" t="n">
        <f aca="false">L23+L60+L94</f>
        <v>196050.939820789</v>
      </c>
      <c r="M125" s="72" t="n">
        <f aca="false">M23+M60+M94</f>
        <v>220647.990554938</v>
      </c>
      <c r="N125" s="72" t="n">
        <f aca="false">N23+N60+N94</f>
        <v>255550.627228135</v>
      </c>
      <c r="O125" s="72" t="n">
        <f aca="false">O23+O60+O94</f>
        <v>369098.671948767</v>
      </c>
      <c r="P125" s="72" t="n">
        <f aca="false">P23+P60+P94</f>
        <v>330083.524624628</v>
      </c>
      <c r="Q125" s="72" t="n">
        <f aca="false">Q23+Q60+Q94</f>
        <v>210637.679671184</v>
      </c>
      <c r="R125" s="72" t="n">
        <f aca="false">R23+R60+R94</f>
        <v>200657.09471031</v>
      </c>
      <c r="S125" s="72" t="n">
        <f aca="false">S23+S60+S94</f>
        <v>231189.780379307</v>
      </c>
      <c r="T125" s="72" t="n">
        <f aca="false">T23+T60+T94</f>
        <v>244684.201992411</v>
      </c>
      <c r="U125" s="72" t="n">
        <f aca="false">U23+U60+U94</f>
        <v>264108.141796708</v>
      </c>
      <c r="V125" s="72" t="n">
        <f aca="false">V23+V60+V94</f>
        <v>262269.951376572</v>
      </c>
      <c r="W125" s="72" t="n">
        <f aca="false">W23+W60+W94</f>
        <v>254550.383296429</v>
      </c>
      <c r="X125" s="72" t="n">
        <f aca="false">X23+X60+X94</f>
        <v>255010.43472654</v>
      </c>
      <c r="Y125" s="72" t="n">
        <f aca="false">Y23+Y60+Y94</f>
        <v>293963.120649069</v>
      </c>
      <c r="Z125" s="72" t="n">
        <f aca="false">Z23+Z60+Z94</f>
        <v>340797.987028066</v>
      </c>
      <c r="AA125" s="72" t="n">
        <f aca="false">AA23+AA60+AA94</f>
        <v>492716.411739607</v>
      </c>
      <c r="AB125" s="72" t="n">
        <f aca="false">AB23+AB60+AB94</f>
        <v>441082.882858472</v>
      </c>
    </row>
    <row r="126" customFormat="false" ht="15" hidden="false" customHeight="true" outlineLevel="0" collapsed="false">
      <c r="A126" s="28" t="s">
        <v>321</v>
      </c>
      <c r="B126" s="55" t="s">
        <v>712</v>
      </c>
      <c r="C126" s="56" t="n">
        <f aca="false">SUM(E126:P126)</f>
        <v>-409440.286261552</v>
      </c>
      <c r="D126" s="56" t="n">
        <f aca="false">SUM(Q126:AB126)</f>
        <v>-555659.546266776</v>
      </c>
      <c r="E126" s="69" t="n">
        <f aca="false">E25+E62+E96</f>
        <v>-25180.2123552124</v>
      </c>
      <c r="F126" s="69" t="n">
        <f aca="false">F25+F62+F96</f>
        <v>-22538.6724303554</v>
      </c>
      <c r="G126" s="69" t="n">
        <f aca="false">G25+G62+G96</f>
        <v>-27025.7490494297</v>
      </c>
      <c r="H126" s="69" t="n">
        <f aca="false">H25+H62+H96</f>
        <v>-29644.146567718</v>
      </c>
      <c r="I126" s="69" t="n">
        <f aca="false">I25+I62+I96</f>
        <v>-32834.6837294333</v>
      </c>
      <c r="J126" s="69" t="n">
        <f aca="false">J25+J62+J96</f>
        <v>-31540.3646209386</v>
      </c>
      <c r="K126" s="69" t="n">
        <f aca="false">K25+K62+K96</f>
        <v>-28941.4424620874</v>
      </c>
      <c r="L126" s="69" t="n">
        <f aca="false">L25+L62+L96</f>
        <v>-29921.6666666667</v>
      </c>
      <c r="M126" s="69" t="n">
        <f aca="false">M25+M62+M96</f>
        <v>-33950.9071697886</v>
      </c>
      <c r="N126" s="69" t="n">
        <f aca="false">N25+N62+N96</f>
        <v>-39443.9015540606</v>
      </c>
      <c r="O126" s="69" t="n">
        <f aca="false">O25+O62+O96</f>
        <v>-57148.8222908542</v>
      </c>
      <c r="P126" s="69" t="n">
        <f aca="false">P25+P62+P96</f>
        <v>-51269.7173650076</v>
      </c>
      <c r="Q126" s="69" t="n">
        <f aca="false">Q25+Q62+Q96</f>
        <v>-32821.3013012342</v>
      </c>
      <c r="R126" s="69" t="n">
        <f aca="false">R25+R62+R96</f>
        <v>-31366.5889429856</v>
      </c>
      <c r="S126" s="69" t="n">
        <f aca="false">S25+S62+S96</f>
        <v>-36256.4110421164</v>
      </c>
      <c r="T126" s="69" t="n">
        <f aca="false">T25+T62+T96</f>
        <v>-38497.7958812793</v>
      </c>
      <c r="U126" s="69" t="n">
        <f aca="false">U25+U62+U96</f>
        <v>-41690.375318745</v>
      </c>
      <c r="V126" s="69" t="n">
        <f aca="false">V25+V62+V96</f>
        <v>-41537.1717539577</v>
      </c>
      <c r="W126" s="69" t="n">
        <f aca="false">W25+W62+W96</f>
        <v>-40448.9046244447</v>
      </c>
      <c r="X126" s="69" t="n">
        <f aca="false">X25+X62+X96</f>
        <v>-40657.979266619</v>
      </c>
      <c r="Y126" s="69" t="n">
        <f aca="false">Y25+Y62+Y96</f>
        <v>-47026.8259405955</v>
      </c>
      <c r="Z126" s="69" t="n">
        <f aca="false">Z25+Z62+Z96</f>
        <v>-54704.7336471508</v>
      </c>
      <c r="AA126" s="69" t="n">
        <f aca="false">AA25+AA62+AA96</f>
        <v>-79361.524863512</v>
      </c>
      <c r="AB126" s="69" t="n">
        <f aca="false">AB25+AB62+AB96</f>
        <v>-71289.9336841359</v>
      </c>
    </row>
    <row r="127" customFormat="false" ht="15" hidden="false" customHeight="true" outlineLevel="0" collapsed="false">
      <c r="A127" s="28" t="s">
        <v>322</v>
      </c>
      <c r="B127" s="55" t="s">
        <v>712</v>
      </c>
      <c r="C127" s="56" t="n">
        <f aca="false">SUM(E127:P127)</f>
        <v>-583846.102023483</v>
      </c>
      <c r="D127" s="56" t="n">
        <f aca="false">SUM(Q127:AB127)</f>
        <v>-741474.946893946</v>
      </c>
      <c r="E127" s="69" t="n">
        <f aca="false">E26+E27+E63+E64+E65+E97+E98</f>
        <v>-34760.8301158301</v>
      </c>
      <c r="F127" s="69" t="n">
        <f aca="false">F26+F27+F63+F64+F65+F97+F98</f>
        <v>-32863.6013448607</v>
      </c>
      <c r="G127" s="69" t="n">
        <f aca="false">G26+G27+G63+G64+G65+G97+G98</f>
        <v>-38712.7186311787</v>
      </c>
      <c r="H127" s="69" t="n">
        <f aca="false">H26+H27+H63+H64+H65+H97+H98</f>
        <v>-41453.9294990724</v>
      </c>
      <c r="I127" s="69" t="n">
        <f aca="false">I26+I27+I63+I64+I65+I97+I98</f>
        <v>-45080.1572212066</v>
      </c>
      <c r="J127" s="69" t="n">
        <f aca="false">J26+J27+J63+J64+J65+J97+J98</f>
        <v>-46109.1227436823</v>
      </c>
      <c r="K127" s="69" t="n">
        <f aca="false">K26+K27+K63+K64+K65+K97+K98</f>
        <v>-41415.0624442462</v>
      </c>
      <c r="L127" s="69" t="n">
        <f aca="false">L26+L27+L63+L64+L65+L97+L98</f>
        <v>-41677.476702509</v>
      </c>
      <c r="M127" s="69" t="n">
        <f aca="false">M26+M27+M63+M64+M65+M97+M98</f>
        <v>-46753.4062863135</v>
      </c>
      <c r="N127" s="69" t="n">
        <f aca="false">N26+N27+N63+N64+N65+N97+N98</f>
        <v>-57685.7442509539</v>
      </c>
      <c r="O127" s="69" t="n">
        <f aca="false">O26+O27+O63+O64+O65+O97+O98</f>
        <v>-83140.3007833406</v>
      </c>
      <c r="P127" s="69" t="n">
        <f aca="false">P26+P27+P63+P64+P65+P97+P98</f>
        <v>-74193.7520002895</v>
      </c>
      <c r="Q127" s="69" t="n">
        <f aca="false">Q26+Q27+Q63+Q64+Q65+Q97+Q98</f>
        <v>-44264.647883459</v>
      </c>
      <c r="R127" s="69" t="n">
        <f aca="false">R26+R27+R63+R64+R65+R97+R98</f>
        <v>-42079.8690431187</v>
      </c>
      <c r="S127" s="69" t="n">
        <f aca="false">S26+S27+S63+S64+S65+S97+S98</f>
        <v>-48382.2649577644</v>
      </c>
      <c r="T127" s="69" t="n">
        <f aca="false">T26+T27+T63+T64+T65+T97+T98</f>
        <v>-51099.8933513758</v>
      </c>
      <c r="U127" s="69" t="n">
        <f aca="false">U26+U27+U63+U64+U65+U97+U98</f>
        <v>-55041.6132315946</v>
      </c>
      <c r="V127" s="69" t="n">
        <f aca="false">V26+V27+V63+V64+V65+V97+V98</f>
        <v>-54544.6307811272</v>
      </c>
      <c r="W127" s="69" t="n">
        <f aca="false">W26+W27+W63+W64+W65+W97+W98</f>
        <v>-52828.7266272594</v>
      </c>
      <c r="X127" s="69" t="n">
        <f aca="false">X26+X27+X63+X64+X65+X97+X98</f>
        <v>-52813.6367354407</v>
      </c>
      <c r="Y127" s="69" t="n">
        <f aca="false">Y26+Y27+Y63+Y64+Y65+Y97+Y98</f>
        <v>-60753.5322957943</v>
      </c>
      <c r="Z127" s="69" t="n">
        <f aca="false">Z26+Z27+Z63+Z64+Z65+Z97+Z98</f>
        <v>-74955.3565417942</v>
      </c>
      <c r="AA127" s="69" t="n">
        <f aca="false">AA26+AA27+AA63+AA64+AA65+AA97+AA98</f>
        <v>-108128.504538228</v>
      </c>
      <c r="AB127" s="69" t="n">
        <f aca="false">AB26+AB27+AB63+AB64+AB65+AB97+AB98</f>
        <v>-96582.2709069894</v>
      </c>
    </row>
    <row r="128" customFormat="false" ht="15" hidden="false" customHeight="true" outlineLevel="0" collapsed="false">
      <c r="A128" s="28" t="s">
        <v>323</v>
      </c>
      <c r="B128" s="55" t="s">
        <v>712</v>
      </c>
      <c r="C128" s="56" t="n">
        <f aca="false">SUM(E128:P128)</f>
        <v>-993286.388285036</v>
      </c>
      <c r="D128" s="56" t="n">
        <f aca="false">SUM(Q128:AB128)</f>
        <v>-1297134.49316072</v>
      </c>
      <c r="E128" s="69" t="n">
        <f aca="false">E28+E66+E99</f>
        <v>-59941.0424710425</v>
      </c>
      <c r="F128" s="69" t="n">
        <f aca="false">F28+F66+F99</f>
        <v>-55402.2737752161</v>
      </c>
      <c r="G128" s="69" t="n">
        <f aca="false">G28+G66+G99</f>
        <v>-65738.4676806084</v>
      </c>
      <c r="H128" s="69" t="n">
        <f aca="false">H28+H66+H99</f>
        <v>-71098.0760667904</v>
      </c>
      <c r="I128" s="69" t="n">
        <f aca="false">I28+I66+I99</f>
        <v>-77914.8409506399</v>
      </c>
      <c r="J128" s="69" t="n">
        <f aca="false">J28+J66+J99</f>
        <v>-77649.4873646209</v>
      </c>
      <c r="K128" s="69" t="n">
        <f aca="false">K28+K66+K99</f>
        <v>-70356.5049063336</v>
      </c>
      <c r="L128" s="69" t="n">
        <f aca="false">L28+L66+L99</f>
        <v>-71599.1433691756</v>
      </c>
      <c r="M128" s="69" t="n">
        <f aca="false">M28+M66+M99</f>
        <v>-80704.313456102</v>
      </c>
      <c r="N128" s="69" t="n">
        <f aca="false">N28+N66+N99</f>
        <v>-97129.6458050145</v>
      </c>
      <c r="O128" s="69" t="n">
        <f aca="false">O28+O66+O99</f>
        <v>-140289.123074195</v>
      </c>
      <c r="P128" s="69" t="n">
        <f aca="false">P28+P66+P99</f>
        <v>-125463.469365297</v>
      </c>
      <c r="Q128" s="69" t="n">
        <f aca="false">Q28+Q66+Q99</f>
        <v>-77085.9491846932</v>
      </c>
      <c r="R128" s="69" t="n">
        <f aca="false">R28+R66+R99</f>
        <v>-73446.4579861044</v>
      </c>
      <c r="S128" s="69" t="n">
        <f aca="false">S28+S66+S99</f>
        <v>-84638.6759998807</v>
      </c>
      <c r="T128" s="69" t="n">
        <f aca="false">T28+T66+T99</f>
        <v>-89597.6892326551</v>
      </c>
      <c r="U128" s="69" t="n">
        <f aca="false">U28+U66+U99</f>
        <v>-96731.9885503396</v>
      </c>
      <c r="V128" s="69" t="n">
        <f aca="false">V28+V66+V99</f>
        <v>-96081.802535085</v>
      </c>
      <c r="W128" s="69" t="n">
        <f aca="false">W28+W66+W99</f>
        <v>-93277.6312517041</v>
      </c>
      <c r="X128" s="69" t="n">
        <f aca="false">X28+X66+X99</f>
        <v>-93471.6160020597</v>
      </c>
      <c r="Y128" s="69" t="n">
        <f aca="false">Y28+Y66+Y99</f>
        <v>-107780.35823639</v>
      </c>
      <c r="Z128" s="69" t="n">
        <f aca="false">Z28+Z66+Z99</f>
        <v>-129660.090188945</v>
      </c>
      <c r="AA128" s="69" t="n">
        <f aca="false">AA28+AA66+AA99</f>
        <v>-187490.02940174</v>
      </c>
      <c r="AB128" s="69" t="n">
        <f aca="false">AB28+AB66+AB99</f>
        <v>-167872.204591125</v>
      </c>
    </row>
    <row r="129" customFormat="false" ht="15" hidden="false" customHeight="true" outlineLevel="0" collapsed="false">
      <c r="A129" s="70" t="s">
        <v>324</v>
      </c>
      <c r="B129" s="71" t="s">
        <v>712</v>
      </c>
      <c r="C129" s="72" t="n">
        <f aca="false">SUM(E129:P129)</f>
        <v>1708717.87242782</v>
      </c>
      <c r="D129" s="72" t="n">
        <f aca="false">SUM(Q129:AB129)</f>
        <v>2194533.57706395</v>
      </c>
      <c r="E129" s="72" t="n">
        <f aca="false">E29+E67+E100</f>
        <v>110205.346177606</v>
      </c>
      <c r="F129" s="72" t="n">
        <f aca="false">F29+F67+F100</f>
        <v>103548.096964457</v>
      </c>
      <c r="G129" s="72" t="n">
        <f aca="false">G29+G67+G100</f>
        <v>120066.135323194</v>
      </c>
      <c r="H129" s="72" t="n">
        <f aca="false">H29+H67+H100</f>
        <v>124667.32419295</v>
      </c>
      <c r="I129" s="72" t="n">
        <f aca="false">I29+I67+I100</f>
        <v>141809.858683729</v>
      </c>
      <c r="J129" s="72" t="n">
        <f aca="false">J29+J67+J100</f>
        <v>130957.209061372</v>
      </c>
      <c r="K129" s="72" t="n">
        <f aca="false">K29+K67+K100</f>
        <v>121217.842917038</v>
      </c>
      <c r="L129" s="72" t="n">
        <f aca="false">L29+L67+L100</f>
        <v>124451.796451613</v>
      </c>
      <c r="M129" s="72" t="n">
        <f aca="false">M29+M67+M100</f>
        <v>139943.677098836</v>
      </c>
      <c r="N129" s="72" t="n">
        <f aca="false">N29+N67+N100</f>
        <v>158420.98142312</v>
      </c>
      <c r="O129" s="72" t="n">
        <f aca="false">O29+O67+O100</f>
        <v>228809.548874572</v>
      </c>
      <c r="P129" s="72" t="n">
        <f aca="false">P29+P67+P100</f>
        <v>204620.055259331</v>
      </c>
      <c r="Q129" s="72" t="n">
        <f aca="false">Q29+Q67+Q100</f>
        <v>133551.73048649</v>
      </c>
      <c r="R129" s="72" t="n">
        <f aca="false">R29+R67+R100</f>
        <v>127210.636724205</v>
      </c>
      <c r="S129" s="72" t="n">
        <f aca="false">S29+S67+S100</f>
        <v>146551.104379427</v>
      </c>
      <c r="T129" s="72" t="n">
        <f aca="false">T29+T67+T100</f>
        <v>155086.512759756</v>
      </c>
      <c r="U129" s="72" t="n">
        <f aca="false">U29+U67+U100</f>
        <v>167376.153246369</v>
      </c>
      <c r="V129" s="72" t="n">
        <f aca="false">V29+V67+V100</f>
        <v>166188.148841487</v>
      </c>
      <c r="W129" s="72" t="n">
        <f aca="false">W29+W67+W100</f>
        <v>161272.752044725</v>
      </c>
      <c r="X129" s="72" t="n">
        <f aca="false">X29+X67+X100</f>
        <v>161538.81872448</v>
      </c>
      <c r="Y129" s="72" t="n">
        <f aca="false">Y29+Y67+Y100</f>
        <v>186182.762412679</v>
      </c>
      <c r="Z129" s="72" t="n">
        <f aca="false">Z29+Z67+Z100</f>
        <v>211137.896839121</v>
      </c>
      <c r="AA129" s="72" t="n">
        <f aca="false">AA29+AA67+AA100</f>
        <v>305226.382337867</v>
      </c>
      <c r="AB129" s="72" t="n">
        <f aca="false">AB29+AB67+AB100</f>
        <v>273210.678267346</v>
      </c>
    </row>
    <row r="130" customFormat="false" ht="15" hidden="false" customHeight="true" outlineLevel="0" collapsed="false">
      <c r="A130" s="28" t="s">
        <v>673</v>
      </c>
      <c r="B130" s="55" t="s">
        <v>712</v>
      </c>
      <c r="C130" s="56" t="n">
        <f aca="false">SUM(E130:P130)</f>
        <v>-262023.098509458</v>
      </c>
      <c r="D130" s="56" t="n">
        <f aca="false">SUM(Q130:AB130)</f>
        <v>-322317.403222815</v>
      </c>
      <c r="E130" s="69" t="n">
        <f aca="false">E31</f>
        <v>-14925</v>
      </c>
      <c r="F130" s="69" t="n">
        <f aca="false">F31</f>
        <v>-15728</v>
      </c>
      <c r="G130" s="69" t="n">
        <f aca="false">G31</f>
        <v>-19266</v>
      </c>
      <c r="H130" s="69" t="n">
        <f aca="false">H31</f>
        <v>-17843</v>
      </c>
      <c r="I130" s="69" t="n">
        <f aca="false">I31</f>
        <v>-20699</v>
      </c>
      <c r="J130" s="69" t="n">
        <f aca="false">J31</f>
        <v>-20117</v>
      </c>
      <c r="K130" s="69" t="n">
        <f aca="false">K31</f>
        <v>-19621</v>
      </c>
      <c r="L130" s="69" t="n">
        <f aca="false">L31</f>
        <v>-20485</v>
      </c>
      <c r="M130" s="69" t="n">
        <f aca="false">M31</f>
        <v>-21442.2084019853</v>
      </c>
      <c r="N130" s="69" t="n">
        <f aca="false">N31</f>
        <v>-24721.2224806874</v>
      </c>
      <c r="O130" s="69" t="n">
        <f aca="false">O31</f>
        <v>-35540.7611335333</v>
      </c>
      <c r="P130" s="69" t="n">
        <f aca="false">P31</f>
        <v>-31634.9064932524</v>
      </c>
      <c r="Q130" s="69" t="n">
        <f aca="false">Q31</f>
        <v>-20091.1069445031</v>
      </c>
      <c r="R130" s="69" t="n">
        <f aca="false">R31</f>
        <v>-19046.4245424626</v>
      </c>
      <c r="S130" s="69" t="n">
        <f aca="false">S31</f>
        <v>-21836.5566095693</v>
      </c>
      <c r="T130" s="69" t="n">
        <f aca="false">T31</f>
        <v>-22995.5012825821</v>
      </c>
      <c r="U130" s="69" t="n">
        <f aca="false">U31</f>
        <v>-24694.7371444756</v>
      </c>
      <c r="V130" s="69" t="n">
        <f aca="false">V31</f>
        <v>-24396.102516043</v>
      </c>
      <c r="W130" s="69" t="n">
        <f aca="false">W31</f>
        <v>-23553.6370586576</v>
      </c>
      <c r="X130" s="69" t="n">
        <f aca="false">X31</f>
        <v>-23470.2047636219</v>
      </c>
      <c r="Y130" s="69" t="n">
        <f aca="false">Y31</f>
        <v>-26908.4232574301</v>
      </c>
      <c r="Z130" s="69" t="n">
        <f aca="false">Z31</f>
        <v>-31023.4462235674</v>
      </c>
      <c r="AA130" s="69" t="n">
        <f aca="false">AA31</f>
        <v>-44601.3677009029</v>
      </c>
      <c r="AB130" s="69" t="n">
        <f aca="false">AB31</f>
        <v>-39699.8951789997</v>
      </c>
    </row>
    <row r="131" customFormat="false" ht="15" hidden="false" customHeight="true" outlineLevel="0" collapsed="false">
      <c r="A131" s="28" t="s">
        <v>675</v>
      </c>
      <c r="B131" s="55" t="s">
        <v>712</v>
      </c>
      <c r="C131" s="56" t="n">
        <f aca="false">SUM(E131:P131)</f>
        <v>-112293.899361197</v>
      </c>
      <c r="D131" s="56" t="n">
        <f aca="false">SUM(Q131:AB131)</f>
        <v>-138136.029952635</v>
      </c>
      <c r="E131" s="69" t="n">
        <f aca="false">E32</f>
        <v>-6396</v>
      </c>
      <c r="F131" s="69" t="n">
        <f aca="false">F32</f>
        <v>-6740</v>
      </c>
      <c r="G131" s="69" t="n">
        <f aca="false">G32</f>
        <v>-8257</v>
      </c>
      <c r="H131" s="69" t="n">
        <f aca="false">H32</f>
        <v>-7647</v>
      </c>
      <c r="I131" s="69" t="n">
        <f aca="false">I32</f>
        <v>-8871</v>
      </c>
      <c r="J131" s="69" t="n">
        <f aca="false">J32</f>
        <v>-8621</v>
      </c>
      <c r="K131" s="69" t="n">
        <f aca="false">K32</f>
        <v>-8409</v>
      </c>
      <c r="L131" s="69" t="n">
        <f aca="false">L32</f>
        <v>-8779</v>
      </c>
      <c r="M131" s="69" t="n">
        <f aca="false">M32</f>
        <v>-9189.51788656515</v>
      </c>
      <c r="N131" s="69" t="n">
        <f aca="false">N32</f>
        <v>-10594.8096345803</v>
      </c>
      <c r="O131" s="69" t="n">
        <f aca="false">O32</f>
        <v>-15231.7547715143</v>
      </c>
      <c r="P131" s="69" t="n">
        <f aca="false">P32</f>
        <v>-13557.8170685368</v>
      </c>
      <c r="Q131" s="69" t="n">
        <f aca="false">Q32</f>
        <v>-8610.47440478703</v>
      </c>
      <c r="R131" s="69" t="n">
        <f aca="false">R32</f>
        <v>-8162.75337534113</v>
      </c>
      <c r="S131" s="69" t="n">
        <f aca="false">S32</f>
        <v>-9358.524261244</v>
      </c>
      <c r="T131" s="69" t="n">
        <f aca="false">T32</f>
        <v>-9855.21483539231</v>
      </c>
      <c r="U131" s="69" t="n">
        <f aca="false">U32</f>
        <v>-10583.4587762038</v>
      </c>
      <c r="V131" s="69" t="n">
        <f aca="false">V32</f>
        <v>-10455.4725068756</v>
      </c>
      <c r="W131" s="69" t="n">
        <f aca="false">W32</f>
        <v>-10094.4158822818</v>
      </c>
      <c r="X131" s="69" t="n">
        <f aca="false">X32</f>
        <v>-10058.6591844094</v>
      </c>
      <c r="Y131" s="69" t="n">
        <f aca="false">Y32</f>
        <v>-11532.1813960415</v>
      </c>
      <c r="Z131" s="69" t="n">
        <f aca="false">Z32</f>
        <v>-13295.7626672432</v>
      </c>
      <c r="AA131" s="69" t="n">
        <f aca="false">AA32</f>
        <v>-19114.8718718155</v>
      </c>
      <c r="AB131" s="69" t="n">
        <f aca="false">AB32</f>
        <v>-17014.2407909999</v>
      </c>
    </row>
    <row r="132" customFormat="false" ht="15" hidden="false" customHeight="true" outlineLevel="0" collapsed="false">
      <c r="A132" s="28" t="s">
        <v>327</v>
      </c>
      <c r="B132" s="55" t="s">
        <v>712</v>
      </c>
      <c r="C132" s="56" t="n">
        <f aca="false">SUM(E132:P132)</f>
        <v>-172293.700940012</v>
      </c>
      <c r="D132" s="56" t="n">
        <f aca="false">SUM(Q132:AB132)</f>
        <v>-216267.556763331</v>
      </c>
      <c r="E132" s="69" t="n">
        <f aca="false">E69</f>
        <v>-11057</v>
      </c>
      <c r="F132" s="69" t="n">
        <f aca="false">F69</f>
        <v>-9410</v>
      </c>
      <c r="G132" s="69" t="n">
        <f aca="false">G69</f>
        <v>-11456</v>
      </c>
      <c r="H132" s="69" t="n">
        <f aca="false">H69</f>
        <v>-13283</v>
      </c>
      <c r="I132" s="69" t="n">
        <f aca="false">I69</f>
        <v>-15111</v>
      </c>
      <c r="J132" s="69" t="n">
        <f aca="false">J69</f>
        <v>-13890</v>
      </c>
      <c r="K132" s="69" t="n">
        <f aca="false">K69</f>
        <v>-12615</v>
      </c>
      <c r="L132" s="69" t="n">
        <f aca="false">L69</f>
        <v>-11563</v>
      </c>
      <c r="M132" s="69" t="n">
        <f aca="false">M69</f>
        <v>-13905.0040575476</v>
      </c>
      <c r="N132" s="69" t="n">
        <f aca="false">N69</f>
        <v>-16084.397339518</v>
      </c>
      <c r="O132" s="69" t="n">
        <f aca="false">O69</f>
        <v>-23200.3588584162</v>
      </c>
      <c r="P132" s="69" t="n">
        <f aca="false">P69</f>
        <v>-20718.9406845304</v>
      </c>
      <c r="Q132" s="69" t="n">
        <f aca="false">Q69</f>
        <v>-13201.9400729891</v>
      </c>
      <c r="R132" s="69" t="n">
        <f aca="false">R69</f>
        <v>-12556.8335647839</v>
      </c>
      <c r="S132" s="69" t="n">
        <f aca="false">S69</f>
        <v>-14443.8678219017</v>
      </c>
      <c r="T132" s="69" t="n">
        <f aca="false">T69</f>
        <v>-15260.7117638948</v>
      </c>
      <c r="U132" s="69" t="n">
        <f aca="false">U69</f>
        <v>-16442.5345071202</v>
      </c>
      <c r="V132" s="69" t="n">
        <f aca="false">V69</f>
        <v>-16297.3554102155</v>
      </c>
      <c r="W132" s="69" t="n">
        <f aca="false">W69</f>
        <v>-15786.5375133484</v>
      </c>
      <c r="X132" s="69" t="n">
        <f aca="false">X69</f>
        <v>-15782.576161797</v>
      </c>
      <c r="Y132" s="69" t="n">
        <f aca="false">Y69</f>
        <v>-18154.3732975342</v>
      </c>
      <c r="Z132" s="69" t="n">
        <f aca="false">Z69</f>
        <v>-20999.7891664746</v>
      </c>
      <c r="AA132" s="69" t="n">
        <f aca="false">AA69</f>
        <v>-30290.3885255482</v>
      </c>
      <c r="AB132" s="69" t="n">
        <f aca="false">AB69</f>
        <v>-27050.6489577229</v>
      </c>
    </row>
    <row r="133" customFormat="false" ht="15" hidden="false" customHeight="true" outlineLevel="0" collapsed="false">
      <c r="A133" s="28" t="s">
        <v>328</v>
      </c>
      <c r="B133" s="55" t="s">
        <v>712</v>
      </c>
      <c r="C133" s="56" t="n">
        <f aca="false">SUM(E133:P133)</f>
        <v>-61753.8527879694</v>
      </c>
      <c r="D133" s="56" t="n">
        <f aca="false">SUM(Q133:AB133)</f>
        <v>-110114.434610789</v>
      </c>
      <c r="E133" s="69" t="n">
        <f aca="false">E102</f>
        <v>-2056.94980694981</v>
      </c>
      <c r="F133" s="69" t="n">
        <f aca="false">F102</f>
        <v>-2387.12776176753</v>
      </c>
      <c r="G133" s="69" t="n">
        <f aca="false">G102</f>
        <v>-3217.68060836502</v>
      </c>
      <c r="H133" s="69" t="n">
        <f aca="false">H102</f>
        <v>-3833.0241187384</v>
      </c>
      <c r="I133" s="69" t="n">
        <f aca="false">I102</f>
        <v>-4101.46252285192</v>
      </c>
      <c r="J133" s="69" t="n">
        <f aca="false">J102</f>
        <v>-5045.12635379061</v>
      </c>
      <c r="K133" s="69" t="n">
        <f aca="false">K102</f>
        <v>-4421.05263157895</v>
      </c>
      <c r="L133" s="69" t="n">
        <f aca="false">L102</f>
        <v>-6129.03225806452</v>
      </c>
      <c r="M133" s="69" t="n">
        <f aca="false">M102</f>
        <v>-5523.36666313089</v>
      </c>
      <c r="N133" s="69" t="n">
        <f aca="false">N102</f>
        <v>-6541.95361098985</v>
      </c>
      <c r="O133" s="69" t="n">
        <f aca="false">O102</f>
        <v>-9662.00554213999</v>
      </c>
      <c r="P133" s="69" t="n">
        <f aca="false">P102</f>
        <v>-8835.07090960195</v>
      </c>
      <c r="Q133" s="69" t="n">
        <f aca="false">Q102</f>
        <v>-5764.347605904</v>
      </c>
      <c r="R133" s="69" t="n">
        <f aca="false">R102</f>
        <v>-5613.87134560798</v>
      </c>
      <c r="S133" s="69" t="n">
        <f aca="false">S102</f>
        <v>-6612.04401313007</v>
      </c>
      <c r="T133" s="69" t="n">
        <f aca="false">T102</f>
        <v>-7153.14341944406</v>
      </c>
      <c r="U133" s="69" t="n">
        <f aca="false">U102</f>
        <v>-7891.52283566448</v>
      </c>
      <c r="V133" s="69" t="n">
        <f aca="false">V102</f>
        <v>-8009.01496089155</v>
      </c>
      <c r="W133" s="69" t="n">
        <f aca="false">W102</f>
        <v>-7943.62560174598</v>
      </c>
      <c r="X133" s="69" t="n">
        <f aca="false">X102</f>
        <v>-8131.66890575473</v>
      </c>
      <c r="Y133" s="69" t="n">
        <f aca="false">Y102</f>
        <v>-9577.51779386896</v>
      </c>
      <c r="Z133" s="69" t="n">
        <f aca="false">Z102</f>
        <v>-11343.7475614564</v>
      </c>
      <c r="AA133" s="69" t="n">
        <f aca="false">AA102</f>
        <v>-16753.9176100707</v>
      </c>
      <c r="AB133" s="69" t="n">
        <f aca="false">AB102</f>
        <v>-15320.0129572498</v>
      </c>
    </row>
    <row r="134" customFormat="false" ht="15" hidden="false" customHeight="true" outlineLevel="0" collapsed="false">
      <c r="A134" s="28" t="s">
        <v>329</v>
      </c>
      <c r="B134" s="55" t="s">
        <v>712</v>
      </c>
      <c r="C134" s="56" t="n">
        <f aca="false">SUM(E134:P134)</f>
        <v>-608364.551598637</v>
      </c>
      <c r="D134" s="56" t="n">
        <f aca="false">SUM(Q134:AB134)</f>
        <v>-786835.42454957</v>
      </c>
      <c r="E134" s="69" t="n">
        <f aca="false">E33+E69+E102</f>
        <v>-34434.9498069498</v>
      </c>
      <c r="F134" s="69" t="n">
        <f aca="false">F33+F69+F102</f>
        <v>-34265.1277617675</v>
      </c>
      <c r="G134" s="69" t="n">
        <f aca="false">G33+G69+G102</f>
        <v>-42196.680608365</v>
      </c>
      <c r="H134" s="69" t="n">
        <f aca="false">H33+H69+H102</f>
        <v>-42606.0241187384</v>
      </c>
      <c r="I134" s="69" t="n">
        <f aca="false">I33+I69+I102</f>
        <v>-48782.4625228519</v>
      </c>
      <c r="J134" s="69" t="n">
        <f aca="false">J33+J69+J102</f>
        <v>-47673.1263537906</v>
      </c>
      <c r="K134" s="69" t="n">
        <f aca="false">K33+K69+K102</f>
        <v>-45066.052631579</v>
      </c>
      <c r="L134" s="69" t="n">
        <f aca="false">L33+L69+L102</f>
        <v>-46956.0322580645</v>
      </c>
      <c r="M134" s="69" t="n">
        <f aca="false">M33+M69+M102</f>
        <v>-50060.097009229</v>
      </c>
      <c r="N134" s="69" t="n">
        <f aca="false">N33+N69+N102</f>
        <v>-57942.3830657756</v>
      </c>
      <c r="O134" s="69" t="n">
        <f aca="false">O33+O69+O102</f>
        <v>-83634.8803056037</v>
      </c>
      <c r="P134" s="69" t="n">
        <f aca="false">P33+P69+P102</f>
        <v>-74746.7351559215</v>
      </c>
      <c r="Q134" s="69" t="n">
        <f aca="false">Q33+Q69+Q102</f>
        <v>-47667.8690281832</v>
      </c>
      <c r="R134" s="69" t="n">
        <f aca="false">R33+R69+R102</f>
        <v>-45379.8828281956</v>
      </c>
      <c r="S134" s="69" t="n">
        <f aca="false">S33+S69+S102</f>
        <v>-52250.9927058451</v>
      </c>
      <c r="T134" s="69" t="n">
        <f aca="false">T33+T69+T102</f>
        <v>-55264.5713013132</v>
      </c>
      <c r="U134" s="69" t="n">
        <f aca="false">U33+U69+U102</f>
        <v>-59612.2532634641</v>
      </c>
      <c r="V134" s="69" t="n">
        <f aca="false">V33+V69+V102</f>
        <v>-59157.9453940256</v>
      </c>
      <c r="W134" s="69" t="n">
        <f aca="false">W33+W69+W102</f>
        <v>-57378.2160560338</v>
      </c>
      <c r="X134" s="69" t="n">
        <f aca="false">X33+X69+X102</f>
        <v>-57443.109015583</v>
      </c>
      <c r="Y134" s="69" t="n">
        <f aca="false">Y33+Y69+Y102</f>
        <v>-66172.4957448748</v>
      </c>
      <c r="Z134" s="69" t="n">
        <f aca="false">Z33+Z69+Z102</f>
        <v>-76662.7456187416</v>
      </c>
      <c r="AA134" s="69" t="n">
        <f aca="false">AA33+AA69+AA102</f>
        <v>-110760.545708337</v>
      </c>
      <c r="AB134" s="69" t="n">
        <f aca="false">AB33+AB69+AB102</f>
        <v>-99084.7978849723</v>
      </c>
    </row>
    <row r="135" customFormat="false" ht="15" hidden="false" customHeight="true" outlineLevel="0" collapsed="false">
      <c r="A135" s="70" t="s">
        <v>330</v>
      </c>
      <c r="B135" s="71" t="s">
        <v>712</v>
      </c>
      <c r="C135" s="72" t="n">
        <f aca="false">SUM(E135:P135)</f>
        <v>1100353.32082918</v>
      </c>
      <c r="D135" s="72" t="n">
        <f aca="false">SUM(Q135:AB135)</f>
        <v>1407698.15251438</v>
      </c>
      <c r="E135" s="72" t="n">
        <f aca="false">E34+E70+E103</f>
        <v>75770.3963706564</v>
      </c>
      <c r="F135" s="72" t="n">
        <f aca="false">F34+F70+F103</f>
        <v>69282.9692026898</v>
      </c>
      <c r="G135" s="72" t="n">
        <f aca="false">G34+G70+G103</f>
        <v>77869.4547148289</v>
      </c>
      <c r="H135" s="72" t="n">
        <f aca="false">H34+H70+H103</f>
        <v>82061.3000742115</v>
      </c>
      <c r="I135" s="72" t="n">
        <f aca="false">I34+I70+I103</f>
        <v>93027.3961608775</v>
      </c>
      <c r="J135" s="72" t="n">
        <f aca="false">J34+J70+J103</f>
        <v>83284.0827075812</v>
      </c>
      <c r="K135" s="72" t="n">
        <f aca="false">K34+K70+K103</f>
        <v>76151.7902854594</v>
      </c>
      <c r="L135" s="72" t="n">
        <f aca="false">L34+L70+L103</f>
        <v>77495.7641935484</v>
      </c>
      <c r="M135" s="72" t="n">
        <f aca="false">M34+M70+M103</f>
        <v>89883.580089607</v>
      </c>
      <c r="N135" s="72" t="n">
        <f aca="false">N34+N70+N103</f>
        <v>100478.598357345</v>
      </c>
      <c r="O135" s="72" t="n">
        <f aca="false">O34+O70+O103</f>
        <v>145174.668568968</v>
      </c>
      <c r="P135" s="72" t="n">
        <f aca="false">P34+P70+P103</f>
        <v>129873.32010341</v>
      </c>
      <c r="Q135" s="72" t="n">
        <f aca="false">Q34+Q70+Q103</f>
        <v>85883.8614583072</v>
      </c>
      <c r="R135" s="72" t="n">
        <f aca="false">R34+R70+R103</f>
        <v>81830.7538960099</v>
      </c>
      <c r="S135" s="72" t="n">
        <f aca="false">S34+S70+S103</f>
        <v>94300.1116735815</v>
      </c>
      <c r="T135" s="72" t="n">
        <f aca="false">T34+T70+T103</f>
        <v>99821.9414584429</v>
      </c>
      <c r="U135" s="72" t="n">
        <f aca="false">U34+U70+U103</f>
        <v>107763.899982904</v>
      </c>
      <c r="V135" s="72" t="n">
        <f aca="false">V34+V70+V103</f>
        <v>107030.203447461</v>
      </c>
      <c r="W135" s="72" t="n">
        <f aca="false">W34+W70+W103</f>
        <v>103894.535988691</v>
      </c>
      <c r="X135" s="72" t="n">
        <f aca="false">X34+X70+X103</f>
        <v>104095.709708897</v>
      </c>
      <c r="Y135" s="72" t="n">
        <f aca="false">Y34+Y70+Y103</f>
        <v>120010.266667804</v>
      </c>
      <c r="Z135" s="72" t="n">
        <f aca="false">Z34+Z70+Z103</f>
        <v>134475.151220379</v>
      </c>
      <c r="AA135" s="72" t="n">
        <f aca="false">AA34+AA70+AA103</f>
        <v>194465.83662953</v>
      </c>
      <c r="AB135" s="72" t="n">
        <f aca="false">AB34+AB70+AB103</f>
        <v>174125.880382374</v>
      </c>
    </row>
    <row r="136" customFormat="false" ht="15" hidden="false" customHeight="true" outlineLevel="0" collapsed="false">
      <c r="A136" s="28" t="s">
        <v>269</v>
      </c>
      <c r="B136" s="55"/>
      <c r="C136" s="59" t="n">
        <f aca="false">IF(C120=0,0,C125/C120)</f>
        <v>0.626831231475469</v>
      </c>
      <c r="D136" s="59" t="n">
        <f aca="false">IF(D120=0,0,D125/D120)</f>
        <v>0.62156311019541</v>
      </c>
      <c r="E136" s="58" t="n">
        <f aca="false">IF(E120=0,0,E125/E120)</f>
        <v>0.635932371046201</v>
      </c>
      <c r="F136" s="58" t="n">
        <f aca="false">IF(F120=0,0,F125/F120)</f>
        <v>0.633616795717055</v>
      </c>
      <c r="G136" s="58" t="n">
        <f aca="false">IF(G120=0,0,G125/G120)</f>
        <v>0.631177805035597</v>
      </c>
      <c r="H136" s="58" t="n">
        <f aca="false">IF(H120=0,0,H125/H120)</f>
        <v>0.629473613983191</v>
      </c>
      <c r="I136" s="58" t="n">
        <f aca="false">IF(I120=0,0,I125/I120)</f>
        <v>0.629768591833591</v>
      </c>
      <c r="J136" s="58" t="n">
        <f aca="false">IF(J120=0,0,J125/J120)</f>
        <v>0.628433411219274</v>
      </c>
      <c r="K136" s="58" t="n">
        <f aca="false">IF(K120=0,0,K125/K120)</f>
        <v>0.624913921532978</v>
      </c>
      <c r="L136" s="58" t="n">
        <f aca="false">IF(L120=0,0,L125/L120)</f>
        <v>0.623309877958046</v>
      </c>
      <c r="M136" s="58" t="n">
        <f aca="false">IF(M120=0,0,M125/M120)</f>
        <v>0.623976032207819</v>
      </c>
      <c r="N136" s="58" t="n">
        <f aca="false">IF(N120=0,0,N125/N120)</f>
        <v>0.623751256582423</v>
      </c>
      <c r="O136" s="58" t="n">
        <f aca="false">IF(O120=0,0,O125/O120)</f>
        <v>0.62352510966239</v>
      </c>
      <c r="P136" s="58" t="n">
        <f aca="false">IF(P120=0,0,P125/P120)</f>
        <v>0.623297572737946</v>
      </c>
      <c r="Q136" s="58" t="n">
        <f aca="false">IF(Q120=0,0,Q125/Q120)</f>
        <v>0.623068627029495</v>
      </c>
      <c r="R136" s="58" t="n">
        <f aca="false">IF(R120=0,0,R125/R120)</f>
        <v>0.622838253702662</v>
      </c>
      <c r="S136" s="58" t="n">
        <f aca="false">IF(S120=0,0,S125/S120)</f>
        <v>0.622606433884086</v>
      </c>
      <c r="T136" s="58" t="n">
        <f aca="false">IF(T120=0,0,T125/T120)</f>
        <v>0.62237314867795</v>
      </c>
      <c r="U136" s="58" t="n">
        <f aca="false">IF(U120=0,0,U125/U120)</f>
        <v>0.622138379183261</v>
      </c>
      <c r="V136" s="58" t="n">
        <f aca="false">IF(V120=0,0,V125/V120)</f>
        <v>0.621902106511877</v>
      </c>
      <c r="W136" s="58" t="n">
        <f aca="false">IF(W120=0,0,W125/W120)</f>
        <v>0.621664311807279</v>
      </c>
      <c r="X136" s="58" t="n">
        <f aca="false">IF(X120=0,0,X125/X120)</f>
        <v>0.621424976264076</v>
      </c>
      <c r="Y136" s="58" t="n">
        <f aca="false">IF(Y120=0,0,Y125/Y120)</f>
        <v>0.621184081148256</v>
      </c>
      <c r="Z136" s="58" t="n">
        <f aca="false">IF(Z120=0,0,Z125/Z120)</f>
        <v>0.620941607818145</v>
      </c>
      <c r="AA136" s="58" t="n">
        <f aca="false">IF(AA120=0,0,AA125/AA120)</f>
        <v>0.62069753774609</v>
      </c>
      <c r="AB136" s="58" t="n">
        <f aca="false">IF(AB120=0,0,AB125/AB120)</f>
        <v>0.620451852540831</v>
      </c>
    </row>
    <row r="137" customFormat="false" ht="15" hidden="false" customHeight="true" outlineLevel="0" collapsed="false">
      <c r="A137" s="28" t="s">
        <v>270</v>
      </c>
      <c r="B137" s="55"/>
      <c r="C137" s="59" t="n">
        <f aca="false">IF(C120=0,0,C129/C120)</f>
        <v>0.396401198840263</v>
      </c>
      <c r="D137" s="59" t="n">
        <f aca="false">IF(D120=0,0,D129/D120)</f>
        <v>0.390656009722127</v>
      </c>
      <c r="E137" s="58" t="n">
        <f aca="false">IF(E120=0,0,E129/E120)</f>
        <v>0.411899116127664</v>
      </c>
      <c r="F137" s="58" t="n">
        <f aca="false">IF(F120=0,0,F129/F120)</f>
        <v>0.412769175031829</v>
      </c>
      <c r="G137" s="58" t="n">
        <f aca="false">IF(G120=0,0,G129/G120)</f>
        <v>0.407864382944537</v>
      </c>
      <c r="H137" s="58" t="n">
        <f aca="false">IF(H120=0,0,H129/H120)</f>
        <v>0.400861393286201</v>
      </c>
      <c r="I137" s="58" t="n">
        <f aca="false">IF(I120=0,0,I129/I120)</f>
        <v>0.406451323679058</v>
      </c>
      <c r="J137" s="58" t="n">
        <f aca="false">IF(J120=0,0,J129/J120)</f>
        <v>0.394512194594819</v>
      </c>
      <c r="K137" s="58" t="n">
        <f aca="false">IF(K120=0,0,K129/K120)</f>
        <v>0.395411590527223</v>
      </c>
      <c r="L137" s="58" t="n">
        <f aca="false">IF(L120=0,0,L129/L120)</f>
        <v>0.395672849764574</v>
      </c>
      <c r="M137" s="58" t="n">
        <f aca="false">IF(M120=0,0,M129/M120)</f>
        <v>0.395750263345191</v>
      </c>
      <c r="N137" s="58" t="n">
        <f aca="false">IF(N120=0,0,N129/N120)</f>
        <v>0.386675968294446</v>
      </c>
      <c r="O137" s="58" t="n">
        <f aca="false">IF(O120=0,0,O129/O120)</f>
        <v>0.386532138684104</v>
      </c>
      <c r="P137" s="58" t="n">
        <f aca="false">IF(P120=0,0,P129/P120)</f>
        <v>0.386384579241522</v>
      </c>
      <c r="Q137" s="58" t="n">
        <f aca="false">IF(Q120=0,0,Q129/Q120)</f>
        <v>0.395047521799181</v>
      </c>
      <c r="R137" s="58" t="n">
        <f aca="false">IF(R120=0,0,R129/R120)</f>
        <v>0.394860948944244</v>
      </c>
      <c r="S137" s="58" t="n">
        <f aca="false">IF(S120=0,0,S129/S120)</f>
        <v>0.394669956127594</v>
      </c>
      <c r="T137" s="58" t="n">
        <f aca="false">IF(T120=0,0,T129/T120)</f>
        <v>0.394474512362535</v>
      </c>
      <c r="U137" s="58" t="n">
        <f aca="false">IF(U120=0,0,U129/U120)</f>
        <v>0.394274587622436</v>
      </c>
      <c r="V137" s="58" t="n">
        <f aca="false">IF(V120=0,0,V129/V120)</f>
        <v>0.394070152906821</v>
      </c>
      <c r="W137" s="58" t="n">
        <f aca="false">IF(W120=0,0,W129/W120)</f>
        <v>0.393861180308646</v>
      </c>
      <c r="X137" s="58" t="n">
        <f aca="false">IF(X120=0,0,X129/X120)</f>
        <v>0.39364764308266</v>
      </c>
      <c r="Y137" s="58" t="n">
        <f aca="false">IF(Y120=0,0,Y129/Y120)</f>
        <v>0.393429515714764</v>
      </c>
      <c r="Z137" s="58" t="n">
        <f aca="false">IF(Z120=0,0,Z129/Z120)</f>
        <v>0.384698003289052</v>
      </c>
      <c r="AA137" s="58" t="n">
        <f aca="false">IF(AA120=0,0,AA129/AA120)</f>
        <v>0.384507719772046</v>
      </c>
      <c r="AB137" s="58" t="n">
        <f aca="false">IF(AB120=0,0,AB129/AB120)</f>
        <v>0.384313420567044</v>
      </c>
    </row>
    <row r="138" customFormat="false" ht="15" hidden="false" customHeight="true" outlineLevel="0" collapsed="false">
      <c r="A138" s="28" t="s">
        <v>271</v>
      </c>
      <c r="B138" s="55"/>
      <c r="C138" s="59" t="n">
        <f aca="false">IF(C120=0,0,C135/C120)</f>
        <v>0.25526822336376</v>
      </c>
      <c r="D138" s="59" t="n">
        <f aca="false">IF(D120=0,0,D135/D120)</f>
        <v>0.250588894561467</v>
      </c>
      <c r="E138" s="58" t="n">
        <f aca="false">IF(E120=0,0,E135/E120)</f>
        <v>0.283196418106783</v>
      </c>
      <c r="F138" s="58" t="n">
        <f aca="false">IF(F120=0,0,F135/F120)</f>
        <v>0.276179619712046</v>
      </c>
      <c r="G138" s="58" t="n">
        <f aca="false">IF(G120=0,0,G135/G120)</f>
        <v>0.264522356882723</v>
      </c>
      <c r="H138" s="58" t="n">
        <f aca="false">IF(H120=0,0,H135/H120)</f>
        <v>0.263863905763414</v>
      </c>
      <c r="I138" s="58" t="n">
        <f aca="false">IF(I120=0,0,I135/I120)</f>
        <v>0.266632437680745</v>
      </c>
      <c r="J138" s="58" t="n">
        <f aca="false">IF(J120=0,0,J135/J120)</f>
        <v>0.250895590088411</v>
      </c>
      <c r="K138" s="58" t="n">
        <f aca="false">IF(K120=0,0,K135/K120)</f>
        <v>0.248406503478842</v>
      </c>
      <c r="L138" s="58" t="n">
        <f aca="false">IF(L120=0,0,L135/L120)</f>
        <v>0.246384308924512</v>
      </c>
      <c r="M138" s="58" t="n">
        <f aca="false">IF(M120=0,0,M135/M120)</f>
        <v>0.25418404909961</v>
      </c>
      <c r="N138" s="58" t="n">
        <f aca="false">IF(N120=0,0,N135/N120)</f>
        <v>0.245249454735575</v>
      </c>
      <c r="O138" s="58" t="n">
        <f aca="false">IF(O120=0,0,O135/O120)</f>
        <v>0.245246211972911</v>
      </c>
      <c r="P138" s="58" t="n">
        <f aca="false">IF(P120=0,0,P135/P120)</f>
        <v>0.245240126043642</v>
      </c>
      <c r="Q138" s="58" t="n">
        <f aca="false">IF(Q120=0,0,Q135/Q120)</f>
        <v>0.254045428749278</v>
      </c>
      <c r="R138" s="58" t="n">
        <f aca="false">IF(R120=0,0,R135/R120)</f>
        <v>0.25400210209036</v>
      </c>
      <c r="S138" s="58" t="n">
        <f aca="false">IF(S120=0,0,S135/S120)</f>
        <v>0.253955240355489</v>
      </c>
      <c r="T138" s="58" t="n">
        <f aca="false">IF(T120=0,0,T135/T120)</f>
        <v>0.25390481080002</v>
      </c>
      <c r="U138" s="58" t="n">
        <f aca="false">IF(U120=0,0,U135/U120)</f>
        <v>0.253850781023771</v>
      </c>
      <c r="V138" s="58" t="n">
        <f aca="false">IF(V120=0,0,V135/V120)</f>
        <v>0.253793119017282</v>
      </c>
      <c r="W138" s="58" t="n">
        <f aca="false">IF(W120=0,0,W135/W120)</f>
        <v>0.253731793209412</v>
      </c>
      <c r="X138" s="58" t="n">
        <f aca="false">IF(X120=0,0,X135/X120)</f>
        <v>0.253666772516236</v>
      </c>
      <c r="Y138" s="58" t="n">
        <f aca="false">IF(Y120=0,0,Y135/Y120)</f>
        <v>0.253598026391183</v>
      </c>
      <c r="Z138" s="58" t="n">
        <f aca="false">IF(Z120=0,0,Z135/Z120)</f>
        <v>0.245016754173181</v>
      </c>
      <c r="AA138" s="58" t="n">
        <f aca="false">IF(AA120=0,0,AA135/AA120)</f>
        <v>0.244977563352351</v>
      </c>
      <c r="AB138" s="58" t="n">
        <f aca="false">IF(AB120=0,0,AB135/AB120)</f>
        <v>0.24493520210625</v>
      </c>
    </row>
    <row r="139" customFormat="false" ht="15" hidden="false" customHeight="true" outlineLevel="0" collapsed="false">
      <c r="A139" s="28" t="s">
        <v>278</v>
      </c>
      <c r="B139" s="55"/>
      <c r="C139" s="59" t="n">
        <f aca="false">IF(C120=0,0,-C134/C120)</f>
        <v>0.141132975476503</v>
      </c>
      <c r="D139" s="59" t="n">
        <f aca="false">IF(D120=0,0,-D134/D120)</f>
        <v>0.140067115160659</v>
      </c>
      <c r="E139" s="58" t="n">
        <f aca="false">IF(E120=0,0,-E134/E120)</f>
        <v>0.128702698020881</v>
      </c>
      <c r="F139" s="58" t="n">
        <f aca="false">IF(F120=0,0,-F134/F120)</f>
        <v>0.136589555319783</v>
      </c>
      <c r="G139" s="58" t="n">
        <f aca="false">IF(G120=0,0,-G134/G120)</f>
        <v>0.143342026061814</v>
      </c>
      <c r="H139" s="58" t="n">
        <f aca="false">IF(H120=0,0,-H134/H120)</f>
        <v>0.136997487522788</v>
      </c>
      <c r="I139" s="58" t="n">
        <f aca="false">IF(I120=0,0,-I134/I120)</f>
        <v>0.139818885998313</v>
      </c>
      <c r="J139" s="58" t="n">
        <f aca="false">IF(J120=0,0,-J134/J120)</f>
        <v>0.143616604506408</v>
      </c>
      <c r="K139" s="58" t="n">
        <f aca="false">IF(K120=0,0,-K134/K120)</f>
        <v>0.147005087048381</v>
      </c>
      <c r="L139" s="58" t="n">
        <f aca="false">IF(L120=0,0,-L134/L120)</f>
        <v>0.149288540840062</v>
      </c>
      <c r="M139" s="58" t="n">
        <f aca="false">IF(M120=0,0,-M134/M120)</f>
        <v>0.141566214245581</v>
      </c>
      <c r="N139" s="58" t="n">
        <f aca="false">IF(N120=0,0,-N134/N120)</f>
        <v>0.14142651355887</v>
      </c>
      <c r="O139" s="58" t="n">
        <f aca="false">IF(O120=0,0,-O134/O120)</f>
        <v>0.141285926711194</v>
      </c>
      <c r="P139" s="58" t="n">
        <f aca="false">IF(P120=0,0,-P134/P120)</f>
        <v>0.14114445319788</v>
      </c>
      <c r="Q139" s="58" t="n">
        <f aca="false">IF(Q120=0,0,-Q134/Q120)</f>
        <v>0.141002093049903</v>
      </c>
      <c r="R139" s="58" t="n">
        <f aca="false">IF(R120=0,0,-R134/R120)</f>
        <v>0.140858846853884</v>
      </c>
      <c r="S139" s="58" t="n">
        <f aca="false">IF(S120=0,0,-S134/S120)</f>
        <v>0.140714715772105</v>
      </c>
      <c r="T139" s="58" t="n">
        <f aca="false">IF(T120=0,0,-T134/T120)</f>
        <v>0.140569701562515</v>
      </c>
      <c r="U139" s="58" t="n">
        <f aca="false">IF(U120=0,0,-U134/U120)</f>
        <v>0.140423806598665</v>
      </c>
      <c r="V139" s="58" t="n">
        <f aca="false">IF(V120=0,0,-V134/V120)</f>
        <v>0.140277033889539</v>
      </c>
      <c r="W139" s="58" t="n">
        <f aca="false">IF(W120=0,0,-W134/W120)</f>
        <v>0.140129387099234</v>
      </c>
      <c r="X139" s="58" t="n">
        <f aca="false">IF(X120=0,0,-X134/X120)</f>
        <v>0.139980870566424</v>
      </c>
      <c r="Y139" s="58" t="n">
        <f aca="false">IF(Y120=0,0,-Y134/Y120)</f>
        <v>0.139831489323581</v>
      </c>
      <c r="Z139" s="58" t="n">
        <f aca="false">IF(Z120=0,0,-Z134/Z120)</f>
        <v>0.139681249115872</v>
      </c>
      <c r="AA139" s="58" t="n">
        <f aca="false">IF(AA120=0,0,-AA134/AA120)</f>
        <v>0.139530156419695</v>
      </c>
      <c r="AB139" s="58" t="n">
        <f aca="false">IF(AB120=0,0,-AB134/AB120)</f>
        <v>0.139378218460794</v>
      </c>
    </row>
    <row r="140" customFormat="false" ht="15" hidden="false" customHeight="true" outlineLevel="0" collapsed="false">
      <c r="A140" s="28" t="s">
        <v>715</v>
      </c>
      <c r="B140" s="55"/>
      <c r="C140" s="63" t="n">
        <f aca="false">IF(C134=0,0,-C120/C134)</f>
        <v>7.08551631270954</v>
      </c>
      <c r="D140" s="63" t="n">
        <f aca="false">IF(D134=0,0,-D120/D134)</f>
        <v>7.13943454074129</v>
      </c>
      <c r="E140" s="116" t="n">
        <f aca="false">IF(E134=0,0,-E120/E134)</f>
        <v>7.76984488575179</v>
      </c>
      <c r="F140" s="116" t="n">
        <f aca="false">IF(F134=0,0,-F120/F134)</f>
        <v>7.32120400903863</v>
      </c>
      <c r="G140" s="116" t="n">
        <f aca="false">IF(G134=0,0,-G120/G134)</f>
        <v>6.9763210934996</v>
      </c>
      <c r="H140" s="116" t="n">
        <f aca="false">IF(H134=0,0,-H120/H134)</f>
        <v>7.29940393858438</v>
      </c>
      <c r="I140" s="116" t="n">
        <f aca="false">IF(I134=0,0,-I120/I134)</f>
        <v>7.15210962281639</v>
      </c>
      <c r="J140" s="116" t="n">
        <f aca="false">IF(J134=0,0,-J120/J134)</f>
        <v>6.96298316922945</v>
      </c>
      <c r="K140" s="116" t="n">
        <f aca="false">IF(K134=0,0,-K120/K134)</f>
        <v>6.80248568317156</v>
      </c>
      <c r="L140" s="116" t="n">
        <f aca="false">IF(L134=0,0,-L120/L134)</f>
        <v>6.6984377660395</v>
      </c>
      <c r="M140" s="116" t="n">
        <f aca="false">IF(M134=0,0,-M120/M134)</f>
        <v>7.06383232276918</v>
      </c>
      <c r="N140" s="116" t="n">
        <f aca="false">IF(N134=0,0,-N120/N134)</f>
        <v>7.07080995519089</v>
      </c>
      <c r="O140" s="116" t="n">
        <f aca="false">IF(O134=0,0,-O120/O134)</f>
        <v>7.07784577896514</v>
      </c>
      <c r="P140" s="116" t="n">
        <f aca="false">IF(P134=0,0,-P120/P134)</f>
        <v>7.08494012583006</v>
      </c>
      <c r="Q140" s="116" t="n">
        <f aca="false">IF(Q134=0,0,-Q120/Q134)</f>
        <v>7.09209330421842</v>
      </c>
      <c r="R140" s="116" t="n">
        <f aca="false">IF(R134=0,0,-R120/R134)</f>
        <v>7.09930559801702</v>
      </c>
      <c r="S140" s="116" t="n">
        <f aca="false">IF(S134=0,0,-S120/S134)</f>
        <v>7.10657726530573</v>
      </c>
      <c r="T140" s="116" t="n">
        <f aca="false">IF(T134=0,0,-T120/T134)</f>
        <v>7.11390853707741</v>
      </c>
      <c r="U140" s="116" t="n">
        <f aca="false">IF(U134=0,0,-U120/U134)</f>
        <v>7.12129961594069</v>
      </c>
      <c r="V140" s="116" t="n">
        <f aca="false">IF(V134=0,0,-V120/V134)</f>
        <v>7.12875067480717</v>
      </c>
      <c r="W140" s="116" t="n">
        <f aca="false">IF(W134=0,0,-W120/W134)</f>
        <v>7.13626185556526</v>
      </c>
      <c r="X140" s="116" t="n">
        <f aca="false">IF(X134=0,0,-X120/X134)</f>
        <v>7.14383326774264</v>
      </c>
      <c r="Y140" s="116" t="n">
        <f aca="false">IF(Y134=0,0,-Y120/Y134)</f>
        <v>7.15146498715979</v>
      </c>
      <c r="Z140" s="116" t="n">
        <f aca="false">IF(Z134=0,0,-Z120/Z134)</f>
        <v>7.15915705457685</v>
      </c>
      <c r="AA140" s="116" t="n">
        <f aca="false">IF(AA134=0,0,-AA120/AA134)</f>
        <v>7.16690947433674</v>
      </c>
      <c r="AB140" s="116" t="n">
        <f aca="false">IF(AB134=0,0,-AB120/AB134)</f>
        <v>7.17472221300699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5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716</v>
      </c>
    </row>
    <row r="3" customFormat="false" ht="15" hidden="false" customHeight="true" outlineLevel="0" collapsed="false">
      <c r="A3" s="25" t="s">
        <v>717</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718</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719</v>
      </c>
      <c r="B9" s="55" t="s">
        <v>68</v>
      </c>
      <c r="E9" s="60" t="n">
        <f aca="false">IF(Volume_Price!E52=0,0,Volume_Price!E47/Volume_Price!E52)</f>
        <v>0.423035512424016</v>
      </c>
      <c r="F9" s="60" t="n">
        <f aca="false">IF(Volume_Price!F52=0,0,Volume_Price!F47/Volume_Price!F52)</f>
        <v>0.44014640998955</v>
      </c>
      <c r="G9" s="60" t="n">
        <f aca="false">IF(Volume_Price!G52=0,0,Volume_Price!G47/Volume_Price!G52)</f>
        <v>0.414142008734124</v>
      </c>
      <c r="H9" s="60" t="n">
        <f aca="false">IF(Volume_Price!H52=0,0,Volume_Price!H47/Volume_Price!H52)</f>
        <v>0.419230902645462</v>
      </c>
      <c r="I9" s="60" t="n">
        <f aca="false">IF(Volume_Price!I52=0,0,Volume_Price!I47/Volume_Price!I52)</f>
        <v>0.447912347615095</v>
      </c>
      <c r="J9" s="60" t="n">
        <f aca="false">IF(Volume_Price!J52=0,0,Volume_Price!J47/Volume_Price!J52)</f>
        <v>0.426067455016149</v>
      </c>
      <c r="K9" s="60" t="n">
        <f aca="false">IF(Volume_Price!K52=0,0,Volume_Price!K47/Volume_Price!K52)</f>
        <v>0.416453819636701</v>
      </c>
      <c r="L9" s="60" t="n">
        <f aca="false">IF(Volume_Price!L52=0,0,Volume_Price!L47/Volume_Price!L52)</f>
        <v>0.424123014357053</v>
      </c>
      <c r="M9" s="60" t="n">
        <f aca="false">IF(Volume_Price!M52=0,0,Volume_Price!M47/Volume_Price!M52)</f>
        <v>0.428926576120127</v>
      </c>
      <c r="N9" s="60" t="n">
        <f aca="false">IF(Volume_Price!N52=0,0,Volume_Price!N47/Volume_Price!N52)</f>
        <v>0.428926576120127</v>
      </c>
      <c r="O9" s="60" t="n">
        <f aca="false">IF(Volume_Price!O52=0,0,Volume_Price!O47/Volume_Price!O52)</f>
        <v>0.428926576120127</v>
      </c>
      <c r="P9" s="60" t="n">
        <f aca="false">IF(Volume_Price!P52=0,0,Volume_Price!P47/Volume_Price!P52)</f>
        <v>0.428926576120127</v>
      </c>
      <c r="Q9" s="60" t="n">
        <f aca="false">IF(Volume_Price!Q52=0,0,Volume_Price!Q47/Volume_Price!Q52)</f>
        <v>0.428926576120127</v>
      </c>
      <c r="R9" s="60" t="n">
        <f aca="false">IF(Volume_Price!R52=0,0,Volume_Price!R47/Volume_Price!R52)</f>
        <v>0.428926576120127</v>
      </c>
      <c r="S9" s="60" t="n">
        <f aca="false">IF(Volume_Price!S52=0,0,Volume_Price!S47/Volume_Price!S52)</f>
        <v>0.428926576120127</v>
      </c>
      <c r="T9" s="60" t="n">
        <f aca="false">IF(Volume_Price!T52=0,0,Volume_Price!T47/Volume_Price!T52)</f>
        <v>0.428926576120127</v>
      </c>
      <c r="U9" s="60" t="n">
        <f aca="false">IF(Volume_Price!U52=0,0,Volume_Price!U47/Volume_Price!U52)</f>
        <v>0.428926576120127</v>
      </c>
      <c r="V9" s="60" t="n">
        <f aca="false">IF(Volume_Price!V52=0,0,Volume_Price!V47/Volume_Price!V52)</f>
        <v>0.428926576120127</v>
      </c>
      <c r="W9" s="60" t="n">
        <f aca="false">IF(Volume_Price!W52=0,0,Volume_Price!W47/Volume_Price!W52)</f>
        <v>0.428926576120127</v>
      </c>
      <c r="X9" s="60" t="n">
        <f aca="false">IF(Volume_Price!X52=0,0,Volume_Price!X47/Volume_Price!X52)</f>
        <v>0.428926576120127</v>
      </c>
      <c r="Y9" s="60" t="n">
        <f aca="false">IF(Volume_Price!Y52=0,0,Volume_Price!Y47/Volume_Price!Y52)</f>
        <v>0.428926576120127</v>
      </c>
      <c r="Z9" s="60" t="n">
        <f aca="false">IF(Volume_Price!Z52=0,0,Volume_Price!Z47/Volume_Price!Z52)</f>
        <v>0.428926576120127</v>
      </c>
      <c r="AA9" s="60" t="n">
        <f aca="false">IF(Volume_Price!AA52=0,0,Volume_Price!AA47/Volume_Price!AA52)</f>
        <v>0.428926576120127</v>
      </c>
      <c r="AB9" s="60" t="n">
        <f aca="false">IF(Volume_Price!AB52=0,0,Volume_Price!AB47/Volume_Price!AB52)</f>
        <v>0.428926576120127</v>
      </c>
    </row>
    <row r="10" customFormat="false" ht="15" hidden="false" customHeight="true" outlineLevel="0" collapsed="false">
      <c r="A10" s="28" t="s">
        <v>720</v>
      </c>
      <c r="B10" s="55" t="s">
        <v>68</v>
      </c>
      <c r="E10" s="60" t="n">
        <f aca="false">IF(Volume_Price!E52=0,0,Volume_Price!E48/Volume_Price!E52)</f>
        <v>0.17539227187089</v>
      </c>
      <c r="F10" s="60" t="n">
        <f aca="false">IF(Volume_Price!F52=0,0,Volume_Price!F48/Volume_Price!F52)</f>
        <v>0.159612684736118</v>
      </c>
      <c r="G10" s="60" t="n">
        <f aca="false">IF(Volume_Price!G52=0,0,Volume_Price!G48/Volume_Price!G52)</f>
        <v>0.165892921789999</v>
      </c>
      <c r="H10" s="60" t="n">
        <f aca="false">IF(Volume_Price!H52=0,0,Volume_Price!H48/Volume_Price!H52)</f>
        <v>0.168880698640051</v>
      </c>
      <c r="I10" s="60" t="n">
        <f aca="false">IF(Volume_Price!I52=0,0,Volume_Price!I48/Volume_Price!I52)</f>
        <v>0.158974152750007</v>
      </c>
      <c r="J10" s="60" t="n">
        <f aca="false">IF(Volume_Price!J52=0,0,Volume_Price!J48/Volume_Price!J52)</f>
        <v>0.172255478844369</v>
      </c>
      <c r="K10" s="60" t="n">
        <f aca="false">IF(Volume_Price!K52=0,0,Volume_Price!K48/Volume_Price!K52)</f>
        <v>0.163128390593392</v>
      </c>
      <c r="L10" s="60" t="n">
        <f aca="false">IF(Volume_Price!L52=0,0,Volume_Price!L48/Volume_Price!L52)</f>
        <v>0.172673047917215</v>
      </c>
      <c r="M10" s="60" t="n">
        <f aca="false">IF(Volume_Price!M52=0,0,Volume_Price!M48/Volume_Price!M52)</f>
        <v>0.170191989462106</v>
      </c>
      <c r="N10" s="60" t="n">
        <f aca="false">IF(Volume_Price!N52=0,0,Volume_Price!N48/Volume_Price!N52)</f>
        <v>0.170191989462106</v>
      </c>
      <c r="O10" s="60" t="n">
        <f aca="false">IF(Volume_Price!O52=0,0,Volume_Price!O48/Volume_Price!O52)</f>
        <v>0.170191989462106</v>
      </c>
      <c r="P10" s="60" t="n">
        <f aca="false">IF(Volume_Price!P52=0,0,Volume_Price!P48/Volume_Price!P52)</f>
        <v>0.170191989462106</v>
      </c>
      <c r="Q10" s="60" t="n">
        <f aca="false">IF(Volume_Price!Q52=0,0,Volume_Price!Q48/Volume_Price!Q52)</f>
        <v>0.170191989462106</v>
      </c>
      <c r="R10" s="60" t="n">
        <f aca="false">IF(Volume_Price!R52=0,0,Volume_Price!R48/Volume_Price!R52)</f>
        <v>0.170191989462106</v>
      </c>
      <c r="S10" s="60" t="n">
        <f aca="false">IF(Volume_Price!S52=0,0,Volume_Price!S48/Volume_Price!S52)</f>
        <v>0.170191989462106</v>
      </c>
      <c r="T10" s="60" t="n">
        <f aca="false">IF(Volume_Price!T52=0,0,Volume_Price!T48/Volume_Price!T52)</f>
        <v>0.170191989462106</v>
      </c>
      <c r="U10" s="60" t="n">
        <f aca="false">IF(Volume_Price!U52=0,0,Volume_Price!U48/Volume_Price!U52)</f>
        <v>0.170191989462106</v>
      </c>
      <c r="V10" s="60" t="n">
        <f aca="false">IF(Volume_Price!V52=0,0,Volume_Price!V48/Volume_Price!V52)</f>
        <v>0.170191989462106</v>
      </c>
      <c r="W10" s="60" t="n">
        <f aca="false">IF(Volume_Price!W52=0,0,Volume_Price!W48/Volume_Price!W52)</f>
        <v>0.170191989462106</v>
      </c>
      <c r="X10" s="60" t="n">
        <f aca="false">IF(Volume_Price!X52=0,0,Volume_Price!X48/Volume_Price!X52)</f>
        <v>0.170191989462106</v>
      </c>
      <c r="Y10" s="60" t="n">
        <f aca="false">IF(Volume_Price!Y52=0,0,Volume_Price!Y48/Volume_Price!Y52)</f>
        <v>0.170191989462106</v>
      </c>
      <c r="Z10" s="60" t="n">
        <f aca="false">IF(Volume_Price!Z52=0,0,Volume_Price!Z48/Volume_Price!Z52)</f>
        <v>0.170191989462106</v>
      </c>
      <c r="AA10" s="60" t="n">
        <f aca="false">IF(Volume_Price!AA52=0,0,Volume_Price!AA48/Volume_Price!AA52)</f>
        <v>0.170191989462106</v>
      </c>
      <c r="AB10" s="60" t="n">
        <f aca="false">IF(Volume_Price!AB52=0,0,Volume_Price!AB48/Volume_Price!AB52)</f>
        <v>0.170191989462106</v>
      </c>
    </row>
    <row r="11" customFormat="false" ht="15" hidden="false" customHeight="true" outlineLevel="0" collapsed="false">
      <c r="A11" s="28" t="s">
        <v>721</v>
      </c>
      <c r="B11" s="55" t="s">
        <v>68</v>
      </c>
      <c r="E11" s="60" t="n">
        <f aca="false">IF(Volume_Price!E52=0,0,Volume_Price!E49/Volume_Price!E52)</f>
        <v>0.205319398528314</v>
      </c>
      <c r="F11" s="60" t="n">
        <f aca="false">IF(Volume_Price!F52=0,0,Volume_Price!F49/Volume_Price!F52)</f>
        <v>0.204279512345724</v>
      </c>
      <c r="G11" s="60" t="n">
        <f aca="false">IF(Volume_Price!G52=0,0,Volume_Price!G49/Volume_Price!G52)</f>
        <v>0.217532054181887</v>
      </c>
      <c r="H11" s="60" t="n">
        <f aca="false">IF(Volume_Price!H52=0,0,Volume_Price!H49/Volume_Price!H52)</f>
        <v>0.21410006429058</v>
      </c>
      <c r="I11" s="60" t="n">
        <f aca="false">IF(Volume_Price!I52=0,0,Volume_Price!I49/Volume_Price!I52)</f>
        <v>0.201619627903389</v>
      </c>
      <c r="J11" s="60" t="n">
        <f aca="false">IF(Volume_Price!J52=0,0,Volume_Price!J49/Volume_Price!J52)</f>
        <v>0.203435540993542</v>
      </c>
      <c r="K11" s="60" t="n">
        <f aca="false">IF(Volume_Price!K52=0,0,Volume_Price!K49/Volume_Price!K52)</f>
        <v>0.216713185333496</v>
      </c>
      <c r="L11" s="60" t="n">
        <f aca="false">IF(Volume_Price!L52=0,0,Volume_Price!L49/Volume_Price!L52)</f>
        <v>0.202955059822321</v>
      </c>
      <c r="M11" s="60" t="n">
        <f aca="false">IF(Volume_Price!M52=0,0,Volume_Price!M49/Volume_Price!M52)</f>
        <v>0.201736679977282</v>
      </c>
      <c r="N11" s="60" t="n">
        <f aca="false">IF(Volume_Price!N52=0,0,Volume_Price!N49/Volume_Price!N52)</f>
        <v>0.201736679977282</v>
      </c>
      <c r="O11" s="60" t="n">
        <f aca="false">IF(Volume_Price!O52=0,0,Volume_Price!O49/Volume_Price!O52)</f>
        <v>0.201736679977282</v>
      </c>
      <c r="P11" s="60" t="n">
        <f aca="false">IF(Volume_Price!P52=0,0,Volume_Price!P49/Volume_Price!P52)</f>
        <v>0.201736679977282</v>
      </c>
      <c r="Q11" s="60" t="n">
        <f aca="false">IF(Volume_Price!Q52=0,0,Volume_Price!Q49/Volume_Price!Q52)</f>
        <v>0.201736679977282</v>
      </c>
      <c r="R11" s="60" t="n">
        <f aca="false">IF(Volume_Price!R52=0,0,Volume_Price!R49/Volume_Price!R52)</f>
        <v>0.201736679977282</v>
      </c>
      <c r="S11" s="60" t="n">
        <f aca="false">IF(Volume_Price!S52=0,0,Volume_Price!S49/Volume_Price!S52)</f>
        <v>0.201736679977282</v>
      </c>
      <c r="T11" s="60" t="n">
        <f aca="false">IF(Volume_Price!T52=0,0,Volume_Price!T49/Volume_Price!T52)</f>
        <v>0.201736679977282</v>
      </c>
      <c r="U11" s="60" t="n">
        <f aca="false">IF(Volume_Price!U52=0,0,Volume_Price!U49/Volume_Price!U52)</f>
        <v>0.201736679977282</v>
      </c>
      <c r="V11" s="60" t="n">
        <f aca="false">IF(Volume_Price!V52=0,0,Volume_Price!V49/Volume_Price!V52)</f>
        <v>0.201736679977282</v>
      </c>
      <c r="W11" s="60" t="n">
        <f aca="false">IF(Volume_Price!W52=0,0,Volume_Price!W49/Volume_Price!W52)</f>
        <v>0.201736679977282</v>
      </c>
      <c r="X11" s="60" t="n">
        <f aca="false">IF(Volume_Price!X52=0,0,Volume_Price!X49/Volume_Price!X52)</f>
        <v>0.201736679977282</v>
      </c>
      <c r="Y11" s="60" t="n">
        <f aca="false">IF(Volume_Price!Y52=0,0,Volume_Price!Y49/Volume_Price!Y52)</f>
        <v>0.201736679977282</v>
      </c>
      <c r="Z11" s="60" t="n">
        <f aca="false">IF(Volume_Price!Z52=0,0,Volume_Price!Z49/Volume_Price!Z52)</f>
        <v>0.201736679977282</v>
      </c>
      <c r="AA11" s="60" t="n">
        <f aca="false">IF(Volume_Price!AA52=0,0,Volume_Price!AA49/Volume_Price!AA52)</f>
        <v>0.201736679977282</v>
      </c>
      <c r="AB11" s="60" t="n">
        <f aca="false">IF(Volume_Price!AB52=0,0,Volume_Price!AB49/Volume_Price!AB52)</f>
        <v>0.201736679977282</v>
      </c>
    </row>
    <row r="12" customFormat="false" ht="15" hidden="false" customHeight="true" outlineLevel="0" collapsed="false">
      <c r="A12" s="28" t="s">
        <v>722</v>
      </c>
      <c r="B12" s="55" t="s">
        <v>68</v>
      </c>
      <c r="E12" s="60" t="n">
        <f aca="false">IF(Volume_Price!E52=0,0,Volume_Price!E50/Volume_Price!E52)</f>
        <v>0.11996317230102</v>
      </c>
      <c r="F12" s="60" t="n">
        <f aca="false">IF(Volume_Price!F52=0,0,Volume_Price!F50/Volume_Price!F52)</f>
        <v>0.120572000821969</v>
      </c>
      <c r="G12" s="60" t="n">
        <f aca="false">IF(Volume_Price!G52=0,0,Volume_Price!G50/Volume_Price!G52)</f>
        <v>0.124047664708783</v>
      </c>
      <c r="H12" s="60" t="n">
        <f aca="false">IF(Volume_Price!H52=0,0,Volume_Price!H50/Volume_Price!H52)</f>
        <v>0.11541794036654</v>
      </c>
      <c r="I12" s="60" t="n">
        <f aca="false">IF(Volume_Price!I52=0,0,Volume_Price!I50/Volume_Price!I52)</f>
        <v>0.118085481499922</v>
      </c>
      <c r="J12" s="60" t="n">
        <f aca="false">IF(Volume_Price!J52=0,0,Volume_Price!J50/Volume_Price!J52)</f>
        <v>0.119721042579322</v>
      </c>
      <c r="K12" s="60" t="n">
        <f aca="false">IF(Volume_Price!K52=0,0,Volume_Price!K50/Volume_Price!K52)</f>
        <v>0.122455701067036</v>
      </c>
      <c r="L12" s="60" t="n">
        <f aca="false">IF(Volume_Price!L52=0,0,Volume_Price!L50/Volume_Price!L52)</f>
        <v>0.123215565827384</v>
      </c>
      <c r="M12" s="60" t="n">
        <f aca="false">IF(Volume_Price!M52=0,0,Volume_Price!M50/Volume_Price!M52)</f>
        <v>0.12064395006557</v>
      </c>
      <c r="N12" s="60" t="n">
        <f aca="false">IF(Volume_Price!N52=0,0,Volume_Price!N50/Volume_Price!N52)</f>
        <v>0.12064395006557</v>
      </c>
      <c r="O12" s="60" t="n">
        <f aca="false">IF(Volume_Price!O52=0,0,Volume_Price!O50/Volume_Price!O52)</f>
        <v>0.12064395006557</v>
      </c>
      <c r="P12" s="60" t="n">
        <f aca="false">IF(Volume_Price!P52=0,0,Volume_Price!P50/Volume_Price!P52)</f>
        <v>0.12064395006557</v>
      </c>
      <c r="Q12" s="60" t="n">
        <f aca="false">IF(Volume_Price!Q52=0,0,Volume_Price!Q50/Volume_Price!Q52)</f>
        <v>0.12064395006557</v>
      </c>
      <c r="R12" s="60" t="n">
        <f aca="false">IF(Volume_Price!R52=0,0,Volume_Price!R50/Volume_Price!R52)</f>
        <v>0.12064395006557</v>
      </c>
      <c r="S12" s="60" t="n">
        <f aca="false">IF(Volume_Price!S52=0,0,Volume_Price!S50/Volume_Price!S52)</f>
        <v>0.12064395006557</v>
      </c>
      <c r="T12" s="60" t="n">
        <f aca="false">IF(Volume_Price!T52=0,0,Volume_Price!T50/Volume_Price!T52)</f>
        <v>0.12064395006557</v>
      </c>
      <c r="U12" s="60" t="n">
        <f aca="false">IF(Volume_Price!U52=0,0,Volume_Price!U50/Volume_Price!U52)</f>
        <v>0.12064395006557</v>
      </c>
      <c r="V12" s="60" t="n">
        <f aca="false">IF(Volume_Price!V52=0,0,Volume_Price!V50/Volume_Price!V52)</f>
        <v>0.12064395006557</v>
      </c>
      <c r="W12" s="60" t="n">
        <f aca="false">IF(Volume_Price!W52=0,0,Volume_Price!W50/Volume_Price!W52)</f>
        <v>0.12064395006557</v>
      </c>
      <c r="X12" s="60" t="n">
        <f aca="false">IF(Volume_Price!X52=0,0,Volume_Price!X50/Volume_Price!X52)</f>
        <v>0.12064395006557</v>
      </c>
      <c r="Y12" s="60" t="n">
        <f aca="false">IF(Volume_Price!Y52=0,0,Volume_Price!Y50/Volume_Price!Y52)</f>
        <v>0.12064395006557</v>
      </c>
      <c r="Z12" s="60" t="n">
        <f aca="false">IF(Volume_Price!Z52=0,0,Volume_Price!Z50/Volume_Price!Z52)</f>
        <v>0.12064395006557</v>
      </c>
      <c r="AA12" s="60" t="n">
        <f aca="false">IF(Volume_Price!AA52=0,0,Volume_Price!AA50/Volume_Price!AA52)</f>
        <v>0.12064395006557</v>
      </c>
      <c r="AB12" s="60" t="n">
        <f aca="false">IF(Volume_Price!AB52=0,0,Volume_Price!AB50/Volume_Price!AB52)</f>
        <v>0.12064395006557</v>
      </c>
    </row>
    <row r="13" customFormat="false" ht="15" hidden="false" customHeight="true" outlineLevel="0" collapsed="false">
      <c r="A13" s="28" t="s">
        <v>723</v>
      </c>
      <c r="B13" s="55" t="s">
        <v>68</v>
      </c>
      <c r="E13" s="60" t="n">
        <f aca="false">IF(Volume_Price!E52=0,0,Volume_Price!E51/Volume_Price!E52)</f>
        <v>0.0762896448757598</v>
      </c>
      <c r="F13" s="60" t="n">
        <f aca="false">IF(Volume_Price!F52=0,0,Volume_Price!F51/Volume_Price!F52)</f>
        <v>0.0753893921066398</v>
      </c>
      <c r="G13" s="60" t="n">
        <f aca="false">IF(Volume_Price!G52=0,0,Volume_Price!G51/Volume_Price!G52)</f>
        <v>0.0783853505852058</v>
      </c>
      <c r="H13" s="60" t="n">
        <f aca="false">IF(Volume_Price!H52=0,0,Volume_Price!H51/Volume_Price!H52)</f>
        <v>0.0823703940573672</v>
      </c>
      <c r="I13" s="60" t="n">
        <f aca="false">IF(Volume_Price!I52=0,0,Volume_Price!I51/Volume_Price!I52)</f>
        <v>0.0734083902315874</v>
      </c>
      <c r="J13" s="60" t="n">
        <f aca="false">IF(Volume_Price!J52=0,0,Volume_Price!J51/Volume_Price!J52)</f>
        <v>0.0785204825666181</v>
      </c>
      <c r="K13" s="60" t="n">
        <f aca="false">IF(Volume_Price!K52=0,0,Volume_Price!K51/Volume_Price!K52)</f>
        <v>0.0812489033693746</v>
      </c>
      <c r="L13" s="60" t="n">
        <f aca="false">IF(Volume_Price!L52=0,0,Volume_Price!L51/Volume_Price!L52)</f>
        <v>0.0770333120760271</v>
      </c>
      <c r="M13" s="60" t="n">
        <f aca="false">IF(Volume_Price!M52=0,0,Volume_Price!M51/Volume_Price!M52)</f>
        <v>0.0785008043749152</v>
      </c>
      <c r="N13" s="60" t="n">
        <f aca="false">IF(Volume_Price!N52=0,0,Volume_Price!N51/Volume_Price!N52)</f>
        <v>0.0785008043749152</v>
      </c>
      <c r="O13" s="60" t="n">
        <f aca="false">IF(Volume_Price!O52=0,0,Volume_Price!O51/Volume_Price!O52)</f>
        <v>0.0785008043749152</v>
      </c>
      <c r="P13" s="60" t="n">
        <f aca="false">IF(Volume_Price!P52=0,0,Volume_Price!P51/Volume_Price!P52)</f>
        <v>0.0785008043749152</v>
      </c>
      <c r="Q13" s="60" t="n">
        <f aca="false">IF(Volume_Price!Q52=0,0,Volume_Price!Q51/Volume_Price!Q52)</f>
        <v>0.0785008043749152</v>
      </c>
      <c r="R13" s="60" t="n">
        <f aca="false">IF(Volume_Price!R52=0,0,Volume_Price!R51/Volume_Price!R52)</f>
        <v>0.0785008043749152</v>
      </c>
      <c r="S13" s="60" t="n">
        <f aca="false">IF(Volume_Price!S52=0,0,Volume_Price!S51/Volume_Price!S52)</f>
        <v>0.0785008043749152</v>
      </c>
      <c r="T13" s="60" t="n">
        <f aca="false">IF(Volume_Price!T52=0,0,Volume_Price!T51/Volume_Price!T52)</f>
        <v>0.0785008043749152</v>
      </c>
      <c r="U13" s="60" t="n">
        <f aca="false">IF(Volume_Price!U52=0,0,Volume_Price!U51/Volume_Price!U52)</f>
        <v>0.0785008043749152</v>
      </c>
      <c r="V13" s="60" t="n">
        <f aca="false">IF(Volume_Price!V52=0,0,Volume_Price!V51/Volume_Price!V52)</f>
        <v>0.0785008043749152</v>
      </c>
      <c r="W13" s="60" t="n">
        <f aca="false">IF(Volume_Price!W52=0,0,Volume_Price!W51/Volume_Price!W52)</f>
        <v>0.0785008043749152</v>
      </c>
      <c r="X13" s="60" t="n">
        <f aca="false">IF(Volume_Price!X52=0,0,Volume_Price!X51/Volume_Price!X52)</f>
        <v>0.0785008043749152</v>
      </c>
      <c r="Y13" s="60" t="n">
        <f aca="false">IF(Volume_Price!Y52=0,0,Volume_Price!Y51/Volume_Price!Y52)</f>
        <v>0.0785008043749152</v>
      </c>
      <c r="Z13" s="60" t="n">
        <f aca="false">IF(Volume_Price!Z52=0,0,Volume_Price!Z51/Volume_Price!Z52)</f>
        <v>0.0785008043749152</v>
      </c>
      <c r="AA13" s="60" t="n">
        <f aca="false">IF(Volume_Price!AA52=0,0,Volume_Price!AA51/Volume_Price!AA52)</f>
        <v>0.0785008043749152</v>
      </c>
      <c r="AB13" s="60" t="n">
        <f aca="false">IF(Volume_Price!AB52=0,0,Volume_Price!AB51/Volume_Price!AB52)</f>
        <v>0.0785008043749152</v>
      </c>
    </row>
    <row r="14" customFormat="false" ht="15" hidden="false" customHeight="true" outlineLevel="0" collapsed="false">
      <c r="A14" s="28" t="s">
        <v>724</v>
      </c>
      <c r="B14" s="55" t="s">
        <v>68</v>
      </c>
      <c r="E14" s="60" t="n">
        <f aca="false">IF(Volume_Price!E92=0,0,Volume_Price!E87/Volume_Price!E92)</f>
        <v>0.355864263060327</v>
      </c>
      <c r="F14" s="60" t="n">
        <f aca="false">IF(Volume_Price!F92=0,0,Volume_Price!F87/Volume_Price!F92)</f>
        <v>0.361006870184504</v>
      </c>
      <c r="G14" s="60" t="n">
        <f aca="false">IF(Volume_Price!G92=0,0,Volume_Price!G87/Volume_Price!G92)</f>
        <v>0.371718722172644</v>
      </c>
      <c r="H14" s="60" t="n">
        <f aca="false">IF(Volume_Price!H92=0,0,Volume_Price!H87/Volume_Price!H92)</f>
        <v>0.34961783197744</v>
      </c>
      <c r="I14" s="60" t="n">
        <f aca="false">IF(Volume_Price!I92=0,0,Volume_Price!I87/Volume_Price!I92)</f>
        <v>0.356632965714807</v>
      </c>
      <c r="J14" s="60" t="n">
        <f aca="false">IF(Volume_Price!J92=0,0,Volume_Price!J87/Volume_Price!J92)</f>
        <v>0.372850055210714</v>
      </c>
      <c r="K14" s="60" t="n">
        <f aca="false">IF(Volume_Price!K92=0,0,Volume_Price!K87/Volume_Price!K92)</f>
        <v>0.341236949445304</v>
      </c>
      <c r="L14" s="60" t="n">
        <f aca="false">IF(Volume_Price!L92=0,0,Volume_Price!L87/Volume_Price!L92)</f>
        <v>0.340943215555085</v>
      </c>
      <c r="M14" s="60" t="n">
        <f aca="false">IF(Volume_Price!M92=0,0,Volume_Price!M87/Volume_Price!M92)</f>
        <v>0.351515986025094</v>
      </c>
      <c r="N14" s="60" t="n">
        <f aca="false">IF(Volume_Price!N92=0,0,Volume_Price!N87/Volume_Price!N92)</f>
        <v>0.351515986025094</v>
      </c>
      <c r="O14" s="60" t="n">
        <f aca="false">IF(Volume_Price!O92=0,0,Volume_Price!O87/Volume_Price!O92)</f>
        <v>0.351515986025094</v>
      </c>
      <c r="P14" s="60" t="n">
        <f aca="false">IF(Volume_Price!P92=0,0,Volume_Price!P87/Volume_Price!P92)</f>
        <v>0.351515986025094</v>
      </c>
      <c r="Q14" s="60" t="n">
        <f aca="false">IF(Volume_Price!Q92=0,0,Volume_Price!Q87/Volume_Price!Q92)</f>
        <v>0.351515986025094</v>
      </c>
      <c r="R14" s="60" t="n">
        <f aca="false">IF(Volume_Price!R92=0,0,Volume_Price!R87/Volume_Price!R92)</f>
        <v>0.351515986025094</v>
      </c>
      <c r="S14" s="60" t="n">
        <f aca="false">IF(Volume_Price!S92=0,0,Volume_Price!S87/Volume_Price!S92)</f>
        <v>0.351515986025094</v>
      </c>
      <c r="T14" s="60" t="n">
        <f aca="false">IF(Volume_Price!T92=0,0,Volume_Price!T87/Volume_Price!T92)</f>
        <v>0.351515986025094</v>
      </c>
      <c r="U14" s="60" t="n">
        <f aca="false">IF(Volume_Price!U92=0,0,Volume_Price!U87/Volume_Price!U92)</f>
        <v>0.351515986025094</v>
      </c>
      <c r="V14" s="60" t="n">
        <f aca="false">IF(Volume_Price!V92=0,0,Volume_Price!V87/Volume_Price!V92)</f>
        <v>0.351515986025094</v>
      </c>
      <c r="W14" s="60" t="n">
        <f aca="false">IF(Volume_Price!W92=0,0,Volume_Price!W87/Volume_Price!W92)</f>
        <v>0.351515986025094</v>
      </c>
      <c r="X14" s="60" t="n">
        <f aca="false">IF(Volume_Price!X92=0,0,Volume_Price!X87/Volume_Price!X92)</f>
        <v>0.351515986025094</v>
      </c>
      <c r="Y14" s="60" t="n">
        <f aca="false">IF(Volume_Price!Y92=0,0,Volume_Price!Y87/Volume_Price!Y92)</f>
        <v>0.351515986025094</v>
      </c>
      <c r="Z14" s="60" t="n">
        <f aca="false">IF(Volume_Price!Z92=0,0,Volume_Price!Z87/Volume_Price!Z92)</f>
        <v>0.351515986025094</v>
      </c>
      <c r="AA14" s="60" t="n">
        <f aca="false">IF(Volume_Price!AA92=0,0,Volume_Price!AA87/Volume_Price!AA92)</f>
        <v>0.351515986025094</v>
      </c>
      <c r="AB14" s="60" t="n">
        <f aca="false">IF(Volume_Price!AB92=0,0,Volume_Price!AB87/Volume_Price!AB92)</f>
        <v>0.351515986025094</v>
      </c>
    </row>
    <row r="15" customFormat="false" ht="15" hidden="false" customHeight="true" outlineLevel="0" collapsed="false">
      <c r="A15" s="28" t="s">
        <v>725</v>
      </c>
      <c r="B15" s="55" t="s">
        <v>68</v>
      </c>
      <c r="E15" s="60" t="n">
        <f aca="false">IF(Volume_Price!E92=0,0,Volume_Price!E88/Volume_Price!E92)</f>
        <v>0.237059078301367</v>
      </c>
      <c r="F15" s="60" t="n">
        <f aca="false">IF(Volume_Price!F92=0,0,Volume_Price!F88/Volume_Price!F92)</f>
        <v>0.239844066304281</v>
      </c>
      <c r="G15" s="60" t="n">
        <f aca="false">IF(Volume_Price!G92=0,0,Volume_Price!G88/Volume_Price!G92)</f>
        <v>0.227450828610416</v>
      </c>
      <c r="H15" s="60" t="n">
        <f aca="false">IF(Volume_Price!H92=0,0,Volume_Price!H88/Volume_Price!H92)</f>
        <v>0.247227459204677</v>
      </c>
      <c r="I15" s="60" t="n">
        <f aca="false">IF(Volume_Price!I92=0,0,Volume_Price!I88/Volume_Price!I92)</f>
        <v>0.243181191665161</v>
      </c>
      <c r="J15" s="60" t="n">
        <f aca="false">IF(Volume_Price!J92=0,0,Volume_Price!J88/Volume_Price!J92)</f>
        <v>0.239136480073398</v>
      </c>
      <c r="K15" s="60" t="n">
        <f aca="false">IF(Volume_Price!K92=0,0,Volume_Price!K88/Volume_Price!K92)</f>
        <v>0.249568445474973</v>
      </c>
      <c r="L15" s="60" t="n">
        <f aca="false">IF(Volume_Price!L92=0,0,Volume_Price!L88/Volume_Price!L92)</f>
        <v>0.241368984074245</v>
      </c>
      <c r="M15" s="60" t="n">
        <f aca="false">IF(Volume_Price!M92=0,0,Volume_Price!M88/Volume_Price!M92)</f>
        <v>0.244673864721392</v>
      </c>
      <c r="N15" s="60" t="n">
        <f aca="false">IF(Volume_Price!N92=0,0,Volume_Price!N88/Volume_Price!N92)</f>
        <v>0.244673864721392</v>
      </c>
      <c r="O15" s="60" t="n">
        <f aca="false">IF(Volume_Price!O92=0,0,Volume_Price!O88/Volume_Price!O92)</f>
        <v>0.244673864721392</v>
      </c>
      <c r="P15" s="60" t="n">
        <f aca="false">IF(Volume_Price!P92=0,0,Volume_Price!P88/Volume_Price!P92)</f>
        <v>0.244673864721392</v>
      </c>
      <c r="Q15" s="60" t="n">
        <f aca="false">IF(Volume_Price!Q92=0,0,Volume_Price!Q88/Volume_Price!Q92)</f>
        <v>0.244673864721392</v>
      </c>
      <c r="R15" s="60" t="n">
        <f aca="false">IF(Volume_Price!R92=0,0,Volume_Price!R88/Volume_Price!R92)</f>
        <v>0.244673864721392</v>
      </c>
      <c r="S15" s="60" t="n">
        <f aca="false">IF(Volume_Price!S92=0,0,Volume_Price!S88/Volume_Price!S92)</f>
        <v>0.244673864721392</v>
      </c>
      <c r="T15" s="60" t="n">
        <f aca="false">IF(Volume_Price!T92=0,0,Volume_Price!T88/Volume_Price!T92)</f>
        <v>0.244673864721392</v>
      </c>
      <c r="U15" s="60" t="n">
        <f aca="false">IF(Volume_Price!U92=0,0,Volume_Price!U88/Volume_Price!U92)</f>
        <v>0.244673864721392</v>
      </c>
      <c r="V15" s="60" t="n">
        <f aca="false">IF(Volume_Price!V92=0,0,Volume_Price!V88/Volume_Price!V92)</f>
        <v>0.244673864721392</v>
      </c>
      <c r="W15" s="60" t="n">
        <f aca="false">IF(Volume_Price!W92=0,0,Volume_Price!W88/Volume_Price!W92)</f>
        <v>0.244673864721393</v>
      </c>
      <c r="X15" s="60" t="n">
        <f aca="false">IF(Volume_Price!X92=0,0,Volume_Price!X88/Volume_Price!X92)</f>
        <v>0.244673864721392</v>
      </c>
      <c r="Y15" s="60" t="n">
        <f aca="false">IF(Volume_Price!Y92=0,0,Volume_Price!Y88/Volume_Price!Y92)</f>
        <v>0.244673864721393</v>
      </c>
      <c r="Z15" s="60" t="n">
        <f aca="false">IF(Volume_Price!Z92=0,0,Volume_Price!Z88/Volume_Price!Z92)</f>
        <v>0.244673864721392</v>
      </c>
      <c r="AA15" s="60" t="n">
        <f aca="false">IF(Volume_Price!AA92=0,0,Volume_Price!AA88/Volume_Price!AA92)</f>
        <v>0.244673864721393</v>
      </c>
      <c r="AB15" s="60" t="n">
        <f aca="false">IF(Volume_Price!AB92=0,0,Volume_Price!AB88/Volume_Price!AB92)</f>
        <v>0.244673864721392</v>
      </c>
    </row>
    <row r="16" customFormat="false" ht="15" hidden="false" customHeight="true" outlineLevel="0" collapsed="false">
      <c r="A16" s="28" t="s">
        <v>726</v>
      </c>
      <c r="B16" s="55" t="s">
        <v>68</v>
      </c>
      <c r="E16" s="60" t="n">
        <f aca="false">IF(Volume_Price!E92=0,0,Volume_Price!E89/Volume_Price!E92)</f>
        <v>0.171357011215149</v>
      </c>
      <c r="F16" s="60" t="n">
        <f aca="false">IF(Volume_Price!F92=0,0,Volume_Price!F89/Volume_Price!F92)</f>
        <v>0.16497115123272</v>
      </c>
      <c r="G16" s="60" t="n">
        <f aca="false">IF(Volume_Price!G92=0,0,Volume_Price!G89/Volume_Price!G92)</f>
        <v>0.171648944163406</v>
      </c>
      <c r="H16" s="60" t="n">
        <f aca="false">IF(Volume_Price!H92=0,0,Volume_Price!H89/Volume_Price!H92)</f>
        <v>0.178629158555609</v>
      </c>
      <c r="I16" s="60" t="n">
        <f aca="false">IF(Volume_Price!I92=0,0,Volume_Price!I89/Volume_Price!I92)</f>
        <v>0.170611068788312</v>
      </c>
      <c r="J16" s="60" t="n">
        <f aca="false">IF(Volume_Price!J92=0,0,Volume_Price!J89/Volume_Price!J92)</f>
        <v>0.153714899585514</v>
      </c>
      <c r="K16" s="60" t="n">
        <f aca="false">IF(Volume_Price!K92=0,0,Volume_Price!K89/Volume_Price!K92)</f>
        <v>0.162012303287075</v>
      </c>
      <c r="L16" s="60" t="n">
        <f aca="false">IF(Volume_Price!L92=0,0,Volume_Price!L89/Volume_Price!L92)</f>
        <v>0.177239949419742</v>
      </c>
      <c r="M16" s="60" t="n">
        <f aca="false">IF(Volume_Price!M92=0,0,Volume_Price!M89/Volume_Price!M92)</f>
        <v>0.164364829430813</v>
      </c>
      <c r="N16" s="60" t="n">
        <f aca="false">IF(Volume_Price!N92=0,0,Volume_Price!N89/Volume_Price!N92)</f>
        <v>0.164364829430813</v>
      </c>
      <c r="O16" s="60" t="n">
        <f aca="false">IF(Volume_Price!O92=0,0,Volume_Price!O89/Volume_Price!O92)</f>
        <v>0.164364829430813</v>
      </c>
      <c r="P16" s="60" t="n">
        <f aca="false">IF(Volume_Price!P92=0,0,Volume_Price!P89/Volume_Price!P92)</f>
        <v>0.164364829430813</v>
      </c>
      <c r="Q16" s="60" t="n">
        <f aca="false">IF(Volume_Price!Q92=0,0,Volume_Price!Q89/Volume_Price!Q92)</f>
        <v>0.164364829430813</v>
      </c>
      <c r="R16" s="60" t="n">
        <f aca="false">IF(Volume_Price!R92=0,0,Volume_Price!R89/Volume_Price!R92)</f>
        <v>0.164364829430813</v>
      </c>
      <c r="S16" s="60" t="n">
        <f aca="false">IF(Volume_Price!S92=0,0,Volume_Price!S89/Volume_Price!S92)</f>
        <v>0.164364829430813</v>
      </c>
      <c r="T16" s="60" t="n">
        <f aca="false">IF(Volume_Price!T92=0,0,Volume_Price!T89/Volume_Price!T92)</f>
        <v>0.164364829430813</v>
      </c>
      <c r="U16" s="60" t="n">
        <f aca="false">IF(Volume_Price!U92=0,0,Volume_Price!U89/Volume_Price!U92)</f>
        <v>0.164364829430813</v>
      </c>
      <c r="V16" s="60" t="n">
        <f aca="false">IF(Volume_Price!V92=0,0,Volume_Price!V89/Volume_Price!V92)</f>
        <v>0.164364829430813</v>
      </c>
      <c r="W16" s="60" t="n">
        <f aca="false">IF(Volume_Price!W92=0,0,Volume_Price!W89/Volume_Price!W92)</f>
        <v>0.164364829430813</v>
      </c>
      <c r="X16" s="60" t="n">
        <f aca="false">IF(Volume_Price!X92=0,0,Volume_Price!X89/Volume_Price!X92)</f>
        <v>0.164364829430813</v>
      </c>
      <c r="Y16" s="60" t="n">
        <f aca="false">IF(Volume_Price!Y92=0,0,Volume_Price!Y89/Volume_Price!Y92)</f>
        <v>0.164364829430813</v>
      </c>
      <c r="Z16" s="60" t="n">
        <f aca="false">IF(Volume_Price!Z92=0,0,Volume_Price!Z89/Volume_Price!Z92)</f>
        <v>0.164364829430813</v>
      </c>
      <c r="AA16" s="60" t="n">
        <f aca="false">IF(Volume_Price!AA92=0,0,Volume_Price!AA89/Volume_Price!AA92)</f>
        <v>0.164364829430813</v>
      </c>
      <c r="AB16" s="60" t="n">
        <f aca="false">IF(Volume_Price!AB92=0,0,Volume_Price!AB89/Volume_Price!AB92)</f>
        <v>0.164364829430813</v>
      </c>
    </row>
    <row r="17" customFormat="false" ht="15" hidden="false" customHeight="true" outlineLevel="0" collapsed="false">
      <c r="A17" s="28" t="s">
        <v>727</v>
      </c>
      <c r="B17" s="55" t="s">
        <v>68</v>
      </c>
      <c r="E17" s="60" t="n">
        <f aca="false">IF(Volume_Price!E92=0,0,Volume_Price!E90/Volume_Price!E92)</f>
        <v>0.150632526938794</v>
      </c>
      <c r="F17" s="60" t="n">
        <f aca="false">IF(Volume_Price!F92=0,0,Volume_Price!F90/Volume_Price!F92)</f>
        <v>0.153222346017575</v>
      </c>
      <c r="G17" s="60" t="n">
        <f aca="false">IF(Volume_Price!G92=0,0,Volume_Price!G90/Volume_Price!G92)</f>
        <v>0.148793271559731</v>
      </c>
      <c r="H17" s="60" t="n">
        <f aca="false">IF(Volume_Price!H92=0,0,Volume_Price!H90/Volume_Price!H92)</f>
        <v>0.150345555647424</v>
      </c>
      <c r="I17" s="60" t="n">
        <f aca="false">IF(Volume_Price!I92=0,0,Volume_Price!I90/Volume_Price!I92)</f>
        <v>0.153350545467414</v>
      </c>
      <c r="J17" s="60" t="n">
        <f aca="false">IF(Volume_Price!J92=0,0,Volume_Price!J90/Volume_Price!J92)</f>
        <v>0.15151198955462</v>
      </c>
      <c r="K17" s="60" t="n">
        <f aca="false">IF(Volume_Price!K92=0,0,Volume_Price!K90/Volume_Price!K92)</f>
        <v>0.169151830215813</v>
      </c>
      <c r="L17" s="60" t="n">
        <f aca="false">IF(Volume_Price!L92=0,0,Volume_Price!L90/Volume_Price!L92)</f>
        <v>0.160558484826715</v>
      </c>
      <c r="M17" s="60" t="n">
        <f aca="false">IF(Volume_Price!M92=0,0,Volume_Price!M90/Volume_Price!M92)</f>
        <v>0.160345784752578</v>
      </c>
      <c r="N17" s="60" t="n">
        <f aca="false">IF(Volume_Price!N92=0,0,Volume_Price!N90/Volume_Price!N92)</f>
        <v>0.160345784752578</v>
      </c>
      <c r="O17" s="60" t="n">
        <f aca="false">IF(Volume_Price!O92=0,0,Volume_Price!O90/Volume_Price!O92)</f>
        <v>0.160345784752578</v>
      </c>
      <c r="P17" s="60" t="n">
        <f aca="false">IF(Volume_Price!P92=0,0,Volume_Price!P90/Volume_Price!P92)</f>
        <v>0.160345784752578</v>
      </c>
      <c r="Q17" s="60" t="n">
        <f aca="false">IF(Volume_Price!Q92=0,0,Volume_Price!Q90/Volume_Price!Q92)</f>
        <v>0.160345784752578</v>
      </c>
      <c r="R17" s="60" t="n">
        <f aca="false">IF(Volume_Price!R92=0,0,Volume_Price!R90/Volume_Price!R92)</f>
        <v>0.160345784752578</v>
      </c>
      <c r="S17" s="60" t="n">
        <f aca="false">IF(Volume_Price!S92=0,0,Volume_Price!S90/Volume_Price!S92)</f>
        <v>0.160345784752578</v>
      </c>
      <c r="T17" s="60" t="n">
        <f aca="false">IF(Volume_Price!T92=0,0,Volume_Price!T90/Volume_Price!T92)</f>
        <v>0.160345784752578</v>
      </c>
      <c r="U17" s="60" t="n">
        <f aca="false">IF(Volume_Price!U92=0,0,Volume_Price!U90/Volume_Price!U92)</f>
        <v>0.160345784752578</v>
      </c>
      <c r="V17" s="60" t="n">
        <f aca="false">IF(Volume_Price!V92=0,0,Volume_Price!V90/Volume_Price!V92)</f>
        <v>0.160345784752578</v>
      </c>
      <c r="W17" s="60" t="n">
        <f aca="false">IF(Volume_Price!W92=0,0,Volume_Price!W90/Volume_Price!W92)</f>
        <v>0.160345784752578</v>
      </c>
      <c r="X17" s="60" t="n">
        <f aca="false">IF(Volume_Price!X92=0,0,Volume_Price!X90/Volume_Price!X92)</f>
        <v>0.160345784752578</v>
      </c>
      <c r="Y17" s="60" t="n">
        <f aca="false">IF(Volume_Price!Y92=0,0,Volume_Price!Y90/Volume_Price!Y92)</f>
        <v>0.160345784752578</v>
      </c>
      <c r="Z17" s="60" t="n">
        <f aca="false">IF(Volume_Price!Z92=0,0,Volume_Price!Z90/Volume_Price!Z92)</f>
        <v>0.160345784752578</v>
      </c>
      <c r="AA17" s="60" t="n">
        <f aca="false">IF(Volume_Price!AA92=0,0,Volume_Price!AA90/Volume_Price!AA92)</f>
        <v>0.160345784752578</v>
      </c>
      <c r="AB17" s="60" t="n">
        <f aca="false">IF(Volume_Price!AB92=0,0,Volume_Price!AB90/Volume_Price!AB92)</f>
        <v>0.160345784752578</v>
      </c>
    </row>
    <row r="18" customFormat="false" ht="15" hidden="false" customHeight="true" outlineLevel="0" collapsed="false">
      <c r="A18" s="28" t="s">
        <v>728</v>
      </c>
      <c r="B18" s="55" t="s">
        <v>68</v>
      </c>
      <c r="E18" s="60" t="n">
        <f aca="false">IF(Volume_Price!E92=0,0,Volume_Price!E91/Volume_Price!E92)</f>
        <v>0.0850871204843624</v>
      </c>
      <c r="F18" s="60" t="n">
        <f aca="false">IF(Volume_Price!F92=0,0,Volume_Price!F91/Volume_Price!F92)</f>
        <v>0.0809555662609198</v>
      </c>
      <c r="G18" s="60" t="n">
        <f aca="false">IF(Volume_Price!G92=0,0,Volume_Price!G91/Volume_Price!G92)</f>
        <v>0.0803882334938025</v>
      </c>
      <c r="H18" s="60" t="n">
        <f aca="false">IF(Volume_Price!H92=0,0,Volume_Price!H91/Volume_Price!H92)</f>
        <v>0.07417999461485</v>
      </c>
      <c r="I18" s="60" t="n">
        <f aca="false">IF(Volume_Price!I92=0,0,Volume_Price!I91/Volume_Price!I92)</f>
        <v>0.0762242283643056</v>
      </c>
      <c r="J18" s="60" t="n">
        <f aca="false">IF(Volume_Price!J92=0,0,Volume_Price!J91/Volume_Price!J92)</f>
        <v>0.0827865755757544</v>
      </c>
      <c r="K18" s="60" t="n">
        <f aca="false">IF(Volume_Price!K92=0,0,Volume_Price!K91/Volume_Price!K92)</f>
        <v>0.0780304715768347</v>
      </c>
      <c r="L18" s="60" t="n">
        <f aca="false">IF(Volume_Price!L92=0,0,Volume_Price!L91/Volume_Price!L92)</f>
        <v>0.0798893661242136</v>
      </c>
      <c r="M18" s="60" t="n">
        <f aca="false">IF(Volume_Price!M92=0,0,Volume_Price!M91/Volume_Price!M92)</f>
        <v>0.0790995350701227</v>
      </c>
      <c r="N18" s="60" t="n">
        <f aca="false">IF(Volume_Price!N92=0,0,Volume_Price!N91/Volume_Price!N92)</f>
        <v>0.0790995350701227</v>
      </c>
      <c r="O18" s="60" t="n">
        <f aca="false">IF(Volume_Price!O92=0,0,Volume_Price!O91/Volume_Price!O92)</f>
        <v>0.0790995350701228</v>
      </c>
      <c r="P18" s="60" t="n">
        <f aca="false">IF(Volume_Price!P92=0,0,Volume_Price!P91/Volume_Price!P92)</f>
        <v>0.0790995350701227</v>
      </c>
      <c r="Q18" s="60" t="n">
        <f aca="false">IF(Volume_Price!Q92=0,0,Volume_Price!Q91/Volume_Price!Q92)</f>
        <v>0.0790995350701228</v>
      </c>
      <c r="R18" s="60" t="n">
        <f aca="false">IF(Volume_Price!R92=0,0,Volume_Price!R91/Volume_Price!R92)</f>
        <v>0.0790995350701227</v>
      </c>
      <c r="S18" s="60" t="n">
        <f aca="false">IF(Volume_Price!S92=0,0,Volume_Price!S91/Volume_Price!S92)</f>
        <v>0.0790995350701227</v>
      </c>
      <c r="T18" s="60" t="n">
        <f aca="false">IF(Volume_Price!T92=0,0,Volume_Price!T91/Volume_Price!T92)</f>
        <v>0.0790995350701227</v>
      </c>
      <c r="U18" s="60" t="n">
        <f aca="false">IF(Volume_Price!U92=0,0,Volume_Price!U91/Volume_Price!U92)</f>
        <v>0.0790995350701227</v>
      </c>
      <c r="V18" s="60" t="n">
        <f aca="false">IF(Volume_Price!V92=0,0,Volume_Price!V91/Volume_Price!V92)</f>
        <v>0.0790995350701227</v>
      </c>
      <c r="W18" s="60" t="n">
        <f aca="false">IF(Volume_Price!W92=0,0,Volume_Price!W91/Volume_Price!W92)</f>
        <v>0.0790995350701228</v>
      </c>
      <c r="X18" s="60" t="n">
        <f aca="false">IF(Volume_Price!X92=0,0,Volume_Price!X91/Volume_Price!X92)</f>
        <v>0.0790995350701227</v>
      </c>
      <c r="Y18" s="60" t="n">
        <f aca="false">IF(Volume_Price!Y92=0,0,Volume_Price!Y91/Volume_Price!Y92)</f>
        <v>0.0790995350701228</v>
      </c>
      <c r="Z18" s="60" t="n">
        <f aca="false">IF(Volume_Price!Z92=0,0,Volume_Price!Z91/Volume_Price!Z92)</f>
        <v>0.0790995350701227</v>
      </c>
      <c r="AA18" s="60" t="n">
        <f aca="false">IF(Volume_Price!AA92=0,0,Volume_Price!AA91/Volume_Price!AA92)</f>
        <v>0.0790995350701228</v>
      </c>
      <c r="AB18" s="60" t="n">
        <f aca="false">IF(Volume_Price!AB92=0,0,Volume_Price!AB91/Volume_Price!AB92)</f>
        <v>0.0790995350701227</v>
      </c>
    </row>
    <row r="19" customFormat="false" ht="15" hidden="false" customHeight="true" outlineLevel="0" collapsed="false">
      <c r="A19" s="28" t="s">
        <v>729</v>
      </c>
      <c r="B19" s="55" t="s">
        <v>68</v>
      </c>
      <c r="E19" s="60" t="n">
        <f aca="false">IF(Volume_Price!E132=0,0,Volume_Price!E127/Volume_Price!E132)</f>
        <v>0.472374501356782</v>
      </c>
      <c r="F19" s="60" t="n">
        <f aca="false">IF(Volume_Price!F132=0,0,Volume_Price!F127/Volume_Price!F132)</f>
        <v>0.453349736112531</v>
      </c>
      <c r="G19" s="60" t="n">
        <f aca="false">IF(Volume_Price!G132=0,0,Volume_Price!G127/Volume_Price!G132)</f>
        <v>0.480716985982033</v>
      </c>
      <c r="H19" s="60" t="n">
        <f aca="false">IF(Volume_Price!H132=0,0,Volume_Price!H127/Volume_Price!H132)</f>
        <v>0.472203944389779</v>
      </c>
      <c r="I19" s="60" t="n">
        <f aca="false">IF(Volume_Price!I132=0,0,Volume_Price!I127/Volume_Price!I132)</f>
        <v>0.49281667218107</v>
      </c>
      <c r="J19" s="60" t="n">
        <f aca="false">IF(Volume_Price!J132=0,0,Volume_Price!J127/Volume_Price!J132)</f>
        <v>0.485858035684985</v>
      </c>
      <c r="K19" s="60" t="n">
        <f aca="false">IF(Volume_Price!K132=0,0,Volume_Price!K127/Volume_Price!K132)</f>
        <v>0.455476825300293</v>
      </c>
      <c r="L19" s="60" t="n">
        <f aca="false">IF(Volume_Price!L132=0,0,Volume_Price!L127/Volume_Price!L132)</f>
        <v>0.472435342924639</v>
      </c>
      <c r="M19" s="60" t="n">
        <f aca="false">IF(Volume_Price!M132=0,0,Volume_Price!M127/Volume_Price!M132)</f>
        <v>0.466772531016304</v>
      </c>
      <c r="N19" s="60" t="n">
        <f aca="false">IF(Volume_Price!N132=0,0,Volume_Price!N127/Volume_Price!N132)</f>
        <v>0.466772531016304</v>
      </c>
      <c r="O19" s="60" t="n">
        <f aca="false">IF(Volume_Price!O132=0,0,Volume_Price!O127/Volume_Price!O132)</f>
        <v>0.466772531016304</v>
      </c>
      <c r="P19" s="60" t="n">
        <f aca="false">IF(Volume_Price!P132=0,0,Volume_Price!P127/Volume_Price!P132)</f>
        <v>0.466772531016304</v>
      </c>
      <c r="Q19" s="60" t="n">
        <f aca="false">IF(Volume_Price!Q132=0,0,Volume_Price!Q127/Volume_Price!Q132)</f>
        <v>0.466772531016304</v>
      </c>
      <c r="R19" s="60" t="n">
        <f aca="false">IF(Volume_Price!R132=0,0,Volume_Price!R127/Volume_Price!R132)</f>
        <v>0.466772531016304</v>
      </c>
      <c r="S19" s="60" t="n">
        <f aca="false">IF(Volume_Price!S132=0,0,Volume_Price!S127/Volume_Price!S132)</f>
        <v>0.466772531016304</v>
      </c>
      <c r="T19" s="60" t="n">
        <f aca="false">IF(Volume_Price!T132=0,0,Volume_Price!T127/Volume_Price!T132)</f>
        <v>0.466772531016304</v>
      </c>
      <c r="U19" s="60" t="n">
        <f aca="false">IF(Volume_Price!U132=0,0,Volume_Price!U127/Volume_Price!U132)</f>
        <v>0.466772531016304</v>
      </c>
      <c r="V19" s="60" t="n">
        <f aca="false">IF(Volume_Price!V132=0,0,Volume_Price!V127/Volume_Price!V132)</f>
        <v>0.466772531016304</v>
      </c>
      <c r="W19" s="60" t="n">
        <f aca="false">IF(Volume_Price!W132=0,0,Volume_Price!W127/Volume_Price!W132)</f>
        <v>0.466772531016304</v>
      </c>
      <c r="X19" s="60" t="n">
        <f aca="false">IF(Volume_Price!X132=0,0,Volume_Price!X127/Volume_Price!X132)</f>
        <v>0.466772531016304</v>
      </c>
      <c r="Y19" s="60" t="n">
        <f aca="false">IF(Volume_Price!Y132=0,0,Volume_Price!Y127/Volume_Price!Y132)</f>
        <v>0.466772531016304</v>
      </c>
      <c r="Z19" s="60" t="n">
        <f aca="false">IF(Volume_Price!Z132=0,0,Volume_Price!Z127/Volume_Price!Z132)</f>
        <v>0.466772531016304</v>
      </c>
      <c r="AA19" s="60" t="n">
        <f aca="false">IF(Volume_Price!AA132=0,0,Volume_Price!AA127/Volume_Price!AA132)</f>
        <v>0.466772531016304</v>
      </c>
      <c r="AB19" s="60" t="n">
        <f aca="false">IF(Volume_Price!AB132=0,0,Volume_Price!AB127/Volume_Price!AB132)</f>
        <v>0.466772531016304</v>
      </c>
    </row>
    <row r="20" customFormat="false" ht="15" hidden="false" customHeight="true" outlineLevel="0" collapsed="false">
      <c r="A20" s="28" t="s">
        <v>730</v>
      </c>
      <c r="B20" s="55" t="s">
        <v>68</v>
      </c>
      <c r="E20" s="60" t="n">
        <f aca="false">IF(Volume_Price!E132=0,0,Volume_Price!E128/Volume_Price!E132)</f>
        <v>0.164712447847308</v>
      </c>
      <c r="F20" s="60" t="n">
        <f aca="false">IF(Volume_Price!F132=0,0,Volume_Price!F128/Volume_Price!F132)</f>
        <v>0.161086136530127</v>
      </c>
      <c r="G20" s="60" t="n">
        <f aca="false">IF(Volume_Price!G132=0,0,Volume_Price!G128/Volume_Price!G132)</f>
        <v>0.175080549018565</v>
      </c>
      <c r="H20" s="60" t="n">
        <f aca="false">IF(Volume_Price!H132=0,0,Volume_Price!H128/Volume_Price!H132)</f>
        <v>0.175173404647063</v>
      </c>
      <c r="I20" s="60" t="n">
        <f aca="false">IF(Volume_Price!I132=0,0,Volume_Price!I128/Volume_Price!I132)</f>
        <v>0.164440758798494</v>
      </c>
      <c r="J20" s="60" t="n">
        <f aca="false">IF(Volume_Price!J132=0,0,Volume_Price!J128/Volume_Price!J132)</f>
        <v>0.165765175220671</v>
      </c>
      <c r="K20" s="60" t="n">
        <f aca="false">IF(Volume_Price!K132=0,0,Volume_Price!K128/Volume_Price!K132)</f>
        <v>0.172937210963091</v>
      </c>
      <c r="L20" s="60" t="n">
        <f aca="false">IF(Volume_Price!L132=0,0,Volume_Price!L128/Volume_Price!L132)</f>
        <v>0.171475005759587</v>
      </c>
      <c r="M20" s="60" t="n">
        <f aca="false">IF(Volume_Price!M132=0,0,Volume_Price!M128/Volume_Price!M132)</f>
        <v>0.169948215027696</v>
      </c>
      <c r="N20" s="60" t="n">
        <f aca="false">IF(Volume_Price!N132=0,0,Volume_Price!N128/Volume_Price!N132)</f>
        <v>0.169948215027696</v>
      </c>
      <c r="O20" s="60" t="n">
        <f aca="false">IF(Volume_Price!O132=0,0,Volume_Price!O128/Volume_Price!O132)</f>
        <v>0.169948215027696</v>
      </c>
      <c r="P20" s="60" t="n">
        <f aca="false">IF(Volume_Price!P132=0,0,Volume_Price!P128/Volume_Price!P132)</f>
        <v>0.169948215027696</v>
      </c>
      <c r="Q20" s="60" t="n">
        <f aca="false">IF(Volume_Price!Q132=0,0,Volume_Price!Q128/Volume_Price!Q132)</f>
        <v>0.169948215027696</v>
      </c>
      <c r="R20" s="60" t="n">
        <f aca="false">IF(Volume_Price!R132=0,0,Volume_Price!R128/Volume_Price!R132)</f>
        <v>0.169948215027696</v>
      </c>
      <c r="S20" s="60" t="n">
        <f aca="false">IF(Volume_Price!S132=0,0,Volume_Price!S128/Volume_Price!S132)</f>
        <v>0.169948215027696</v>
      </c>
      <c r="T20" s="60" t="n">
        <f aca="false">IF(Volume_Price!T132=0,0,Volume_Price!T128/Volume_Price!T132)</f>
        <v>0.169948215027696</v>
      </c>
      <c r="U20" s="60" t="n">
        <f aca="false">IF(Volume_Price!U132=0,0,Volume_Price!U128/Volume_Price!U132)</f>
        <v>0.169948215027696</v>
      </c>
      <c r="V20" s="60" t="n">
        <f aca="false">IF(Volume_Price!V132=0,0,Volume_Price!V128/Volume_Price!V132)</f>
        <v>0.169948215027696</v>
      </c>
      <c r="W20" s="60" t="n">
        <f aca="false">IF(Volume_Price!W132=0,0,Volume_Price!W128/Volume_Price!W132)</f>
        <v>0.169948215027696</v>
      </c>
      <c r="X20" s="60" t="n">
        <f aca="false">IF(Volume_Price!X132=0,0,Volume_Price!X128/Volume_Price!X132)</f>
        <v>0.169948215027696</v>
      </c>
      <c r="Y20" s="60" t="n">
        <f aca="false">IF(Volume_Price!Y132=0,0,Volume_Price!Y128/Volume_Price!Y132)</f>
        <v>0.169948215027696</v>
      </c>
      <c r="Z20" s="60" t="n">
        <f aca="false">IF(Volume_Price!Z132=0,0,Volume_Price!Z128/Volume_Price!Z132)</f>
        <v>0.169948215027696</v>
      </c>
      <c r="AA20" s="60" t="n">
        <f aca="false">IF(Volume_Price!AA132=0,0,Volume_Price!AA128/Volume_Price!AA132)</f>
        <v>0.169948215027696</v>
      </c>
      <c r="AB20" s="60" t="n">
        <f aca="false">IF(Volume_Price!AB132=0,0,Volume_Price!AB128/Volume_Price!AB132)</f>
        <v>0.169948215027696</v>
      </c>
    </row>
    <row r="21" customFormat="false" ht="15" hidden="false" customHeight="true" outlineLevel="0" collapsed="false">
      <c r="A21" s="28" t="s">
        <v>731</v>
      </c>
      <c r="B21" s="55" t="s">
        <v>68</v>
      </c>
      <c r="E21" s="60" t="n">
        <f aca="false">IF(Volume_Price!E132=0,0,Volume_Price!E129/Volume_Price!E132)</f>
        <v>0.141153751893442</v>
      </c>
      <c r="F21" s="60" t="n">
        <f aca="false">IF(Volume_Price!F132=0,0,Volume_Price!F129/Volume_Price!F132)</f>
        <v>0.153688832714662</v>
      </c>
      <c r="G21" s="60" t="n">
        <f aca="false">IF(Volume_Price!G132=0,0,Volume_Price!G129/Volume_Price!G132)</f>
        <v>0.135710877404468</v>
      </c>
      <c r="H21" s="60" t="n">
        <f aca="false">IF(Volume_Price!H132=0,0,Volume_Price!H129/Volume_Price!H132)</f>
        <v>0.139025553415875</v>
      </c>
      <c r="I21" s="60" t="n">
        <f aca="false">IF(Volume_Price!I132=0,0,Volume_Price!I129/Volume_Price!I132)</f>
        <v>0.143356293605881</v>
      </c>
      <c r="J21" s="60" t="n">
        <f aca="false">IF(Volume_Price!J132=0,0,Volume_Price!J129/Volume_Price!J132)</f>
        <v>0.13576921433715</v>
      </c>
      <c r="K21" s="60" t="n">
        <f aca="false">IF(Volume_Price!K132=0,0,Volume_Price!K129/Volume_Price!K132)</f>
        <v>0.14587281064257</v>
      </c>
      <c r="L21" s="60" t="n">
        <f aca="false">IF(Volume_Price!L132=0,0,Volume_Price!L129/Volume_Price!L132)</f>
        <v>0.135763196897367</v>
      </c>
      <c r="M21" s="60" t="n">
        <f aca="false">IF(Volume_Price!M132=0,0,Volume_Price!M129/Volume_Price!M132)</f>
        <v>0.140307321413584</v>
      </c>
      <c r="N21" s="60" t="n">
        <f aca="false">IF(Volume_Price!N132=0,0,Volume_Price!N129/Volume_Price!N132)</f>
        <v>0.140307321413584</v>
      </c>
      <c r="O21" s="60" t="n">
        <f aca="false">IF(Volume_Price!O132=0,0,Volume_Price!O129/Volume_Price!O132)</f>
        <v>0.140307321413584</v>
      </c>
      <c r="P21" s="60" t="n">
        <f aca="false">IF(Volume_Price!P132=0,0,Volume_Price!P129/Volume_Price!P132)</f>
        <v>0.140307321413584</v>
      </c>
      <c r="Q21" s="60" t="n">
        <f aca="false">IF(Volume_Price!Q132=0,0,Volume_Price!Q129/Volume_Price!Q132)</f>
        <v>0.140307321413584</v>
      </c>
      <c r="R21" s="60" t="n">
        <f aca="false">IF(Volume_Price!R132=0,0,Volume_Price!R129/Volume_Price!R132)</f>
        <v>0.140307321413584</v>
      </c>
      <c r="S21" s="60" t="n">
        <f aca="false">IF(Volume_Price!S132=0,0,Volume_Price!S129/Volume_Price!S132)</f>
        <v>0.140307321413584</v>
      </c>
      <c r="T21" s="60" t="n">
        <f aca="false">IF(Volume_Price!T132=0,0,Volume_Price!T129/Volume_Price!T132)</f>
        <v>0.140307321413584</v>
      </c>
      <c r="U21" s="60" t="n">
        <f aca="false">IF(Volume_Price!U132=0,0,Volume_Price!U129/Volume_Price!U132)</f>
        <v>0.140307321413584</v>
      </c>
      <c r="V21" s="60" t="n">
        <f aca="false">IF(Volume_Price!V132=0,0,Volume_Price!V129/Volume_Price!V132)</f>
        <v>0.140307321413584</v>
      </c>
      <c r="W21" s="60" t="n">
        <f aca="false">IF(Volume_Price!W132=0,0,Volume_Price!W129/Volume_Price!W132)</f>
        <v>0.140307321413584</v>
      </c>
      <c r="X21" s="60" t="n">
        <f aca="false">IF(Volume_Price!X132=0,0,Volume_Price!X129/Volume_Price!X132)</f>
        <v>0.140307321413584</v>
      </c>
      <c r="Y21" s="60" t="n">
        <f aca="false">IF(Volume_Price!Y132=0,0,Volume_Price!Y129/Volume_Price!Y132)</f>
        <v>0.140307321413584</v>
      </c>
      <c r="Z21" s="60" t="n">
        <f aca="false">IF(Volume_Price!Z132=0,0,Volume_Price!Z129/Volume_Price!Z132)</f>
        <v>0.140307321413584</v>
      </c>
      <c r="AA21" s="60" t="n">
        <f aca="false">IF(Volume_Price!AA132=0,0,Volume_Price!AA129/Volume_Price!AA132)</f>
        <v>0.140307321413584</v>
      </c>
      <c r="AB21" s="60" t="n">
        <f aca="false">IF(Volume_Price!AB132=0,0,Volume_Price!AB129/Volume_Price!AB132)</f>
        <v>0.140307321413584</v>
      </c>
    </row>
    <row r="22" customFormat="false" ht="15" hidden="false" customHeight="true" outlineLevel="0" collapsed="false">
      <c r="A22" s="28" t="s">
        <v>732</v>
      </c>
      <c r="B22" s="55" t="s">
        <v>68</v>
      </c>
      <c r="E22" s="60" t="n">
        <f aca="false">IF(Volume_Price!E132=0,0,Volume_Price!E130/Volume_Price!E132)</f>
        <v>0.155328654231713</v>
      </c>
      <c r="F22" s="60" t="n">
        <f aca="false">IF(Volume_Price!F132=0,0,Volume_Price!F130/Volume_Price!F132)</f>
        <v>0.161507799970997</v>
      </c>
      <c r="G22" s="60" t="n">
        <f aca="false">IF(Volume_Price!G132=0,0,Volume_Price!G130/Volume_Price!G132)</f>
        <v>0.142637871408164</v>
      </c>
      <c r="H22" s="60" t="n">
        <f aca="false">IF(Volume_Price!H132=0,0,Volume_Price!H130/Volume_Price!H132)</f>
        <v>0.145984161383822</v>
      </c>
      <c r="I22" s="60" t="n">
        <f aca="false">IF(Volume_Price!I132=0,0,Volume_Price!I130/Volume_Price!I132)</f>
        <v>0.137684690120712</v>
      </c>
      <c r="J22" s="60" t="n">
        <f aca="false">IF(Volume_Price!J132=0,0,Volume_Price!J130/Volume_Price!J132)</f>
        <v>0.147610409568888</v>
      </c>
      <c r="K22" s="60" t="n">
        <f aca="false">IF(Volume_Price!K132=0,0,Volume_Price!K130/Volume_Price!K132)</f>
        <v>0.152324555487133</v>
      </c>
      <c r="L22" s="60" t="n">
        <f aca="false">IF(Volume_Price!L132=0,0,Volume_Price!L130/Volume_Price!L132)</f>
        <v>0.151862807816529</v>
      </c>
      <c r="M22" s="60" t="n">
        <f aca="false">IF(Volume_Price!M132=0,0,Volume_Price!M130/Volume_Price!M132)</f>
        <v>0.15310159150674</v>
      </c>
      <c r="N22" s="60" t="n">
        <f aca="false">IF(Volume_Price!N132=0,0,Volume_Price!N130/Volume_Price!N132)</f>
        <v>0.15310159150674</v>
      </c>
      <c r="O22" s="60" t="n">
        <f aca="false">IF(Volume_Price!O132=0,0,Volume_Price!O130/Volume_Price!O132)</f>
        <v>0.15310159150674</v>
      </c>
      <c r="P22" s="60" t="n">
        <f aca="false">IF(Volume_Price!P132=0,0,Volume_Price!P130/Volume_Price!P132)</f>
        <v>0.15310159150674</v>
      </c>
      <c r="Q22" s="60" t="n">
        <f aca="false">IF(Volume_Price!Q132=0,0,Volume_Price!Q130/Volume_Price!Q132)</f>
        <v>0.153101591506741</v>
      </c>
      <c r="R22" s="60" t="n">
        <f aca="false">IF(Volume_Price!R132=0,0,Volume_Price!R130/Volume_Price!R132)</f>
        <v>0.15310159150674</v>
      </c>
      <c r="S22" s="60" t="n">
        <f aca="false">IF(Volume_Price!S132=0,0,Volume_Price!S130/Volume_Price!S132)</f>
        <v>0.15310159150674</v>
      </c>
      <c r="T22" s="60" t="n">
        <f aca="false">IF(Volume_Price!T132=0,0,Volume_Price!T130/Volume_Price!T132)</f>
        <v>0.15310159150674</v>
      </c>
      <c r="U22" s="60" t="n">
        <f aca="false">IF(Volume_Price!U132=0,0,Volume_Price!U130/Volume_Price!U132)</f>
        <v>0.15310159150674</v>
      </c>
      <c r="V22" s="60" t="n">
        <f aca="false">IF(Volume_Price!V132=0,0,Volume_Price!V130/Volume_Price!V132)</f>
        <v>0.15310159150674</v>
      </c>
      <c r="W22" s="60" t="n">
        <f aca="false">IF(Volume_Price!W132=0,0,Volume_Price!W130/Volume_Price!W132)</f>
        <v>0.15310159150674</v>
      </c>
      <c r="X22" s="60" t="n">
        <f aca="false">IF(Volume_Price!X132=0,0,Volume_Price!X130/Volume_Price!X132)</f>
        <v>0.15310159150674</v>
      </c>
      <c r="Y22" s="60" t="n">
        <f aca="false">IF(Volume_Price!Y132=0,0,Volume_Price!Y130/Volume_Price!Y132)</f>
        <v>0.153101591506741</v>
      </c>
      <c r="Z22" s="60" t="n">
        <f aca="false">IF(Volume_Price!Z132=0,0,Volume_Price!Z130/Volume_Price!Z132)</f>
        <v>0.15310159150674</v>
      </c>
      <c r="AA22" s="60" t="n">
        <f aca="false">IF(Volume_Price!AA132=0,0,Volume_Price!AA130/Volume_Price!AA132)</f>
        <v>0.15310159150674</v>
      </c>
      <c r="AB22" s="60" t="n">
        <f aca="false">IF(Volume_Price!AB132=0,0,Volume_Price!AB130/Volume_Price!AB132)</f>
        <v>0.153101591506741</v>
      </c>
    </row>
    <row r="23" customFormat="false" ht="15" hidden="false" customHeight="true" outlineLevel="0" collapsed="false">
      <c r="A23" s="28" t="s">
        <v>733</v>
      </c>
      <c r="B23" s="55" t="s">
        <v>68</v>
      </c>
      <c r="E23" s="60" t="n">
        <f aca="false">IF(Volume_Price!E132=0,0,Volume_Price!E131/Volume_Price!E132)</f>
        <v>0.0664306446707552</v>
      </c>
      <c r="F23" s="60" t="n">
        <f aca="false">IF(Volume_Price!F132=0,0,Volume_Price!F131/Volume_Price!F132)</f>
        <v>0.0703674946716831</v>
      </c>
      <c r="G23" s="60" t="n">
        <f aca="false">IF(Volume_Price!G132=0,0,Volume_Price!G131/Volume_Price!G132)</f>
        <v>0.0658537161867703</v>
      </c>
      <c r="H23" s="60" t="n">
        <f aca="false">IF(Volume_Price!H132=0,0,Volume_Price!H131/Volume_Price!H132)</f>
        <v>0.0676129361634605</v>
      </c>
      <c r="I23" s="60" t="n">
        <f aca="false">IF(Volume_Price!I132=0,0,Volume_Price!I131/Volume_Price!I132)</f>
        <v>0.0617015852938424</v>
      </c>
      <c r="J23" s="60" t="n">
        <f aca="false">IF(Volume_Price!J132=0,0,Volume_Price!J131/Volume_Price!J132)</f>
        <v>0.064997165188306</v>
      </c>
      <c r="K23" s="60" t="n">
        <f aca="false">IF(Volume_Price!K132=0,0,Volume_Price!K131/Volume_Price!K132)</f>
        <v>0.0733885976069133</v>
      </c>
      <c r="L23" s="60" t="n">
        <f aca="false">IF(Volume_Price!L132=0,0,Volume_Price!L131/Volume_Price!L132)</f>
        <v>0.0684636466018774</v>
      </c>
      <c r="M23" s="60" t="n">
        <f aca="false">IF(Volume_Price!M132=0,0,Volume_Price!M131/Volume_Price!M132)</f>
        <v>0.0698703410356761</v>
      </c>
      <c r="N23" s="60" t="n">
        <f aca="false">IF(Volume_Price!N132=0,0,Volume_Price!N131/Volume_Price!N132)</f>
        <v>0.0698703410356761</v>
      </c>
      <c r="O23" s="60" t="n">
        <f aca="false">IF(Volume_Price!O132=0,0,Volume_Price!O131/Volume_Price!O132)</f>
        <v>0.0698703410356761</v>
      </c>
      <c r="P23" s="60" t="n">
        <f aca="false">IF(Volume_Price!P132=0,0,Volume_Price!P131/Volume_Price!P132)</f>
        <v>0.0698703410356761</v>
      </c>
      <c r="Q23" s="60" t="n">
        <f aca="false">IF(Volume_Price!Q132=0,0,Volume_Price!Q131/Volume_Price!Q132)</f>
        <v>0.0698703410356761</v>
      </c>
      <c r="R23" s="60" t="n">
        <f aca="false">IF(Volume_Price!R132=0,0,Volume_Price!R131/Volume_Price!R132)</f>
        <v>0.0698703410356761</v>
      </c>
      <c r="S23" s="60" t="n">
        <f aca="false">IF(Volume_Price!S132=0,0,Volume_Price!S131/Volume_Price!S132)</f>
        <v>0.0698703410356761</v>
      </c>
      <c r="T23" s="60" t="n">
        <f aca="false">IF(Volume_Price!T132=0,0,Volume_Price!T131/Volume_Price!T132)</f>
        <v>0.0698703410356761</v>
      </c>
      <c r="U23" s="60" t="n">
        <f aca="false">IF(Volume_Price!U132=0,0,Volume_Price!U131/Volume_Price!U132)</f>
        <v>0.0698703410356761</v>
      </c>
      <c r="V23" s="60" t="n">
        <f aca="false">IF(Volume_Price!V132=0,0,Volume_Price!V131/Volume_Price!V132)</f>
        <v>0.0698703410356761</v>
      </c>
      <c r="W23" s="60" t="n">
        <f aca="false">IF(Volume_Price!W132=0,0,Volume_Price!W131/Volume_Price!W132)</f>
        <v>0.0698703410356761</v>
      </c>
      <c r="X23" s="60" t="n">
        <f aca="false">IF(Volume_Price!X132=0,0,Volume_Price!X131/Volume_Price!X132)</f>
        <v>0.0698703410356761</v>
      </c>
      <c r="Y23" s="60" t="n">
        <f aca="false">IF(Volume_Price!Y132=0,0,Volume_Price!Y131/Volume_Price!Y132)</f>
        <v>0.0698703410356761</v>
      </c>
      <c r="Z23" s="60" t="n">
        <f aca="false">IF(Volume_Price!Z132=0,0,Volume_Price!Z131/Volume_Price!Z132)</f>
        <v>0.0698703410356761</v>
      </c>
      <c r="AA23" s="60" t="n">
        <f aca="false">IF(Volume_Price!AA132=0,0,Volume_Price!AA131/Volume_Price!AA132)</f>
        <v>0.0698703410356761</v>
      </c>
      <c r="AB23" s="60" t="n">
        <f aca="false">IF(Volume_Price!AB132=0,0,Volume_Price!AB131/Volume_Price!AB132)</f>
        <v>0.0698703410356761</v>
      </c>
    </row>
    <row r="24" customFormat="false" ht="15" hidden="false" customHeight="true" outlineLevel="0" collapsed="false">
      <c r="A24" s="22" t="s">
        <v>734</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row>
    <row r="25" customFormat="false" ht="15" hidden="false" customHeight="true" outlineLevel="0" collapsed="false">
      <c r="A25" s="28" t="s">
        <v>642</v>
      </c>
      <c r="B25" s="55" t="s">
        <v>68</v>
      </c>
      <c r="C25" s="56" t="n">
        <f aca="false">SUM(E25:P25)</f>
        <v>16962.2270716635</v>
      </c>
      <c r="D25" s="56" t="n">
        <f aca="false">SUM(Q25:AB25)</f>
        <v>21823.080397415</v>
      </c>
      <c r="E25" s="57" t="n">
        <f aca="false">Volume_Price!E25+Volume_Price!E65+Volume_Price!E105</f>
        <v>1033</v>
      </c>
      <c r="F25" s="57" t="n">
        <f aca="false">Volume_Price!F25+Volume_Price!F65+Volume_Price!F105</f>
        <v>992</v>
      </c>
      <c r="G25" s="57" t="n">
        <f aca="false">Volume_Price!G25+Volume_Price!G65+Volume_Price!G105</f>
        <v>1168</v>
      </c>
      <c r="H25" s="57" t="n">
        <f aca="false">Volume_Price!H25+Volume_Price!H65+Volume_Price!H105</f>
        <v>1197</v>
      </c>
      <c r="I25" s="57" t="n">
        <f aca="false">Volume_Price!I25+Volume_Price!I65+Volume_Price!I105</f>
        <v>1391</v>
      </c>
      <c r="J25" s="57" t="n">
        <f aca="false">Volume_Price!J25+Volume_Price!J65+Volume_Price!J105</f>
        <v>1353</v>
      </c>
      <c r="K25" s="57" t="n">
        <f aca="false">Volume_Price!K25+Volume_Price!K65+Volume_Price!K105</f>
        <v>1189</v>
      </c>
      <c r="L25" s="57" t="n">
        <f aca="false">Volume_Price!L25+Volume_Price!L65+Volume_Price!L105</f>
        <v>1235</v>
      </c>
      <c r="M25" s="57" t="n">
        <f aca="false">Volume_Price!M25+Volume_Price!M65+Volume_Price!M105</f>
        <v>1392.32747327308</v>
      </c>
      <c r="N25" s="57" t="n">
        <f aca="false">Volume_Price!N25+Volume_Price!N65+Volume_Price!N105</f>
        <v>1610.92089041268</v>
      </c>
      <c r="O25" s="57" t="n">
        <f aca="false">Volume_Price!O25+Volume_Price!O65+Volume_Price!O105</f>
        <v>2324.36060281428</v>
      </c>
      <c r="P25" s="57" t="n">
        <f aca="false">Volume_Price!P25+Volume_Price!P65+Volume_Price!P105</f>
        <v>2076.61810516346</v>
      </c>
      <c r="Q25" s="57" t="n">
        <f aca="false">Volume_Price!Q25+Volume_Price!Q65+Volume_Price!Q105</f>
        <v>1323.88026173201</v>
      </c>
      <c r="R25" s="57" t="n">
        <f aca="false">Volume_Price!R25+Volume_Price!R65+Volume_Price!R105</f>
        <v>1259.95548112574</v>
      </c>
      <c r="S25" s="57" t="n">
        <f aca="false">Volume_Price!S25+Volume_Price!S65+Volume_Price!S105</f>
        <v>1450.32592588014</v>
      </c>
      <c r="T25" s="57" t="n">
        <f aca="false">Volume_Price!T25+Volume_Price!T65+Volume_Price!T105</f>
        <v>1533.5839355925</v>
      </c>
      <c r="U25" s="57" t="n">
        <f aca="false">Volume_Price!U25+Volume_Price!U65+Volume_Price!U105</f>
        <v>1653.85137087835</v>
      </c>
      <c r="V25" s="57" t="n">
        <f aca="false">Volume_Price!V25+Volume_Price!V65+Volume_Price!V105</f>
        <v>1640.91012115166</v>
      </c>
      <c r="W25" s="57" t="n">
        <f aca="false">Volume_Price!W25+Volume_Price!W65+Volume_Price!W105</f>
        <v>1591.25639256691</v>
      </c>
      <c r="X25" s="57" t="n">
        <f aca="false">Volume_Price!X25+Volume_Price!X65+Volume_Price!X105</f>
        <v>1592.80700219426</v>
      </c>
      <c r="Y25" s="57" t="n">
        <f aca="false">Volume_Price!Y25+Volume_Price!Y65+Volume_Price!Y105</f>
        <v>1834.61767274317</v>
      </c>
      <c r="Z25" s="57" t="n">
        <f aca="false">Volume_Price!Z25+Volume_Price!Z65+Volume_Price!Z105</f>
        <v>2125.23055242456</v>
      </c>
      <c r="AA25" s="57" t="n">
        <f aca="false">Volume_Price!AA25+Volume_Price!AA65+Volume_Price!AA105</f>
        <v>3070.23215156186</v>
      </c>
      <c r="AB25" s="57" t="n">
        <f aca="false">Volume_Price!AB25+Volume_Price!AB65+Volume_Price!AB105</f>
        <v>2746.4295295638</v>
      </c>
    </row>
    <row r="26" customFormat="false" ht="15" hidden="false" customHeight="true" outlineLevel="0" collapsed="false">
      <c r="A26" s="28" t="s">
        <v>648</v>
      </c>
      <c r="B26" s="55" t="s">
        <v>68</v>
      </c>
      <c r="C26" s="56" t="n">
        <f aca="false">SUM(E26:P26)</f>
        <v>1951354.39103352</v>
      </c>
      <c r="D26" s="56" t="n">
        <f aca="false">SUM(Q26:AB26)</f>
        <v>2567756.77582471</v>
      </c>
      <c r="E26" s="57" t="n">
        <f aca="false">Volume_Price!E47+Volume_Price!E87+Volume_Price!E127</f>
        <v>117992.434903475</v>
      </c>
      <c r="F26" s="57" t="n">
        <f aca="false">Volume_Price!F47+Volume_Price!F87+Volume_Price!F127</f>
        <v>115090.422622478</v>
      </c>
      <c r="G26" s="57" t="n">
        <f aca="false">Volume_Price!G47+Volume_Price!G87+Volume_Price!G127</f>
        <v>132903.39269962</v>
      </c>
      <c r="H26" s="57" t="n">
        <f aca="false">Volume_Price!H47+Volume_Price!H87+Volume_Price!H127</f>
        <v>137393.701948052</v>
      </c>
      <c r="I26" s="57" t="n">
        <f aca="false">Volume_Price!I47+Volume_Price!I87+Volume_Price!I127</f>
        <v>161173.860840951</v>
      </c>
      <c r="J26" s="57" t="n">
        <f aca="false">Volume_Price!J47+Volume_Price!J87+Volume_Price!J127</f>
        <v>153140.428375451</v>
      </c>
      <c r="K26" s="57" t="n">
        <f aca="false">Volume_Price!K47+Volume_Price!K87+Volume_Price!K127</f>
        <v>134706.745495094</v>
      </c>
      <c r="L26" s="57" t="n">
        <f aca="false">Volume_Price!L47+Volume_Price!L87+Volume_Price!L127</f>
        <v>142054.420430108</v>
      </c>
      <c r="M26" s="57" t="n">
        <f aca="false">Volume_Price!M47+Volume_Price!M87+Volume_Price!M127</f>
        <v>160611.85785508</v>
      </c>
      <c r="N26" s="57" t="n">
        <f aca="false">Volume_Price!N47+Volume_Price!N87+Volume_Price!N127</f>
        <v>186186.947119787</v>
      </c>
      <c r="O26" s="57" t="n">
        <f aca="false">Volume_Price!O47+Volume_Price!O87+Volume_Price!O127</f>
        <v>269163.072834139</v>
      </c>
      <c r="P26" s="57" t="n">
        <f aca="false">Volume_Price!P47+Volume_Price!P87+Volume_Price!P127</f>
        <v>240937.105909291</v>
      </c>
      <c r="Q26" s="57" t="n">
        <f aca="false">Volume_Price!Q47+Volume_Price!Q87+Volume_Price!Q127</f>
        <v>153896.571559864</v>
      </c>
      <c r="R26" s="57" t="n">
        <f aca="false">Volume_Price!R47+Volume_Price!R87+Volume_Price!R127</f>
        <v>146746.14541446</v>
      </c>
      <c r="S26" s="57" t="n">
        <f aca="false">Volume_Price!S47+Volume_Price!S87+Volume_Price!S127</f>
        <v>169241.331725005</v>
      </c>
      <c r="T26" s="57" t="n">
        <f aca="false">Volume_Price!T47+Volume_Price!T87+Volume_Price!T127</f>
        <v>179298.117318903</v>
      </c>
      <c r="U26" s="57" t="n">
        <f aca="false">Volume_Price!U47+Volume_Price!U87+Volume_Price!U127</f>
        <v>193726.941717226</v>
      </c>
      <c r="V26" s="57" t="n">
        <f aca="false">Volume_Price!V47+Volume_Price!V87+Volume_Price!V127</f>
        <v>192575.792301669</v>
      </c>
      <c r="W26" s="57" t="n">
        <f aca="false">Volume_Price!W47+Volume_Price!W87+Volume_Price!W127</f>
        <v>187101.979281238</v>
      </c>
      <c r="X26" s="57" t="n">
        <f aca="false">Volume_Price!X47+Volume_Price!X87+Volume_Price!X127</f>
        <v>187637.933648599</v>
      </c>
      <c r="Y26" s="57" t="n">
        <f aca="false">Volume_Price!Y47+Volume_Price!Y87+Volume_Price!Y127</f>
        <v>216531.081812465</v>
      </c>
      <c r="Z26" s="57" t="n">
        <f aca="false">Volume_Price!Z47+Volume_Price!Z87+Volume_Price!Z127</f>
        <v>251301.923327749</v>
      </c>
      <c r="AA26" s="57" t="n">
        <f aca="false">Volume_Price!AA47+Volume_Price!AA87+Volume_Price!AA127</f>
        <v>363725.664668965</v>
      </c>
      <c r="AB26" s="57" t="n">
        <f aca="false">Volume_Price!AB47+Volume_Price!AB87+Volume_Price!AB127</f>
        <v>325973.293048569</v>
      </c>
    </row>
    <row r="27" customFormat="false" ht="15" hidden="false" customHeight="true" outlineLevel="0" collapsed="false">
      <c r="A27" s="28" t="s">
        <v>735</v>
      </c>
      <c r="B27" s="55" t="s">
        <v>736</v>
      </c>
      <c r="C27" s="56" t="n">
        <f aca="false">SUM(E27:P27)</f>
        <v>-123195.883522643</v>
      </c>
      <c r="D27" s="56" t="n">
        <f aca="false">SUM(Q27:AB27)</f>
        <v>-160238.985600545</v>
      </c>
      <c r="E27" s="57" t="n">
        <f aca="false">Channel_PL!E14*E9+Channel_PL!E52*E14+Channel_PL!E86*E19</f>
        <v>-6901.0689893321</v>
      </c>
      <c r="F27" s="57" t="n">
        <f aca="false">Channel_PL!F14*F9+Channel_PL!F52*F14+Channel_PL!F86*F19</f>
        <v>-7864.57101172314</v>
      </c>
      <c r="G27" s="57" t="n">
        <f aca="false">Channel_PL!G14*G9+Channel_PL!G52*G14+Channel_PL!G86*G19</f>
        <v>-8725.53571053005</v>
      </c>
      <c r="H27" s="57" t="n">
        <f aca="false">Channel_PL!H14*H9+Channel_PL!H52*H14+Channel_PL!H86*H19</f>
        <v>-8802.2113482978</v>
      </c>
      <c r="I27" s="57" t="n">
        <f aca="false">Channel_PL!I14*I9+Channel_PL!I52*I14+Channel_PL!I86*I19</f>
        <v>-9923.5842179022</v>
      </c>
      <c r="J27" s="57" t="n">
        <f aca="false">Channel_PL!J14*J9+Channel_PL!J52*J14+Channel_PL!J86*J19</f>
        <v>-9373.97067632723</v>
      </c>
      <c r="K27" s="57" t="n">
        <f aca="false">Channel_PL!K14*K9+Channel_PL!K52*K14+Channel_PL!K86*K19</f>
        <v>-8748.94544031907</v>
      </c>
      <c r="L27" s="57" t="n">
        <f aca="false">Channel_PL!L14*L9+Channel_PL!L52*L14+Channel_PL!L86*L19</f>
        <v>-8735.27503078733</v>
      </c>
      <c r="M27" s="57" t="n">
        <f aca="false">Channel_PL!M14*M9+Channel_PL!M52*M14+Channel_PL!M86*M19</f>
        <v>-10166.5423862056</v>
      </c>
      <c r="N27" s="57" t="n">
        <f aca="false">Channel_PL!N14*N9+Channel_PL!N52*N14+Channel_PL!N86*N19</f>
        <v>-11770.069904495</v>
      </c>
      <c r="O27" s="57" t="n">
        <f aca="false">Channel_PL!O14*O9+Channel_PL!O52*O14+Channel_PL!O86*O19</f>
        <v>-16993.1503937252</v>
      </c>
      <c r="P27" s="57" t="n">
        <f aca="false">Channel_PL!P14*P9+Channel_PL!P52*P14+Channel_PL!P86*P19</f>
        <v>-15190.9584129984</v>
      </c>
      <c r="Q27" s="57" t="n">
        <f aca="false">Channel_PL!Q14*Q9+Channel_PL!Q52*Q14+Channel_PL!Q86*Q19</f>
        <v>-9690.09253675453</v>
      </c>
      <c r="R27" s="57" t="n">
        <f aca="false">Channel_PL!R14*R9+Channel_PL!R52*R14+Channel_PL!R86*R19</f>
        <v>-9227.36272540422</v>
      </c>
      <c r="S27" s="57" t="n">
        <f aca="false">Channel_PL!S14*S9+Channel_PL!S52*S14+Channel_PL!S86*S19</f>
        <v>-10627.3171277199</v>
      </c>
      <c r="T27" s="57" t="n">
        <f aca="false">Channel_PL!T14*T9+Channel_PL!T52*T14+Channel_PL!T86*T19</f>
        <v>-11243.2960851976</v>
      </c>
      <c r="U27" s="57" t="n">
        <f aca="false">Channel_PL!U14*U9+Channel_PL!U52*U14+Channel_PL!U86*U19</f>
        <v>-12131.179896653</v>
      </c>
      <c r="V27" s="57" t="n">
        <f aca="false">Channel_PL!V14*V9+Channel_PL!V52*V14+Channel_PL!V86*V19</f>
        <v>-12042.154757598</v>
      </c>
      <c r="W27" s="57" t="n">
        <f aca="false">Channel_PL!W14*W9+Channel_PL!W52*W14+Channel_PL!W86*W19</f>
        <v>-11683.2796535152</v>
      </c>
      <c r="X27" s="57" t="n">
        <f aca="false">Channel_PL!X14*X9+Channel_PL!X52*X14+Channel_PL!X86*X19</f>
        <v>-11699.9850228908</v>
      </c>
      <c r="Y27" s="57" t="n">
        <f aca="false">Channel_PL!Y14*Y9+Channel_PL!Y52*Y14+Channel_PL!Y86*Y19</f>
        <v>-13482.1013101027</v>
      </c>
      <c r="Z27" s="57" t="n">
        <f aca="false">Channel_PL!Z14*Z9+Channel_PL!Z52*Z14+Channel_PL!Z86*Z19</f>
        <v>-15624.2883258077</v>
      </c>
      <c r="AA27" s="57" t="n">
        <f aca="false">Channel_PL!AA14*AA9+Channel_PL!AA52*AA14+Channel_PL!AA86*AA19</f>
        <v>-22580.8300236975</v>
      </c>
      <c r="AB27" s="57" t="n">
        <f aca="false">Channel_PL!AB14*AB9+Channel_PL!AB52*AB14+Channel_PL!AB86*AB19</f>
        <v>-20207.0981352034</v>
      </c>
    </row>
    <row r="28" customFormat="false" ht="15" hidden="false" customHeight="true" outlineLevel="0" collapsed="false">
      <c r="A28" s="28" t="s">
        <v>737</v>
      </c>
      <c r="B28" s="55" t="s">
        <v>736</v>
      </c>
      <c r="C28" s="56" t="n">
        <f aca="false">SUM(E28:P28)</f>
        <v>-137179.069955655</v>
      </c>
      <c r="D28" s="56" t="n">
        <f aca="false">SUM(Q28:AB28)</f>
        <v>-185849.647422235</v>
      </c>
      <c r="E28" s="57" t="n">
        <f aca="false">Channel_PL!E15*E9+Channel_PL!E53*E14+Channel_PL!E87*E19</f>
        <v>-8136.91973800388</v>
      </c>
      <c r="F28" s="57" t="n">
        <f aca="false">Channel_PL!F15*F9+Channel_PL!F53*F14+Channel_PL!F87*F19</f>
        <v>-7708.78497534783</v>
      </c>
      <c r="G28" s="57" t="n">
        <f aca="false">Channel_PL!G15*G9+Channel_PL!G53*G14+Channel_PL!G87*G19</f>
        <v>-8973.45751955975</v>
      </c>
      <c r="H28" s="57" t="n">
        <f aca="false">Channel_PL!H15*H9+Channel_PL!H53*H14+Channel_PL!H87*H19</f>
        <v>-9315.51017268046</v>
      </c>
      <c r="I28" s="57" t="n">
        <f aca="false">Channel_PL!I15*I9+Channel_PL!I53*I14+Channel_PL!I87*I19</f>
        <v>-10885.922737815</v>
      </c>
      <c r="J28" s="57" t="n">
        <f aca="false">Channel_PL!J15*J9+Channel_PL!J53*J14+Channel_PL!J87*J19</f>
        <v>-10719.2284920025</v>
      </c>
      <c r="K28" s="57" t="n">
        <f aca="false">Channel_PL!K15*K9+Channel_PL!K53*K14+Channel_PL!K87*K19</f>
        <v>-9126.79695747249</v>
      </c>
      <c r="L28" s="57" t="n">
        <f aca="false">Channel_PL!L15*L9+Channel_PL!L53*L14+Channel_PL!L87*L19</f>
        <v>-10775.2192671871</v>
      </c>
      <c r="M28" s="57" t="n">
        <f aca="false">Channel_PL!M15*M9+Channel_PL!M53*M14+Channel_PL!M87*M19</f>
        <v>-11517.8908487983</v>
      </c>
      <c r="N28" s="57" t="n">
        <f aca="false">Channel_PL!N15*N9+Channel_PL!N53*N14+Channel_PL!N87*N19</f>
        <v>-13363.0002286284</v>
      </c>
      <c r="O28" s="57" t="n">
        <f aca="false">Channel_PL!O15*O9+Channel_PL!O53*O14+Channel_PL!O87*O19</f>
        <v>-19334.5732168455</v>
      </c>
      <c r="P28" s="57" t="n">
        <f aca="false">Channel_PL!P15*P9+Channel_PL!P53*P14+Channel_PL!P87*P19</f>
        <v>-17321.7658013133</v>
      </c>
      <c r="Q28" s="57" t="n">
        <f aca="false">Channel_PL!Q15*Q9+Channel_PL!Q53*Q14+Channel_PL!Q87*Q19</f>
        <v>-11073.6753471719</v>
      </c>
      <c r="R28" s="57" t="n">
        <f aca="false">Channel_PL!R15*R9+Channel_PL!R53*R14+Channel_PL!R87*R19</f>
        <v>-10568.3924975794</v>
      </c>
      <c r="S28" s="57" t="n">
        <f aca="false">Channel_PL!S15*S9+Channel_PL!S53*S14+Channel_PL!S87*S19</f>
        <v>-12199.2487126464</v>
      </c>
      <c r="T28" s="57" t="n">
        <f aca="false">Channel_PL!T15*T9+Channel_PL!T53*T14+Channel_PL!T87*T19</f>
        <v>-12935.7566723677</v>
      </c>
      <c r="U28" s="57" t="n">
        <f aca="false">Channel_PL!U15*U9+Channel_PL!U53*U14+Channel_PL!U87*U19</f>
        <v>-13989.4496023608</v>
      </c>
      <c r="V28" s="57" t="n">
        <f aca="false">Channel_PL!V15*V9+Channel_PL!V53*V14+Channel_PL!V87*V19</f>
        <v>-13919.1218577166</v>
      </c>
      <c r="W28" s="57" t="n">
        <f aca="false">Channel_PL!W15*W9+Channel_PL!W53*W14+Channel_PL!W87*W19</f>
        <v>-13536.0858951558</v>
      </c>
      <c r="X28" s="57" t="n">
        <f aca="false">Channel_PL!X15*X9+Channel_PL!X53*X14+Channel_PL!X87*X19</f>
        <v>-13587.6693382282</v>
      </c>
      <c r="Y28" s="57" t="n">
        <f aca="false">Channel_PL!Y15*Y9+Channel_PL!Y53*Y14+Channel_PL!Y87*Y19</f>
        <v>-15694.9235313086</v>
      </c>
      <c r="Z28" s="57" t="n">
        <f aca="false">Channel_PL!Z15*Z9+Channel_PL!Z53*Z14+Channel_PL!Z87*Z19</f>
        <v>-18232.8437663097</v>
      </c>
      <c r="AA28" s="57" t="n">
        <f aca="false">Channel_PL!AA15*AA9+Channel_PL!AA53*AA14+Channel_PL!AA87*AA19</f>
        <v>-26415.399100326</v>
      </c>
      <c r="AB28" s="57" t="n">
        <f aca="false">Channel_PL!AB15*AB9+Channel_PL!AB53*AB14+Channel_PL!AB87*AB19</f>
        <v>-23697.0811010634</v>
      </c>
    </row>
    <row r="29" customFormat="false" ht="15" hidden="false" customHeight="true" outlineLevel="0" collapsed="false">
      <c r="A29" s="28" t="s">
        <v>738</v>
      </c>
      <c r="B29" s="55" t="s">
        <v>736</v>
      </c>
      <c r="C29" s="56" t="n">
        <f aca="false">SUM(E29:P29)</f>
        <v>39509.5225742318</v>
      </c>
      <c r="D29" s="56" t="n">
        <f aca="false">SUM(Q29:AB29)</f>
        <v>46355.5989820534</v>
      </c>
      <c r="E29" s="57" t="n">
        <f aca="false">Channel_PL!E17*E9</f>
        <v>2392.26582275781</v>
      </c>
      <c r="F29" s="57" t="n">
        <f aca="false">Channel_PL!F17*F9</f>
        <v>2534.80317512982</v>
      </c>
      <c r="G29" s="57" t="n">
        <f aca="false">Channel_PL!G17*G9</f>
        <v>2761.49891423914</v>
      </c>
      <c r="H29" s="57" t="n">
        <f aca="false">Channel_PL!H17*H9</f>
        <v>2797.10858245052</v>
      </c>
      <c r="I29" s="57" t="n">
        <f aca="false">Channel_PL!I17*I9</f>
        <v>3408.61296535087</v>
      </c>
      <c r="J29" s="57" t="n">
        <f aca="false">Channel_PL!J17*J9</f>
        <v>3241.52119776286</v>
      </c>
      <c r="K29" s="57" t="n">
        <f aca="false">Channel_PL!K17*K9</f>
        <v>2843.96313429903</v>
      </c>
      <c r="L29" s="57" t="n">
        <f aca="false">Channel_PL!L17*L9</f>
        <v>2895.4878190156</v>
      </c>
      <c r="M29" s="57" t="n">
        <f aca="false">Channel_PL!M17*M9</f>
        <v>3159.43841633561</v>
      </c>
      <c r="N29" s="57" t="n">
        <f aca="false">Channel_PL!N17*N9</f>
        <v>3634.03725427956</v>
      </c>
      <c r="O29" s="57" t="n">
        <f aca="false">Channel_PL!O17*O9</f>
        <v>5212.2482476164</v>
      </c>
      <c r="P29" s="57" t="n">
        <f aca="false">Channel_PL!P17*P9</f>
        <v>4628.53704499454</v>
      </c>
      <c r="Q29" s="57" t="n">
        <f aca="false">Channel_PL!Q17*Q9</f>
        <v>2932.64680348385</v>
      </c>
      <c r="R29" s="57" t="n">
        <f aca="false">Channel_PL!R17*R9</f>
        <v>2773.62631904736</v>
      </c>
      <c r="S29" s="57" t="n">
        <f aca="false">Channel_PL!S17*S9</f>
        <v>3172.46708363611</v>
      </c>
      <c r="T29" s="57" t="n">
        <f aca="false">Channel_PL!T17*T9</f>
        <v>3332.99157890945</v>
      </c>
      <c r="U29" s="57" t="n">
        <f aca="false">Channel_PL!U17*U9</f>
        <v>3570.86964139255</v>
      </c>
      <c r="V29" s="57" t="n">
        <f aca="false">Channel_PL!V17*V9</f>
        <v>3519.39634139278</v>
      </c>
      <c r="W29" s="57" t="n">
        <f aca="false">Channel_PL!W17*W9</f>
        <v>3389.87539678389</v>
      </c>
      <c r="X29" s="57" t="n">
        <f aca="false">Channel_PL!X17*X9</f>
        <v>3369.92744227153</v>
      </c>
      <c r="Y29" s="57" t="n">
        <f aca="false">Channel_PL!Y17*Y9</f>
        <v>3854.51486792945</v>
      </c>
      <c r="Z29" s="57" t="n">
        <f aca="false">Channel_PL!Z17*Z9</f>
        <v>4433.52545022106</v>
      </c>
      <c r="AA29" s="57" t="n">
        <f aca="false">Channel_PL!AA17*AA9</f>
        <v>6358.94286209201</v>
      </c>
      <c r="AB29" s="57" t="n">
        <f aca="false">Channel_PL!AB17*AB9</f>
        <v>5646.81519489334</v>
      </c>
    </row>
    <row r="30" customFormat="false" ht="15" hidden="false" customHeight="true" outlineLevel="0" collapsed="false">
      <c r="A30" s="70" t="s">
        <v>312</v>
      </c>
      <c r="B30" s="71"/>
      <c r="C30" s="72" t="n">
        <f aca="false">SUM(E30:P30)</f>
        <v>1730488.96012946</v>
      </c>
      <c r="D30" s="72" t="n">
        <f aca="false">SUM(Q30:AB30)</f>
        <v>2268023.74178399</v>
      </c>
      <c r="E30" s="72" t="n">
        <f aca="false">E26+E27+E28+E29</f>
        <v>105346.711998897</v>
      </c>
      <c r="F30" s="72" t="n">
        <f aca="false">F26+F27+F28+F29</f>
        <v>102051.869810537</v>
      </c>
      <c r="G30" s="72" t="n">
        <f aca="false">G26+G27+G28+G29</f>
        <v>117965.898383769</v>
      </c>
      <c r="H30" s="72" t="n">
        <f aca="false">H26+H27+H28+H29</f>
        <v>122073.089009524</v>
      </c>
      <c r="I30" s="72" t="n">
        <f aca="false">I26+I27+I28+I29</f>
        <v>143772.966850584</v>
      </c>
      <c r="J30" s="72" t="n">
        <f aca="false">J26+J27+J28+J29</f>
        <v>136288.750404884</v>
      </c>
      <c r="K30" s="72" t="n">
        <f aca="false">K26+K27+K28+K29</f>
        <v>119674.966231601</v>
      </c>
      <c r="L30" s="72" t="n">
        <f aca="false">L26+L27+L28+L29</f>
        <v>125439.413951149</v>
      </c>
      <c r="M30" s="72" t="n">
        <f aca="false">M26+M27+M28+M29</f>
        <v>142086.863036412</v>
      </c>
      <c r="N30" s="72" t="n">
        <f aca="false">N26+N27+N28+N29</f>
        <v>164687.914240944</v>
      </c>
      <c r="O30" s="72" t="n">
        <f aca="false">O26+O27+O28+O29</f>
        <v>238047.597471184</v>
      </c>
      <c r="P30" s="72" t="n">
        <f aca="false">P26+P27+P28+P29</f>
        <v>213052.918739974</v>
      </c>
      <c r="Q30" s="72" t="n">
        <f aca="false">Q26+Q27+Q28+Q29</f>
        <v>136065.450479422</v>
      </c>
      <c r="R30" s="72" t="n">
        <f aca="false">R26+R27+R28+R29</f>
        <v>129724.016510523</v>
      </c>
      <c r="S30" s="72" t="n">
        <f aca="false">S26+S27+S28+S29</f>
        <v>149587.232968275</v>
      </c>
      <c r="T30" s="72" t="n">
        <f aca="false">T26+T27+T28+T29</f>
        <v>158452.056140247</v>
      </c>
      <c r="U30" s="72" t="n">
        <f aca="false">U26+U27+U28+U29</f>
        <v>171177.181859604</v>
      </c>
      <c r="V30" s="72" t="n">
        <f aca="false">V26+V27+V28+V29</f>
        <v>170133.912027747</v>
      </c>
      <c r="W30" s="72" t="n">
        <f aca="false">W26+W27+W28+W29</f>
        <v>165272.48912935</v>
      </c>
      <c r="X30" s="72" t="n">
        <f aca="false">X26+X27+X28+X29</f>
        <v>165720.206729752</v>
      </c>
      <c r="Y30" s="72" t="n">
        <f aca="false">Y26+Y27+Y28+Y29</f>
        <v>191208.571838983</v>
      </c>
      <c r="Z30" s="72" t="n">
        <f aca="false">Z26+Z27+Z28+Z29</f>
        <v>221878.316685853</v>
      </c>
      <c r="AA30" s="72" t="n">
        <f aca="false">AA26+AA27+AA28+AA29</f>
        <v>321088.378407034</v>
      </c>
      <c r="AB30" s="72" t="n">
        <f aca="false">AB26+AB27+AB28+AB29</f>
        <v>287715.929007196</v>
      </c>
    </row>
    <row r="31" customFormat="false" ht="15" hidden="false" customHeight="true" outlineLevel="0" collapsed="false">
      <c r="A31" s="28" t="s">
        <v>659</v>
      </c>
      <c r="B31" s="55" t="s">
        <v>68</v>
      </c>
      <c r="C31" s="56" t="n">
        <f aca="false">SUM(E31:P31)</f>
        <v>-696937.695727204</v>
      </c>
      <c r="D31" s="56" t="n">
        <f aca="false">SUM(Q31:AB31)</f>
        <v>-928047.285440448</v>
      </c>
      <c r="E31" s="57" t="n">
        <f aca="false">-(Volume_Price!E53+Volume_Price!E93+Volume_Price!E133)</f>
        <v>-41216.7</v>
      </c>
      <c r="F31" s="57" t="n">
        <f aca="false">-(Volume_Price!F53+Volume_Price!F93+Volume_Price!F133)</f>
        <v>-39858.56</v>
      </c>
      <c r="G31" s="57" t="n">
        <f aca="false">-(Volume_Price!G53+Volume_Price!G93+Volume_Price!G133)</f>
        <v>-47140.48</v>
      </c>
      <c r="H31" s="57" t="n">
        <f aca="false">-(Volume_Price!H53+Volume_Price!H93+Volume_Price!H133)</f>
        <v>-48670.02</v>
      </c>
      <c r="I31" s="57" t="n">
        <f aca="false">-(Volume_Price!I53+Volume_Price!I93+Volume_Price!I133)</f>
        <v>-57114.46</v>
      </c>
      <c r="J31" s="57" t="n">
        <f aca="false">-(Volume_Price!J53+Volume_Price!J93+Volume_Price!J133)</f>
        <v>-55148.28</v>
      </c>
      <c r="K31" s="57" t="n">
        <f aca="false">-(Volume_Price!K53+Volume_Price!K93+Volume_Price!K133)</f>
        <v>-48523.09</v>
      </c>
      <c r="L31" s="57" t="n">
        <f aca="false">-(Volume_Price!L53+Volume_Price!L93+Volume_Price!L133)</f>
        <v>-51067.25</v>
      </c>
      <c r="M31" s="57" t="n">
        <f aca="false">-(Volume_Price!M53+Volume_Price!M93+Volume_Price!M133)</f>
        <v>-57714.7309307278</v>
      </c>
      <c r="N31" s="57" t="n">
        <f aca="false">-(Volume_Price!N53+Volume_Price!N93+Volume_Price!N133)</f>
        <v>-66940.5482292506</v>
      </c>
      <c r="O31" s="57" t="n">
        <f aca="false">-(Volume_Price!O53+Volume_Price!O93+Volume_Price!O133)</f>
        <v>-96825.182835235</v>
      </c>
      <c r="P31" s="57" t="n">
        <f aca="false">-(Volume_Price!P53+Volume_Price!P93+Volume_Price!P133)</f>
        <v>-86718.3937319905</v>
      </c>
      <c r="Q31" s="57" t="n">
        <f aca="false">-(Volume_Price!Q53+Volume_Price!Q93+Volume_Price!Q133)</f>
        <v>-55420.8349807678</v>
      </c>
      <c r="R31" s="57" t="n">
        <f aca="false">-(Volume_Price!R53+Volume_Price!R93+Volume_Price!R133)</f>
        <v>-52874.8716790513</v>
      </c>
      <c r="S31" s="57" t="n">
        <f aca="false">-(Volume_Price!S53+Volume_Price!S93+Volume_Price!S133)</f>
        <v>-61014.0010809632</v>
      </c>
      <c r="T31" s="57" t="n">
        <f aca="false">-(Volume_Price!T53+Volume_Price!T93+Volume_Price!T133)</f>
        <v>-64675.7113828187</v>
      </c>
      <c r="U31" s="57" t="n">
        <f aca="false">-(Volume_Price!U53+Volume_Price!U93+Volume_Price!U133)</f>
        <v>-69919.7569553748</v>
      </c>
      <c r="V31" s="57" t="n">
        <f aca="false">-(Volume_Price!V53+Volume_Price!V93+Volume_Price!V133)</f>
        <v>-69543.7323064097</v>
      </c>
      <c r="W31" s="57" t="n">
        <f aca="false">-(Volume_Price!W53+Volume_Price!W93+Volume_Price!W133)</f>
        <v>-67605.6715634081</v>
      </c>
      <c r="X31" s="57" t="n">
        <f aca="false">-(Volume_Price!X53+Volume_Price!X93+Volume_Price!X133)</f>
        <v>-67838.4466269546</v>
      </c>
      <c r="Y31" s="57" t="n">
        <f aca="false">-(Volume_Price!Y53+Volume_Price!Y93+Volume_Price!Y133)</f>
        <v>-78329.9916125648</v>
      </c>
      <c r="Z31" s="57" t="n">
        <f aca="false">-(Volume_Price!Z53+Volume_Price!Z93+Volume_Price!Z133)</f>
        <v>-90961.6493980038</v>
      </c>
      <c r="AA31" s="57" t="n">
        <f aca="false">-(Volume_Price!AA53+Volume_Price!AA93+Volume_Price!AA133)</f>
        <v>-131732.598949367</v>
      </c>
      <c r="AB31" s="57" t="n">
        <f aca="false">-(Volume_Price!AB53+Volume_Price!AB93+Volume_Price!AB133)</f>
        <v>-118130.018904764</v>
      </c>
    </row>
    <row r="32" customFormat="false" ht="15" hidden="false" customHeight="true" outlineLevel="0" collapsed="false">
      <c r="A32" s="28" t="s">
        <v>739</v>
      </c>
      <c r="B32" s="55" t="s">
        <v>736</v>
      </c>
      <c r="C32" s="56" t="n">
        <f aca="false">SUM(E32:P32)</f>
        <v>30928.7054252074</v>
      </c>
      <c r="D32" s="56" t="n">
        <f aca="false">SUM(Q32:AB32)</f>
        <v>42352.7288697519</v>
      </c>
      <c r="E32" s="57" t="n">
        <f aca="false">Channel_PL!E21*E9+Channel_PL!E58*E14+Channel_PL!E92*E19</f>
        <v>1706.07863719019</v>
      </c>
      <c r="F32" s="57" t="n">
        <f aca="false">Channel_PL!F21*F9+Channel_PL!F58*F14+Channel_PL!F92*F19</f>
        <v>1671.243844606</v>
      </c>
      <c r="G32" s="57" t="n">
        <f aca="false">Channel_PL!G21*G9+Channel_PL!G58*G14+Channel_PL!G92*G19</f>
        <v>2120.88764614971</v>
      </c>
      <c r="H32" s="57" t="n">
        <f aca="false">Channel_PL!H21*H9+Channel_PL!H58*H14+Channel_PL!H92*H19</f>
        <v>1952.78774782143</v>
      </c>
      <c r="I32" s="57" t="n">
        <f aca="false">Channel_PL!I21*I9+Channel_PL!I58*I14+Channel_PL!I92*I19</f>
        <v>2476.89206354119</v>
      </c>
      <c r="J32" s="57" t="n">
        <f aca="false">Channel_PL!J21*J9+Channel_PL!J58*J14+Channel_PL!J92*J19</f>
        <v>2651.96730632064</v>
      </c>
      <c r="K32" s="57" t="n">
        <f aca="false">Channel_PL!K21*K9+Channel_PL!K58*K14+Channel_PL!K92*K19</f>
        <v>2080.95318400001</v>
      </c>
      <c r="L32" s="57" t="n">
        <f aca="false">Channel_PL!L21*L9+Channel_PL!L58*L14+Channel_PL!L92*L19</f>
        <v>2309.47748652151</v>
      </c>
      <c r="M32" s="57" t="n">
        <f aca="false">Channel_PL!M21*M9+Channel_PL!M58*M14+Channel_PL!M92*M19</f>
        <v>2610.32721422975</v>
      </c>
      <c r="N32" s="57" t="n">
        <f aca="false">Channel_PL!N21*N9+Channel_PL!N58*N14+Channel_PL!N92*N19</f>
        <v>3030.03366161264</v>
      </c>
      <c r="O32" s="57" t="n">
        <f aca="false">Channel_PL!O21*O9+Channel_PL!O58*O14+Channel_PL!O92*O19</f>
        <v>4386.32861299027</v>
      </c>
      <c r="P32" s="57" t="n">
        <f aca="false">Channel_PL!P21*P9+Channel_PL!P58*P14+Channel_PL!P92*P19</f>
        <v>3931.72802022401</v>
      </c>
      <c r="Q32" s="57" t="n">
        <f aca="false">Channel_PL!Q21*Q9+Channel_PL!Q58*Q14+Channel_PL!Q92*Q19</f>
        <v>2514.83488420055</v>
      </c>
      <c r="R32" s="57" t="n">
        <f aca="false">Channel_PL!R21*R9+Channel_PL!R58*R14+Channel_PL!R92*R19</f>
        <v>2401.34567117472</v>
      </c>
      <c r="S32" s="57" t="n">
        <f aca="false">Channel_PL!S21*S9+Channel_PL!S58*S14+Channel_PL!S92*S19</f>
        <v>2773.37491987229</v>
      </c>
      <c r="T32" s="57" t="n">
        <f aca="false">Channel_PL!T21*T9+Channel_PL!T58*T14+Channel_PL!T92*T19</f>
        <v>2942.38028064251</v>
      </c>
      <c r="U32" s="57" t="n">
        <f aca="false">Channel_PL!U21*U9+Channel_PL!U58*U14+Channel_PL!U92*U19</f>
        <v>3183.76343561529</v>
      </c>
      <c r="V32" s="57" t="n">
        <f aca="false">Channel_PL!V21*V9+Channel_PL!V58*V14+Channel_PL!V92*V19</f>
        <v>3169.47223637964</v>
      </c>
      <c r="W32" s="57" t="n">
        <f aca="false">Channel_PL!W21*W9+Channel_PL!W58*W14+Channel_PL!W92*W19</f>
        <v>3083.93304877223</v>
      </c>
      <c r="X32" s="57" t="n">
        <f aca="false">Channel_PL!X21*X9+Channel_PL!X58*X14+Channel_PL!X92*X19</f>
        <v>3097.38595805018</v>
      </c>
      <c r="Y32" s="57" t="n">
        <f aca="false">Channel_PL!Y21*Y9+Channel_PL!Y58*Y14+Channel_PL!Y92*Y19</f>
        <v>3579.72682205943</v>
      </c>
      <c r="Z32" s="57" t="n">
        <f aca="false">Channel_PL!Z21*Z9+Channel_PL!Z58*Z14+Channel_PL!Z92*Z19</f>
        <v>4160.89969821399</v>
      </c>
      <c r="AA32" s="57" t="n">
        <f aca="false">Channel_PL!AA21*AA9+Channel_PL!AA58*AA14+Channel_PL!AA92*AA19</f>
        <v>6031.62057335258</v>
      </c>
      <c r="AB32" s="57" t="n">
        <f aca="false">Channel_PL!AB21*AB9+Channel_PL!AB58*AB14+Channel_PL!AB92*AB19</f>
        <v>5413.9913414185</v>
      </c>
    </row>
    <row r="33" customFormat="false" ht="15" hidden="false" customHeight="true" outlineLevel="0" collapsed="false">
      <c r="A33" s="70" t="s">
        <v>662</v>
      </c>
      <c r="B33" s="71"/>
      <c r="C33" s="72" t="n">
        <f aca="false">SUM(E33:P33)</f>
        <v>-666008.990301997</v>
      </c>
      <c r="D33" s="72" t="n">
        <f aca="false">SUM(Q33:AB33)</f>
        <v>-885694.556570696</v>
      </c>
      <c r="E33" s="72" t="n">
        <f aca="false">E31+E32</f>
        <v>-39510.6213628098</v>
      </c>
      <c r="F33" s="72" t="n">
        <f aca="false">F31+F32</f>
        <v>-38187.316155394</v>
      </c>
      <c r="G33" s="72" t="n">
        <f aca="false">G31+G32</f>
        <v>-45019.5923538503</v>
      </c>
      <c r="H33" s="72" t="n">
        <f aca="false">H31+H32</f>
        <v>-46717.2322521786</v>
      </c>
      <c r="I33" s="72" t="n">
        <f aca="false">I31+I32</f>
        <v>-54637.5679364588</v>
      </c>
      <c r="J33" s="72" t="n">
        <f aca="false">J31+J32</f>
        <v>-52496.3126936794</v>
      </c>
      <c r="K33" s="72" t="n">
        <f aca="false">K31+K32</f>
        <v>-46442.136816</v>
      </c>
      <c r="L33" s="72" t="n">
        <f aca="false">L31+L32</f>
        <v>-48757.7725134785</v>
      </c>
      <c r="M33" s="72" t="n">
        <f aca="false">M31+M32</f>
        <v>-55104.403716498</v>
      </c>
      <c r="N33" s="72" t="n">
        <f aca="false">N31+N32</f>
        <v>-63910.5145676379</v>
      </c>
      <c r="O33" s="72" t="n">
        <f aca="false">O31+O32</f>
        <v>-92438.8542222448</v>
      </c>
      <c r="P33" s="72" t="n">
        <f aca="false">P31+P32</f>
        <v>-82786.6657117665</v>
      </c>
      <c r="Q33" s="72" t="n">
        <f aca="false">Q31+Q32</f>
        <v>-52906.0000965673</v>
      </c>
      <c r="R33" s="72" t="n">
        <f aca="false">R31+R32</f>
        <v>-50473.5260078766</v>
      </c>
      <c r="S33" s="72" t="n">
        <f aca="false">S31+S32</f>
        <v>-58240.6261610909</v>
      </c>
      <c r="T33" s="72" t="n">
        <f aca="false">T31+T32</f>
        <v>-61733.3311021762</v>
      </c>
      <c r="U33" s="72" t="n">
        <f aca="false">U31+U32</f>
        <v>-66735.9935197595</v>
      </c>
      <c r="V33" s="72" t="n">
        <f aca="false">V31+V32</f>
        <v>-66374.2600700301</v>
      </c>
      <c r="W33" s="72" t="n">
        <f aca="false">W31+W32</f>
        <v>-64521.7385146358</v>
      </c>
      <c r="X33" s="72" t="n">
        <f aca="false">X31+X32</f>
        <v>-64741.0606689044</v>
      </c>
      <c r="Y33" s="72" t="n">
        <f aca="false">Y31+Y32</f>
        <v>-74750.2647905054</v>
      </c>
      <c r="Z33" s="72" t="n">
        <f aca="false">Z31+Z32</f>
        <v>-86800.7496997898</v>
      </c>
      <c r="AA33" s="72" t="n">
        <f aca="false">AA31+AA32</f>
        <v>-125700.978376015</v>
      </c>
      <c r="AB33" s="72" t="n">
        <f aca="false">AB31+AB32</f>
        <v>-112716.027563346</v>
      </c>
    </row>
    <row r="34" customFormat="false" ht="15" hidden="false" customHeight="true" outlineLevel="0" collapsed="false">
      <c r="A34" s="70" t="s">
        <v>319</v>
      </c>
      <c r="B34" s="71"/>
      <c r="C34" s="72" t="n">
        <f aca="false">SUM(E34:P34)</f>
        <v>1064479.96982746</v>
      </c>
      <c r="D34" s="72" t="n">
        <f aca="false">SUM(Q34:AB34)</f>
        <v>1382329.18521329</v>
      </c>
      <c r="E34" s="72" t="n">
        <f aca="false">E30+E33</f>
        <v>65836.0906360869</v>
      </c>
      <c r="F34" s="72" t="n">
        <f aca="false">F30+F33</f>
        <v>63864.5536551432</v>
      </c>
      <c r="G34" s="72" t="n">
        <f aca="false">G30+G33</f>
        <v>72946.3060299188</v>
      </c>
      <c r="H34" s="72" t="n">
        <f aca="false">H30+H33</f>
        <v>75355.8567573456</v>
      </c>
      <c r="I34" s="72" t="n">
        <f aca="false">I30+I33</f>
        <v>89135.3989141255</v>
      </c>
      <c r="J34" s="72" t="n">
        <f aca="false">J30+J33</f>
        <v>83792.437711205</v>
      </c>
      <c r="K34" s="72" t="n">
        <f aca="false">K30+K33</f>
        <v>73232.8294156012</v>
      </c>
      <c r="L34" s="72" t="n">
        <f aca="false">L30+L33</f>
        <v>76681.6414376702</v>
      </c>
      <c r="M34" s="72" t="n">
        <f aca="false">M30+M33</f>
        <v>86982.4593199136</v>
      </c>
      <c r="N34" s="72" t="n">
        <f aca="false">N30+N33</f>
        <v>100777.399673306</v>
      </c>
      <c r="O34" s="72" t="n">
        <f aca="false">O30+O33</f>
        <v>145608.74324894</v>
      </c>
      <c r="P34" s="72" t="n">
        <f aca="false">P30+P33</f>
        <v>130266.253028207</v>
      </c>
      <c r="Q34" s="72" t="n">
        <f aca="false">Q30+Q33</f>
        <v>83159.4503828544</v>
      </c>
      <c r="R34" s="72" t="n">
        <f aca="false">R30+R33</f>
        <v>79250.4905026466</v>
      </c>
      <c r="S34" s="72" t="n">
        <f aca="false">S30+S33</f>
        <v>91346.6068071837</v>
      </c>
      <c r="T34" s="72" t="n">
        <f aca="false">T30+T33</f>
        <v>96718.7250380711</v>
      </c>
      <c r="U34" s="72" t="n">
        <f aca="false">U30+U33</f>
        <v>104441.188339845</v>
      </c>
      <c r="V34" s="72" t="n">
        <f aca="false">V30+V33</f>
        <v>103759.651957717</v>
      </c>
      <c r="W34" s="72" t="n">
        <f aca="false">W30+W33</f>
        <v>100750.750614715</v>
      </c>
      <c r="X34" s="72" t="n">
        <f aca="false">X30+X33</f>
        <v>100979.146060847</v>
      </c>
      <c r="Y34" s="72" t="n">
        <f aca="false">Y30+Y33</f>
        <v>116458.307048478</v>
      </c>
      <c r="Z34" s="72" t="n">
        <f aca="false">Z30+Z33</f>
        <v>135077.566986063</v>
      </c>
      <c r="AA34" s="72" t="n">
        <f aca="false">AA30+AA33</f>
        <v>195387.400031019</v>
      </c>
      <c r="AB34" s="72" t="n">
        <f aca="false">AB30+AB33</f>
        <v>174999.90144385</v>
      </c>
    </row>
    <row r="35" customFormat="false" ht="15" hidden="false" customHeight="true" outlineLevel="0" collapsed="false">
      <c r="A35" s="28" t="s">
        <v>269</v>
      </c>
      <c r="B35" s="55"/>
      <c r="C35" s="59" t="n">
        <f aca="false">IF(C30=0,0,C34/C30)</f>
        <v>0.615132482409959</v>
      </c>
      <c r="D35" s="59" t="n">
        <f aca="false">IF(D30=0,0,D34/D30)</f>
        <v>0.609486205874536</v>
      </c>
      <c r="E35" s="58" t="n">
        <f aca="false">IF(E30=0,0,E34/E30)</f>
        <v>0.624946800777004</v>
      </c>
      <c r="F35" s="58" t="n">
        <f aca="false">IF(F30=0,0,F34/F30)</f>
        <v>0.625804836047688</v>
      </c>
      <c r="G35" s="58" t="n">
        <f aca="false">IF(G30=0,0,G34/G30)</f>
        <v>0.61836774041773</v>
      </c>
      <c r="H35" s="58" t="n">
        <f aca="false">IF(H30=0,0,H34/H30)</f>
        <v>0.617301137939307</v>
      </c>
      <c r="I35" s="58" t="n">
        <f aca="false">IF(I30=0,0,I34/I30)</f>
        <v>0.619973287514886</v>
      </c>
      <c r="J35" s="58" t="n">
        <f aca="false">IF(J30=0,0,J34/J30)</f>
        <v>0.614815510908097</v>
      </c>
      <c r="K35" s="58" t="n">
        <f aca="false">IF(K30=0,0,K34/K30)</f>
        <v>0.611931063961006</v>
      </c>
      <c r="L35" s="58" t="n">
        <f aca="false">IF(L30=0,0,L34/L30)</f>
        <v>0.611304206726709</v>
      </c>
      <c r="M35" s="58" t="n">
        <f aca="false">IF(M30=0,0,M34/M30)</f>
        <v>0.612178054051508</v>
      </c>
      <c r="N35" s="58" t="n">
        <f aca="false">IF(N30=0,0,N34/N30)</f>
        <v>0.611929540414636</v>
      </c>
      <c r="O35" s="58" t="n">
        <f aca="false">IF(O30=0,0,O34/O30)</f>
        <v>0.611679112899115</v>
      </c>
      <c r="P35" s="58" t="n">
        <f aca="false">IF(P30=0,0,P34/P30)</f>
        <v>0.611426746925698</v>
      </c>
      <c r="Q35" s="58" t="n">
        <f aca="false">IF(Q30=0,0,Q34/Q30)</f>
        <v>0.611172418052085</v>
      </c>
      <c r="R35" s="58" t="n">
        <f aca="false">IF(R30=0,0,R34/R30)</f>
        <v>0.610916102001959</v>
      </c>
      <c r="S35" s="58" t="n">
        <f aca="false">IF(S30=0,0,S34/S30)</f>
        <v>0.610657774694964</v>
      </c>
      <c r="T35" s="58" t="n">
        <f aca="false">IF(T30=0,0,T34/T30)</f>
        <v>0.610397412277595</v>
      </c>
      <c r="U35" s="58" t="n">
        <f aca="false">IF(U30=0,0,U34/U30)</f>
        <v>0.610134991154985</v>
      </c>
      <c r="V35" s="58" t="n">
        <f aca="false">IF(V30=0,0,V34/V30)</f>
        <v>0.609870488023544</v>
      </c>
      <c r="W35" s="58" t="n">
        <f aca="false">IF(W30=0,0,W34/W30)</f>
        <v>0.609603879904429</v>
      </c>
      <c r="X35" s="58" t="n">
        <f aca="false">IF(X30=0,0,X34/X30)</f>
        <v>0.609335144177795</v>
      </c>
      <c r="Y35" s="58" t="n">
        <f aca="false">IF(Y30=0,0,Y34/Y30)</f>
        <v>0.609064258617796</v>
      </c>
      <c r="Z35" s="58" t="n">
        <f aca="false">IF(Z30=0,0,Z34/Z30)</f>
        <v>0.608791201428273</v>
      </c>
      <c r="AA35" s="58" t="n">
        <f aca="false">IF(AA30=0,0,AA34/AA30)</f>
        <v>0.608515951279098</v>
      </c>
      <c r="AB35" s="58" t="n">
        <f aca="false">IF(AB30=0,0,AB34/AB30)</f>
        <v>0.608238487343094</v>
      </c>
    </row>
    <row r="36" customFormat="false" ht="15" hidden="false" customHeight="true" outlineLevel="0" collapsed="false">
      <c r="A36" s="28" t="s">
        <v>740</v>
      </c>
      <c r="B36" s="55" t="s">
        <v>736</v>
      </c>
      <c r="C36" s="56" t="n">
        <f aca="false">SUM(E36:P36)</f>
        <v>-391151.248241509</v>
      </c>
      <c r="D36" s="56" t="n">
        <f aca="false">SUM(Q36:AB36)</f>
        <v>-514259.952981241</v>
      </c>
      <c r="E36" s="57" t="n">
        <f aca="false">Channel_PL!E28*E9+Channel_PL!E66*E14+Channel_PL!E99*E19</f>
        <v>-23136.2528767923</v>
      </c>
      <c r="F36" s="57" t="n">
        <f aca="false">Channel_PL!F28*F9+Channel_PL!F66*F14+Channel_PL!F99*F19</f>
        <v>-22024.1875938489</v>
      </c>
      <c r="G36" s="57" t="n">
        <f aca="false">Channel_PL!G28*G9+Channel_PL!G66*G14+Channel_PL!G99*G19</f>
        <v>-26084.7542570933</v>
      </c>
      <c r="H36" s="57" t="n">
        <f aca="false">Channel_PL!H28*H9+Channel_PL!H66*H14+Channel_PL!H99*H19</f>
        <v>-27414.6498326118</v>
      </c>
      <c r="I36" s="57" t="n">
        <f aca="false">Channel_PL!I28*I9+Channel_PL!I66*I14+Channel_PL!I99*I19</f>
        <v>-31376.4919299353</v>
      </c>
      <c r="J36" s="57" t="n">
        <f aca="false">Channel_PL!J28*J9+Channel_PL!J66*J14+Channel_PL!J99*J19</f>
        <v>-31457.6003204822</v>
      </c>
      <c r="K36" s="57" t="n">
        <f aca="false">Channel_PL!K28*K9+Channel_PL!K66*K14+Channel_PL!K99*K19</f>
        <v>-27009.4649896515</v>
      </c>
      <c r="L36" s="57" t="n">
        <f aca="false">Channel_PL!L28*L9+Channel_PL!L66*L14+Channel_PL!L99*L19</f>
        <v>-28050.3117529655</v>
      </c>
      <c r="M36" s="57" t="n">
        <f aca="false">Channel_PL!M28*M9+Channel_PL!M66*M14+Channel_PL!M99*M19</f>
        <v>-31843.7071564927</v>
      </c>
      <c r="N36" s="57" t="n">
        <f aca="false">Channel_PL!N28*N9+Channel_PL!N66*N14+Channel_PL!N99*N19</f>
        <v>-38187.2661423259</v>
      </c>
      <c r="O36" s="57" t="n">
        <f aca="false">Channel_PL!O28*O9+Channel_PL!O66*O14+Channel_PL!O99*O19</f>
        <v>-55185.5778596451</v>
      </c>
      <c r="P36" s="57" t="n">
        <f aca="false">Channel_PL!P28*P9+Channel_PL!P66*P14+Channel_PL!P99*P19</f>
        <v>-49380.9835296648</v>
      </c>
      <c r="Q36" s="57" t="n">
        <f aca="false">Channel_PL!Q28*Q9+Channel_PL!Q66*Q14+Channel_PL!Q99*Q19</f>
        <v>-30483.4349964681</v>
      </c>
      <c r="R36" s="57" t="n">
        <f aca="false">Channel_PL!R28*R9+Channel_PL!R66*R14+Channel_PL!R99*R19</f>
        <v>-29061.3076906947</v>
      </c>
      <c r="S36" s="57" t="n">
        <f aca="false">Channel_PL!S28*S9+Channel_PL!S66*S14+Channel_PL!S99*S19</f>
        <v>-33510.0379472515</v>
      </c>
      <c r="T36" s="57" t="n">
        <f aca="false">Channel_PL!T28*T9+Channel_PL!T66*T14+Channel_PL!T99*T19</f>
        <v>-35495.296637002</v>
      </c>
      <c r="U36" s="57" t="n">
        <f aca="false">Channel_PL!U28*U9+Channel_PL!U66*U14+Channel_PL!U99*U19</f>
        <v>-38345.8413007548</v>
      </c>
      <c r="V36" s="57" t="n">
        <f aca="false">Channel_PL!V28*V9+Channel_PL!V66*V14+Channel_PL!V99*V19</f>
        <v>-38112.6977808349</v>
      </c>
      <c r="W36" s="57" t="n">
        <f aca="false">Channel_PL!W28*W9+Channel_PL!W66*W14+Channel_PL!W99*W19</f>
        <v>-37024.7997342941</v>
      </c>
      <c r="X36" s="57" t="n">
        <f aca="false">Channel_PL!X28*X9+Channel_PL!X66*X14+Channel_PL!X99*X19</f>
        <v>-37126.8333640561</v>
      </c>
      <c r="Y36" s="57" t="n">
        <f aca="false">Channel_PL!Y28*Y9+Channel_PL!Y66*Y14+Channel_PL!Y99*Y19</f>
        <v>-42839.7606500334</v>
      </c>
      <c r="Z36" s="57" t="n">
        <f aca="false">Channel_PL!Z28*Z9+Channel_PL!Z66*Z14+Channel_PL!Z99*Z19</f>
        <v>-51356.7106908348</v>
      </c>
      <c r="AA36" s="57" t="n">
        <f aca="false">Channel_PL!AA28*AA9+Channel_PL!AA66*AA14+Channel_PL!AA99*AA19</f>
        <v>-74315.3608017415</v>
      </c>
      <c r="AB36" s="57" t="n">
        <f aca="false">Channel_PL!AB28*AB9+Channel_PL!AB66*AB14+Channel_PL!AB99*AB19</f>
        <v>-66587.8713872754</v>
      </c>
    </row>
    <row r="37" customFormat="false" ht="15" hidden="false" customHeight="true" outlineLevel="0" collapsed="false">
      <c r="A37" s="70" t="s">
        <v>324</v>
      </c>
      <c r="B37" s="71"/>
      <c r="C37" s="72" t="n">
        <f aca="false">SUM(E37:P37)</f>
        <v>673328.721585953</v>
      </c>
      <c r="D37" s="72" t="n">
        <f aca="false">SUM(Q37:AB37)</f>
        <v>868069.232232048</v>
      </c>
      <c r="E37" s="72" t="n">
        <f aca="false">E34+E36</f>
        <v>42699.8377592946</v>
      </c>
      <c r="F37" s="72" t="n">
        <f aca="false">F34+F36</f>
        <v>41840.3660612943</v>
      </c>
      <c r="G37" s="72" t="n">
        <f aca="false">G34+G36</f>
        <v>46861.5517728255</v>
      </c>
      <c r="H37" s="72" t="n">
        <f aca="false">H34+H36</f>
        <v>47941.2069247338</v>
      </c>
      <c r="I37" s="72" t="n">
        <f aca="false">I34+I36</f>
        <v>57758.9069841902</v>
      </c>
      <c r="J37" s="72" t="n">
        <f aca="false">J34+J36</f>
        <v>52334.8373907228</v>
      </c>
      <c r="K37" s="72" t="n">
        <f aca="false">K34+K36</f>
        <v>46223.3644259497</v>
      </c>
      <c r="L37" s="72" t="n">
        <f aca="false">L34+L36</f>
        <v>48631.3296847046</v>
      </c>
      <c r="M37" s="72" t="n">
        <f aca="false">M34+M36</f>
        <v>55138.7521634209</v>
      </c>
      <c r="N37" s="72" t="n">
        <f aca="false">N34+N36</f>
        <v>62590.1335309797</v>
      </c>
      <c r="O37" s="72" t="n">
        <f aca="false">O34+O36</f>
        <v>90423.1653892946</v>
      </c>
      <c r="P37" s="72" t="n">
        <f aca="false">P34+P36</f>
        <v>80885.2694985423</v>
      </c>
      <c r="Q37" s="72" t="n">
        <f aca="false">Q34+Q36</f>
        <v>52676.0153863863</v>
      </c>
      <c r="R37" s="72" t="n">
        <f aca="false">R34+R36</f>
        <v>50189.1828119519</v>
      </c>
      <c r="S37" s="72" t="n">
        <f aca="false">S34+S36</f>
        <v>57836.5688599322</v>
      </c>
      <c r="T37" s="72" t="n">
        <f aca="false">T34+T36</f>
        <v>61223.4284010692</v>
      </c>
      <c r="U37" s="72" t="n">
        <f aca="false">U34+U36</f>
        <v>66095.3470390902</v>
      </c>
      <c r="V37" s="72" t="n">
        <f aca="false">V34+V36</f>
        <v>65646.9541768818</v>
      </c>
      <c r="W37" s="72" t="n">
        <f aca="false">W34+W36</f>
        <v>63725.9508804204</v>
      </c>
      <c r="X37" s="72" t="n">
        <f aca="false">X34+X36</f>
        <v>63852.3126967912</v>
      </c>
      <c r="Y37" s="72" t="n">
        <f aca="false">Y34+Y36</f>
        <v>73618.5463984443</v>
      </c>
      <c r="Z37" s="72" t="n">
        <f aca="false">Z34+Z36</f>
        <v>83720.8562952284</v>
      </c>
      <c r="AA37" s="72" t="n">
        <f aca="false">AA34+AA36</f>
        <v>121072.039229278</v>
      </c>
      <c r="AB37" s="72" t="n">
        <f aca="false">AB34+AB36</f>
        <v>108412.030056574</v>
      </c>
    </row>
    <row r="38" customFormat="false" ht="15" hidden="false" customHeight="true" outlineLevel="0" collapsed="false">
      <c r="A38" s="28" t="s">
        <v>741</v>
      </c>
      <c r="B38" s="55" t="s">
        <v>736</v>
      </c>
      <c r="C38" s="56" t="n">
        <f aca="false">SUM(E38:P38)</f>
        <v>-250103.379635374</v>
      </c>
      <c r="D38" s="56" t="n">
        <f aca="false">SUM(Q38:AB38)</f>
        <v>-324920.611360311</v>
      </c>
      <c r="E38" s="57" t="n">
        <f aca="false">Channel_PL!E33*E9+Channel_PL!E69*E14+Channel_PL!E102*E19</f>
        <v>-13925.9819564243</v>
      </c>
      <c r="F38" s="57" t="n">
        <f aca="false">Channel_PL!F33*F9+Channel_PL!F69*F14+Channel_PL!F102*F19</f>
        <v>-14368.4879289456</v>
      </c>
      <c r="G38" s="57" t="n">
        <f aca="false">Channel_PL!G33*G9+Channel_PL!G69*G14+Channel_PL!G102*G19</f>
        <v>-17203.6339115052</v>
      </c>
      <c r="H38" s="57" t="n">
        <f aca="false">Channel_PL!H33*H9+Channel_PL!H69*H14+Channel_PL!H102*H19</f>
        <v>-17140.1384783986</v>
      </c>
      <c r="I38" s="57" t="n">
        <f aca="false">Channel_PL!I33*I9+Channel_PL!I69*I14+Channel_PL!I102*I19</f>
        <v>-20655.1179754821</v>
      </c>
      <c r="J38" s="57" t="n">
        <f aca="false">Channel_PL!J33*J9+Channel_PL!J69*J14+Channel_PL!J102*J19</f>
        <v>-19874.4289691662</v>
      </c>
      <c r="K38" s="57" t="n">
        <f aca="false">Channel_PL!K33*K9+Channel_PL!K69*K14+Channel_PL!K102*K19</f>
        <v>-17991.5916987863</v>
      </c>
      <c r="L38" s="57" t="n">
        <f aca="false">Channel_PL!L33*L9+Channel_PL!L69*L14+Channel_PL!L102*L19</f>
        <v>-19249.4337502431</v>
      </c>
      <c r="M38" s="57" t="n">
        <f aca="false">Channel_PL!M33*M9+Channel_PL!M69*M14+Channel_PL!M102*M19</f>
        <v>-20604.7485266493</v>
      </c>
      <c r="N38" s="57" t="n">
        <f aca="false">Channel_PL!N33*N9+Channel_PL!N69*N14+Channel_PL!N102*N19</f>
        <v>-23855.5117725633</v>
      </c>
      <c r="O38" s="57" t="n">
        <f aca="false">Channel_PL!O33*O9+Channel_PL!O69*O14+Channel_PL!O102*O19</f>
        <v>-34442.9372100072</v>
      </c>
      <c r="P38" s="57" t="n">
        <f aca="false">Channel_PL!P33*P9+Channel_PL!P69*P14+Channel_PL!P102*P19</f>
        <v>-30791.3674572032</v>
      </c>
      <c r="Q38" s="57" t="n">
        <f aca="false">Channel_PL!Q33*Q9+Channel_PL!Q69*Q14+Channel_PL!Q102*Q19</f>
        <v>-19642.2031212509</v>
      </c>
      <c r="R38" s="57" t="n">
        <f aca="false">Channel_PL!R33*R9+Channel_PL!R69*R14+Channel_PL!R102*R19</f>
        <v>-18705.0681919943</v>
      </c>
      <c r="S38" s="57" t="n">
        <f aca="false">Channel_PL!S33*S9+Channel_PL!S69*S14+Channel_PL!S102*S19</f>
        <v>-21543.9701883403</v>
      </c>
      <c r="T38" s="57" t="n">
        <f aca="false">Channel_PL!T33*T9+Channel_PL!T69*T14+Channel_PL!T102*T19</f>
        <v>-22793.8201893238</v>
      </c>
      <c r="U38" s="57" t="n">
        <f aca="false">Channel_PL!U33*U9+Channel_PL!U69*U14+Channel_PL!U102*U19</f>
        <v>-24595.1156055501</v>
      </c>
      <c r="V38" s="57" t="n">
        <f aca="false">Channel_PL!V33*V9+Channel_PL!V69*V14+Channel_PL!V102*V19</f>
        <v>-24415.9358878403</v>
      </c>
      <c r="W38" s="57" t="n">
        <f aca="false">Channel_PL!W33*W9+Channel_PL!W69*W14+Channel_PL!W102*W19</f>
        <v>-23689.6306685656</v>
      </c>
      <c r="X38" s="57" t="n">
        <f aca="false">Channel_PL!X33*X9+Channel_PL!X69*X14+Channel_PL!X102*X19</f>
        <v>-23724.8883124826</v>
      </c>
      <c r="Y38" s="57" t="n">
        <f aca="false">Channel_PL!Y33*Y9+Channel_PL!Y69*Y14+Channel_PL!Y102*Y19</f>
        <v>-27340.2715898493</v>
      </c>
      <c r="Z38" s="57" t="n">
        <f aca="false">Channel_PL!Z33*Z9+Channel_PL!Z69*Z14+Channel_PL!Z102*Z19</f>
        <v>-31686.3978815315</v>
      </c>
      <c r="AA38" s="57" t="n">
        <f aca="false">Channel_PL!AA33*AA9+Channel_PL!AA69*AA14+Channel_PL!AA102*AA19</f>
        <v>-45797.4128001085</v>
      </c>
      <c r="AB38" s="57" t="n">
        <f aca="false">Channel_PL!AB33*AB9+Channel_PL!AB69*AB14+Channel_PL!AB102*AB19</f>
        <v>-40985.896923474</v>
      </c>
    </row>
    <row r="39" customFormat="false" ht="15" hidden="false" customHeight="true" outlineLevel="0" collapsed="false">
      <c r="A39" s="70" t="s">
        <v>330</v>
      </c>
      <c r="B39" s="71"/>
      <c r="C39" s="72" t="n">
        <f aca="false">SUM(E39:P39)</f>
        <v>423225.341950579</v>
      </c>
      <c r="D39" s="72" t="n">
        <f aca="false">SUM(Q39:AB39)</f>
        <v>543148.620871736</v>
      </c>
      <c r="E39" s="72" t="n">
        <f aca="false">E37+E38</f>
        <v>28773.8558028702</v>
      </c>
      <c r="F39" s="72" t="n">
        <f aca="false">F37+F38</f>
        <v>27471.8781323487</v>
      </c>
      <c r="G39" s="72" t="n">
        <f aca="false">G37+G38</f>
        <v>29657.9178613203</v>
      </c>
      <c r="H39" s="72" t="n">
        <f aca="false">H37+H38</f>
        <v>30801.0684463352</v>
      </c>
      <c r="I39" s="72" t="n">
        <f aca="false">I37+I38</f>
        <v>37103.7890087081</v>
      </c>
      <c r="J39" s="72" t="n">
        <f aca="false">J37+J38</f>
        <v>32460.4084215566</v>
      </c>
      <c r="K39" s="72" t="n">
        <f aca="false">K37+K38</f>
        <v>28231.7727271633</v>
      </c>
      <c r="L39" s="72" t="n">
        <f aca="false">L37+L38</f>
        <v>29381.8959344615</v>
      </c>
      <c r="M39" s="72" t="n">
        <f aca="false">M37+M38</f>
        <v>34534.0036367716</v>
      </c>
      <c r="N39" s="72" t="n">
        <f aca="false">N37+N38</f>
        <v>38734.6217584164</v>
      </c>
      <c r="O39" s="72" t="n">
        <f aca="false">O37+O38</f>
        <v>55980.2281792874</v>
      </c>
      <c r="P39" s="72" t="n">
        <f aca="false">P37+P38</f>
        <v>50093.9020413391</v>
      </c>
      <c r="Q39" s="72" t="n">
        <f aca="false">Q37+Q38</f>
        <v>33033.8122651354</v>
      </c>
      <c r="R39" s="72" t="n">
        <f aca="false">R37+R38</f>
        <v>31484.1146199576</v>
      </c>
      <c r="S39" s="72" t="n">
        <f aca="false">S37+S38</f>
        <v>36292.5986715919</v>
      </c>
      <c r="T39" s="72" t="n">
        <f aca="false">T37+T38</f>
        <v>38429.6082117454</v>
      </c>
      <c r="U39" s="72" t="n">
        <f aca="false">U37+U38</f>
        <v>41500.23143354</v>
      </c>
      <c r="V39" s="72" t="n">
        <f aca="false">V37+V38</f>
        <v>41231.0182890415</v>
      </c>
      <c r="W39" s="72" t="n">
        <f aca="false">W37+W38</f>
        <v>40036.3202118548</v>
      </c>
      <c r="X39" s="72" t="n">
        <f aca="false">X37+X38</f>
        <v>40127.4243843086</v>
      </c>
      <c r="Y39" s="72" t="n">
        <f aca="false">Y37+Y38</f>
        <v>46278.2748085949</v>
      </c>
      <c r="Z39" s="72" t="n">
        <f aca="false">Z37+Z38</f>
        <v>52034.4584136969</v>
      </c>
      <c r="AA39" s="72" t="n">
        <f aca="false">AA37+AA38</f>
        <v>75274.6264291691</v>
      </c>
      <c r="AB39" s="72" t="n">
        <f aca="false">AB37+AB38</f>
        <v>67426.1331331003</v>
      </c>
    </row>
    <row r="40" customFormat="false" ht="15" hidden="false" customHeight="true" outlineLevel="0" collapsed="false">
      <c r="A40" s="28" t="s">
        <v>271</v>
      </c>
      <c r="B40" s="55"/>
      <c r="C40" s="59" t="n">
        <f aca="false">IF(C30=0,0,C39/C30)</f>
        <v>0.244569801773781</v>
      </c>
      <c r="D40" s="59" t="n">
        <f aca="false">IF(D30=0,0,D39/D30)</f>
        <v>0.239481011977637</v>
      </c>
      <c r="E40" s="58" t="n">
        <f aca="false">IF(E30=0,0,E39/E30)</f>
        <v>0.273134825538471</v>
      </c>
      <c r="F40" s="58" t="n">
        <f aca="false">IF(F30=0,0,F39/F30)</f>
        <v>0.269195245352694</v>
      </c>
      <c r="G40" s="58" t="n">
        <f aca="false">IF(G30=0,0,G39/G30)</f>
        <v>0.251410943905471</v>
      </c>
      <c r="H40" s="58" t="n">
        <f aca="false">IF(H30=0,0,H39/H30)</f>
        <v>0.252316613729109</v>
      </c>
      <c r="I40" s="58" t="n">
        <f aca="false">IF(I30=0,0,I39/I30)</f>
        <v>0.258072082822553</v>
      </c>
      <c r="J40" s="58" t="n">
        <f aca="false">IF(J30=0,0,J39/J30)</f>
        <v>0.238173791491402</v>
      </c>
      <c r="K40" s="58" t="n">
        <f aca="false">IF(K30=0,0,K39/K30)</f>
        <v>0.235903745086736</v>
      </c>
      <c r="L40" s="58" t="n">
        <f aca="false">IF(L30=0,0,L39/L30)</f>
        <v>0.234231769816017</v>
      </c>
      <c r="M40" s="58" t="n">
        <f aca="false">IF(M30=0,0,M39/M30)</f>
        <v>0.243048533121051</v>
      </c>
      <c r="N40" s="58" t="n">
        <f aca="false">IF(N30=0,0,N39/N30)</f>
        <v>0.235200147727577</v>
      </c>
      <c r="O40" s="58" t="n">
        <f aca="false">IF(O30=0,0,O39/O30)</f>
        <v>0.235164012466304</v>
      </c>
      <c r="P40" s="58" t="n">
        <f aca="false">IF(P30=0,0,P39/P30)</f>
        <v>0.235124223303778</v>
      </c>
      <c r="Q40" s="58" t="n">
        <f aca="false">IF(Q30=0,0,Q39/Q30)</f>
        <v>0.24277884024741</v>
      </c>
      <c r="R40" s="58" t="n">
        <f aca="false">IF(R30=0,0,R39/R30)</f>
        <v>0.24270073858994</v>
      </c>
      <c r="S40" s="58" t="n">
        <f aca="false">IF(S30=0,0,S39/S30)</f>
        <v>0.242618290020039</v>
      </c>
      <c r="T40" s="58" t="n">
        <f aca="false">IF(T30=0,0,T39/T30)</f>
        <v>0.242531458081749</v>
      </c>
      <c r="U40" s="58" t="n">
        <f aca="false">IF(U30=0,0,U39/U30)</f>
        <v>0.242440207174211</v>
      </c>
      <c r="V40" s="58" t="n">
        <f aca="false">IF(V30=0,0,V39/V30)</f>
        <v>0.242344502619309</v>
      </c>
      <c r="W40" s="58" t="n">
        <f aca="false">IF(W30=0,0,W39/W30)</f>
        <v>0.242244310730508</v>
      </c>
      <c r="X40" s="58" t="n">
        <f aca="false">IF(X30=0,0,X39/X30)</f>
        <v>0.242139598882751</v>
      </c>
      <c r="Y40" s="58" t="n">
        <f aca="false">IF(Y30=0,0,Y39/Y30)</f>
        <v>0.242030335583312</v>
      </c>
      <c r="Z40" s="58" t="n">
        <f aca="false">IF(Z30=0,0,Z39/Z30)</f>
        <v>0.234517997030643</v>
      </c>
      <c r="AA40" s="58" t="n">
        <f aca="false">IF(AA30=0,0,AA39/AA30)</f>
        <v>0.234435848480775</v>
      </c>
      <c r="AB40" s="58" t="n">
        <f aca="false">IF(AB30=0,0,AB39/AB30)</f>
        <v>0.234349670404985</v>
      </c>
    </row>
    <row r="41" customFormat="false" ht="15" hidden="false" customHeight="true" outlineLevel="0" collapsed="false">
      <c r="A41" s="28" t="s">
        <v>742</v>
      </c>
      <c r="B41" s="55"/>
      <c r="C41" s="61" t="n">
        <f aca="false">IF(C25=0,0,C39/C25)</f>
        <v>24.9510480058131</v>
      </c>
      <c r="D41" s="61" t="n">
        <f aca="false">IF(D25=0,0,D39/D25)</f>
        <v>24.888723818113</v>
      </c>
      <c r="E41" s="62" t="n">
        <f aca="false">IF(E25=0,0,E39/E25)</f>
        <v>27.8546522777059</v>
      </c>
      <c r="F41" s="62" t="n">
        <f aca="false">IF(F25=0,0,F39/F25)</f>
        <v>27.6934255366419</v>
      </c>
      <c r="G41" s="62" t="n">
        <f aca="false">IF(G25=0,0,G39/G25)</f>
        <v>25.3920529634591</v>
      </c>
      <c r="H41" s="62" t="n">
        <f aca="false">IF(H25=0,0,H39/H25)</f>
        <v>25.7318867555015</v>
      </c>
      <c r="I41" s="62" t="n">
        <f aca="false">IF(I25=0,0,I39/I25)</f>
        <v>26.6741833276119</v>
      </c>
      <c r="J41" s="62" t="n">
        <f aca="false">IF(J25=0,0,J39/J25)</f>
        <v>23.9914326840773</v>
      </c>
      <c r="K41" s="62" t="n">
        <f aca="false">IF(K25=0,0,K39/K25)</f>
        <v>23.7441318142669</v>
      </c>
      <c r="L41" s="62" t="n">
        <f aca="false">IF(L25=0,0,L39/L25)</f>
        <v>23.791008853815</v>
      </c>
      <c r="M41" s="62" t="n">
        <f aca="false">IF(M25=0,0,M39/M25)</f>
        <v>24.8030756410984</v>
      </c>
      <c r="N41" s="62" t="n">
        <f aca="false">IF(N25=0,0,N39/N25)</f>
        <v>24.0450179701211</v>
      </c>
      <c r="O41" s="62" t="n">
        <f aca="false">IF(O25=0,0,O39/O25)</f>
        <v>24.0841408650224</v>
      </c>
      <c r="P41" s="62" t="n">
        <f aca="false">IF(P25=0,0,P39/P25)</f>
        <v>24.1228283220598</v>
      </c>
      <c r="Q41" s="62" t="n">
        <f aca="false">IF(Q25=0,0,Q39/Q25)</f>
        <v>24.9522658657346</v>
      </c>
      <c r="R41" s="62" t="n">
        <f aca="false">IF(R25=0,0,R39/R25)</f>
        <v>24.9882754522623</v>
      </c>
      <c r="S41" s="62" t="n">
        <f aca="false">IF(S25=0,0,S39/S25)</f>
        <v>25.0237536432148</v>
      </c>
      <c r="T41" s="62" t="n">
        <f aca="false">IF(T25=0,0,T39/T25)</f>
        <v>25.0586924653056</v>
      </c>
      <c r="U41" s="62" t="n">
        <f aca="false">IF(U25=0,0,U39/U25)</f>
        <v>25.0930840366263</v>
      </c>
      <c r="V41" s="62" t="n">
        <f aca="false">IF(V25=0,0,V39/V25)</f>
        <v>25.1269205775291</v>
      </c>
      <c r="W41" s="62" t="n">
        <f aca="false">IF(W25=0,0,W39/W25)</f>
        <v>25.1601944217618</v>
      </c>
      <c r="X41" s="62" t="n">
        <f aca="false">IF(X25=0,0,X39/X25)</f>
        <v>25.1928980278394</v>
      </c>
      <c r="Y41" s="62" t="n">
        <f aca="false">IF(Y25=0,0,Y39/Y25)</f>
        <v>25.225023990638</v>
      </c>
      <c r="Z41" s="62" t="n">
        <f aca="false">IF(Z25=0,0,Z39/Z25)</f>
        <v>24.4841475454669</v>
      </c>
      <c r="AA41" s="62" t="n">
        <f aca="false">IF(AA25=0,0,AA39/AA25)</f>
        <v>24.5175682857975</v>
      </c>
      <c r="AB41" s="62" t="n">
        <f aca="false">IF(AB25=0,0,AB39/AB25)</f>
        <v>24.5504690389086</v>
      </c>
    </row>
    <row r="42" customFormat="false" ht="15" hidden="false" customHeight="true" outlineLevel="0" collapsed="false">
      <c r="A42" s="28" t="s">
        <v>743</v>
      </c>
      <c r="B42" s="55" t="s">
        <v>50</v>
      </c>
      <c r="C42" s="66" t="n">
        <f aca="false">P42</f>
        <v>47.9317298750222</v>
      </c>
      <c r="D42" s="66" t="n">
        <f aca="false">AB42</f>
        <v>75</v>
      </c>
      <c r="E42" s="67" t="n">
        <f aca="false">Inventory!E17</f>
        <v>198.266497263316</v>
      </c>
      <c r="F42" s="67" t="n">
        <f aca="false">Inventory!F17</f>
        <v>158.355388390607</v>
      </c>
      <c r="G42" s="67" t="n">
        <f aca="false">Inventory!G17</f>
        <v>118.634273006264</v>
      </c>
      <c r="H42" s="67" t="n">
        <f aca="false">Inventory!H17</f>
        <v>82.4030303721473</v>
      </c>
      <c r="I42" s="67" t="n">
        <f aca="false">Inventory!I17</f>
        <v>101.176440574218</v>
      </c>
      <c r="J42" s="67" t="n">
        <f aca="false">Inventory!J17</f>
        <v>72.8461652361393</v>
      </c>
      <c r="K42" s="67" t="n">
        <f aca="false">Inventory!K17</f>
        <v>55.8815572816674</v>
      </c>
      <c r="L42" s="67" t="n">
        <f aca="false">Inventory!L17</f>
        <v>23.4995008621116</v>
      </c>
      <c r="M42" s="67" t="n">
        <f aca="false">Inventory!M17</f>
        <v>67.4873977127402</v>
      </c>
      <c r="N42" s="67" t="n">
        <f aca="false">Inventory!N17</f>
        <v>110.662963982025</v>
      </c>
      <c r="O42" s="67" t="n">
        <f aca="false">Inventory!O17</f>
        <v>45.308430020512</v>
      </c>
      <c r="P42" s="67" t="n">
        <f aca="false">Inventory!P17</f>
        <v>47.9317298750222</v>
      </c>
      <c r="Q42" s="67" t="n">
        <f aca="false">Inventory!Q17</f>
        <v>112.190342947169</v>
      </c>
      <c r="R42" s="67" t="n">
        <f aca="false">Inventory!R17</f>
        <v>79.4001181303843</v>
      </c>
      <c r="S42" s="67" t="n">
        <f aca="false">Inventory!S17</f>
        <v>82.1511053752603</v>
      </c>
      <c r="T42" s="67" t="n">
        <f aca="false">Inventory!T17</f>
        <v>78.4656397407614</v>
      </c>
      <c r="U42" s="67" t="n">
        <f aca="false">Inventory!U17</f>
        <v>77.0832092163394</v>
      </c>
      <c r="V42" s="67" t="n">
        <f aca="false">Inventory!V17</f>
        <v>70.5579510316589</v>
      </c>
      <c r="W42" s="67" t="n">
        <f aca="false">Inventory!W17</f>
        <v>75.258234691887</v>
      </c>
      <c r="X42" s="67" t="n">
        <f aca="false">Inventory!X17</f>
        <v>89.4857511015254</v>
      </c>
      <c r="Y42" s="67" t="n">
        <f aca="false">Inventory!Y17</f>
        <v>84.2851513491441</v>
      </c>
      <c r="Z42" s="67" t="n">
        <f aca="false">Inventory!Z17</f>
        <v>112.237151438461</v>
      </c>
      <c r="AA42" s="67" t="n">
        <f aca="false">Inventory!AA17</f>
        <v>65.0860383337516</v>
      </c>
      <c r="AB42" s="67" t="n">
        <f aca="false">Inventory!AB17</f>
        <v>75</v>
      </c>
    </row>
    <row r="44" customFormat="false" ht="15" hidden="false" customHeight="true" outlineLevel="0" collapsed="false">
      <c r="A44" s="22" t="s">
        <v>744</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row>
    <row r="45" customFormat="false" ht="15" hidden="false" customHeight="true" outlineLevel="0" collapsed="false">
      <c r="A45" s="28" t="s">
        <v>642</v>
      </c>
      <c r="B45" s="55" t="s">
        <v>68</v>
      </c>
      <c r="C45" s="56" t="n">
        <f aca="false">SUM(E45:P45)</f>
        <v>14040.3500074735</v>
      </c>
      <c r="D45" s="56" t="n">
        <f aca="false">SUM(Q45:AB45)</f>
        <v>17929.1591172418</v>
      </c>
      <c r="E45" s="57" t="n">
        <f aca="false">Volume_Price!E26+Volume_Price!E66+Volume_Price!E106</f>
        <v>896</v>
      </c>
      <c r="F45" s="57" t="n">
        <f aca="false">Volume_Price!F26+Volume_Price!F66+Volume_Price!F106</f>
        <v>805</v>
      </c>
      <c r="G45" s="57" t="n">
        <f aca="false">Volume_Price!G26+Volume_Price!G66+Volume_Price!G106</f>
        <v>935</v>
      </c>
      <c r="H45" s="57" t="n">
        <f aca="false">Volume_Price!H26+Volume_Price!H66+Volume_Price!H106</f>
        <v>1046</v>
      </c>
      <c r="I45" s="57" t="n">
        <f aca="false">Volume_Price!I26+Volume_Price!I66+Volume_Price!I106</f>
        <v>1114</v>
      </c>
      <c r="J45" s="57" t="n">
        <f aca="false">Volume_Price!J26+Volume_Price!J66+Volume_Price!J106</f>
        <v>1095</v>
      </c>
      <c r="K45" s="57" t="n">
        <f aca="false">Volume_Price!K26+Volume_Price!K66+Volume_Price!K106</f>
        <v>1000</v>
      </c>
      <c r="L45" s="57" t="n">
        <f aca="false">Volume_Price!L26+Volume_Price!L66+Volume_Price!L106</f>
        <v>1021</v>
      </c>
      <c r="M45" s="57" t="n">
        <f aca="false">Volume_Price!M26+Volume_Price!M66+Volume_Price!M106</f>
        <v>1153.7858544445</v>
      </c>
      <c r="N45" s="57" t="n">
        <f aca="false">Volume_Price!N26+Volume_Price!N66+Volume_Price!N106</f>
        <v>1334.00423056284</v>
      </c>
      <c r="O45" s="57" t="n">
        <f aca="false">Volume_Price!O26+Volume_Price!O66+Volume_Price!O106</f>
        <v>1923.42266646038</v>
      </c>
      <c r="P45" s="57" t="n">
        <f aca="false">Volume_Price!P26+Volume_Price!P66+Volume_Price!P106</f>
        <v>1717.13725600582</v>
      </c>
      <c r="Q45" s="57" t="n">
        <f aca="false">Volume_Price!Q26+Volume_Price!Q66+Volume_Price!Q106</f>
        <v>1093.86322355458</v>
      </c>
      <c r="R45" s="57" t="n">
        <f aca="false">Volume_Price!R26+Volume_Price!R66+Volume_Price!R106</f>
        <v>1040.2173961723</v>
      </c>
      <c r="S45" s="57" t="n">
        <f aca="false">Volume_Price!S26+Volume_Price!S66+Volume_Price!S106</f>
        <v>1196.40344015538</v>
      </c>
      <c r="T45" s="57" t="n">
        <f aca="false">Volume_Price!T26+Volume_Price!T66+Volume_Price!T106</f>
        <v>1264.01181174309</v>
      </c>
      <c r="U45" s="57" t="n">
        <f aca="false">Volume_Price!U26+Volume_Price!U66+Volume_Price!U106</f>
        <v>1361.94599330028</v>
      </c>
      <c r="V45" s="57" t="n">
        <f aca="false">Volume_Price!V26+Volume_Price!V66+Volume_Price!V106</f>
        <v>1350.06973253912</v>
      </c>
      <c r="W45" s="57" t="n">
        <f aca="false">Volume_Price!W26+Volume_Price!W66+Volume_Price!W106</f>
        <v>1307.99964053767</v>
      </c>
      <c r="X45" s="57" t="n">
        <f aca="false">Volume_Price!X26+Volume_Price!X66+Volume_Price!X106</f>
        <v>1308.02072193815</v>
      </c>
      <c r="Y45" s="57" t="n">
        <f aca="false">Volume_Price!Y26+Volume_Price!Y66+Volume_Price!Y106</f>
        <v>1505.11224410657</v>
      </c>
      <c r="Z45" s="57" t="n">
        <f aca="false">Volume_Price!Z26+Volume_Price!Z66+Volume_Price!Z106</f>
        <v>1741.76258571202</v>
      </c>
      <c r="AA45" s="57" t="n">
        <f aca="false">Volume_Price!AA26+Volume_Price!AA66+Volume_Price!AA106</f>
        <v>2513.63004643348</v>
      </c>
      <c r="AB45" s="57" t="n">
        <f aca="false">Volume_Price!AB26+Volume_Price!AB66+Volume_Price!AB106</f>
        <v>2246.12228104916</v>
      </c>
    </row>
    <row r="46" customFormat="false" ht="15" hidden="false" customHeight="true" outlineLevel="0" collapsed="false">
      <c r="A46" s="28" t="s">
        <v>648</v>
      </c>
      <c r="B46" s="55" t="s">
        <v>68</v>
      </c>
      <c r="C46" s="56" t="n">
        <f aca="false">SUM(E46:P46)</f>
        <v>971094.024605206</v>
      </c>
      <c r="D46" s="56" t="n">
        <f aca="false">SUM(Q46:AB46)</f>
        <v>1273261.47526223</v>
      </c>
      <c r="E46" s="57" t="n">
        <f aca="false">Volume_Price!E48+Volume_Price!E88+Volume_Price!E128</f>
        <v>61182.0797297297</v>
      </c>
      <c r="F46" s="57" t="n">
        <f aca="false">Volume_Price!F48+Volume_Price!F88+Volume_Price!F128</f>
        <v>55166.5363496638</v>
      </c>
      <c r="G46" s="57" t="n">
        <f aca="false">Volume_Price!G48+Volume_Price!G88+Volume_Price!G128</f>
        <v>64193.1437642586</v>
      </c>
      <c r="H46" s="57" t="n">
        <f aca="false">Volume_Price!H48+Volume_Price!H88+Volume_Price!H128</f>
        <v>71511.7771428571</v>
      </c>
      <c r="I46" s="57" t="n">
        <f aca="false">Volume_Price!I48+Volume_Price!I88+Volume_Price!I128</f>
        <v>76851.3535283364</v>
      </c>
      <c r="J46" s="57" t="n">
        <f aca="false">Volume_Price!J48+Volume_Price!J88+Volume_Price!J128</f>
        <v>74508.2642599278</v>
      </c>
      <c r="K46" s="57" t="n">
        <f aca="false">Volume_Price!K48+Volume_Price!K88+Volume_Price!K128</f>
        <v>68715.3496253345</v>
      </c>
      <c r="L46" s="57" t="n">
        <f aca="false">Volume_Price!L48+Volume_Price!L88+Volume_Price!L128</f>
        <v>70976.4717562724</v>
      </c>
      <c r="M46" s="57" t="n">
        <f aca="false">Volume_Price!M48+Volume_Price!M88+Volume_Price!M128</f>
        <v>80314.854500459</v>
      </c>
      <c r="N46" s="57" t="n">
        <f aca="false">Volume_Price!N48+Volume_Price!N88+Volume_Price!N128</f>
        <v>93039.8624310026</v>
      </c>
      <c r="O46" s="57" t="n">
        <f aca="false">Volume_Price!O48+Volume_Price!O88+Volume_Price!O128</f>
        <v>134408.624839418</v>
      </c>
      <c r="P46" s="57" t="n">
        <f aca="false">Volume_Price!P48+Volume_Price!P88+Volume_Price!P128</f>
        <v>120225.706677946</v>
      </c>
      <c r="Q46" s="57" t="n">
        <f aca="false">Volume_Price!Q48+Volume_Price!Q88+Volume_Price!Q128</f>
        <v>76735.1994748731</v>
      </c>
      <c r="R46" s="57" t="n">
        <f aca="false">Volume_Price!R48+Volume_Price!R88+Volume_Price!R128</f>
        <v>73112.9567735256</v>
      </c>
      <c r="S46" s="57" t="n">
        <f aca="false">Volume_Price!S48+Volume_Price!S88+Volume_Price!S128</f>
        <v>84253.0952509476</v>
      </c>
      <c r="T46" s="57" t="n">
        <f aca="false">Volume_Price!T48+Volume_Price!T88+Volume_Price!T128</f>
        <v>89185.9947215416</v>
      </c>
      <c r="U46" s="57" t="n">
        <f aca="false">Volume_Price!U48+Volume_Price!U88+Volume_Price!U128</f>
        <v>96281.3264872403</v>
      </c>
      <c r="V46" s="57" t="n">
        <f aca="false">Volume_Price!V48+Volume_Price!V88+Volume_Price!V128</f>
        <v>95625.6405169403</v>
      </c>
      <c r="W46" s="57" t="n">
        <f aca="false">Volume_Price!W48+Volume_Price!W88+Volume_Price!W128</f>
        <v>92824.1709713499</v>
      </c>
      <c r="X46" s="57" t="n">
        <f aca="false">Volume_Price!X48+Volume_Price!X88+Volume_Price!X128</f>
        <v>93004.2276721608</v>
      </c>
      <c r="Y46" s="57" t="n">
        <f aca="false">Volume_Price!Y48+Volume_Price!Y88+Volume_Price!Y128</f>
        <v>107223.720782727</v>
      </c>
      <c r="Z46" s="57" t="n">
        <f aca="false">Volume_Price!Z48+Volume_Price!Z88+Volume_Price!Z128</f>
        <v>124320.904208724</v>
      </c>
      <c r="AA46" s="57" t="n">
        <f aca="false">Volume_Price!AA48+Volume_Price!AA88+Volume_Price!AA128</f>
        <v>179758.349474117</v>
      </c>
      <c r="AB46" s="57" t="n">
        <f aca="false">Volume_Price!AB48+Volume_Price!AB88+Volume_Price!AB128</f>
        <v>160935.888928081</v>
      </c>
    </row>
    <row r="47" customFormat="false" ht="15" hidden="false" customHeight="true" outlineLevel="0" collapsed="false">
      <c r="A47" s="28" t="s">
        <v>735</v>
      </c>
      <c r="B47" s="55" t="s">
        <v>736</v>
      </c>
      <c r="C47" s="56" t="n">
        <f aca="false">SUM(E47:P47)</f>
        <v>-56487.1684780013</v>
      </c>
      <c r="D47" s="56" t="n">
        <f aca="false">SUM(Q47:AB47)</f>
        <v>-73595.1495151095</v>
      </c>
      <c r="E47" s="57" t="n">
        <f aca="false">Channel_PL!E14*E10+Channel_PL!E52*E15+Channel_PL!E86*E20</f>
        <v>-3286.80427724774</v>
      </c>
      <c r="F47" s="57" t="n">
        <f aca="false">Channel_PL!F14*F10+Channel_PL!F52*F15+Channel_PL!F86*F20</f>
        <v>-3432.44560215434</v>
      </c>
      <c r="G47" s="57" t="n">
        <f aca="false">Channel_PL!G14*G10+Channel_PL!G52*G15+Channel_PL!G86*G20</f>
        <v>-3976.87734882099</v>
      </c>
      <c r="H47" s="57" t="n">
        <f aca="false">Channel_PL!H14*H10+Channel_PL!H52*H15+Channel_PL!H86*H20</f>
        <v>-4141.39834062582</v>
      </c>
      <c r="I47" s="57" t="n">
        <f aca="false">Channel_PL!I14*I10+Channel_PL!I52*I15+Channel_PL!I86*I20</f>
        <v>-4376.07412620244</v>
      </c>
      <c r="J47" s="57" t="n">
        <f aca="false">Channel_PL!J14*J10+Channel_PL!J52*J15+Channel_PL!J86*J20</f>
        <v>-4276.82646032886</v>
      </c>
      <c r="K47" s="57" t="n">
        <f aca="false">Channel_PL!K14*K10+Channel_PL!K52*K15+Channel_PL!K86*K20</f>
        <v>-3980.05111542202</v>
      </c>
      <c r="L47" s="57" t="n">
        <f aca="false">Channel_PL!L14*L10+Channel_PL!L52*L15+Channel_PL!L86*L20</f>
        <v>-4067.94127396784</v>
      </c>
      <c r="M47" s="57" t="n">
        <f aca="false">Channel_PL!M14*M10+Channel_PL!M52*M15+Channel_PL!M86*M20</f>
        <v>-4689.27341581586</v>
      </c>
      <c r="N47" s="57" t="n">
        <f aca="false">Channel_PL!N14*N10+Channel_PL!N52*N15+Channel_PL!N86*N20</f>
        <v>-5427.11990153815</v>
      </c>
      <c r="O47" s="57" t="n">
        <f aca="false">Channel_PL!O14*O10+Channel_PL!O52*O15+Channel_PL!O86*O20</f>
        <v>-7832.77764570066</v>
      </c>
      <c r="P47" s="57" t="n">
        <f aca="false">Channel_PL!P14*P10+Channel_PL!P52*P15+Channel_PL!P86*P20</f>
        <v>-6999.57897017661</v>
      </c>
      <c r="Q47" s="57" t="n">
        <f aca="false">Channel_PL!Q14*Q10+Channel_PL!Q52*Q15+Channel_PL!Q86*Q20</f>
        <v>-4463.26559633121</v>
      </c>
      <c r="R47" s="57" t="n">
        <f aca="false">Channel_PL!R14*R10+Channel_PL!R52*R15+Channel_PL!R86*R20</f>
        <v>-4248.4799939693</v>
      </c>
      <c r="S47" s="57" t="n">
        <f aca="false">Channel_PL!S14*S10+Channel_PL!S52*S15+Channel_PL!S86*S20</f>
        <v>-4891.06926016884</v>
      </c>
      <c r="T47" s="57" t="n">
        <f aca="false">Channel_PL!T14*T10+Channel_PL!T52*T15+Channel_PL!T86*T20</f>
        <v>-5172.38584524561</v>
      </c>
      <c r="U47" s="57" t="n">
        <f aca="false">Channel_PL!U14*U10+Channel_PL!U52*U15+Channel_PL!U86*U20</f>
        <v>-5578.40715592434</v>
      </c>
      <c r="V47" s="57" t="n">
        <f aca="false">Channel_PL!V14*V10+Channel_PL!V52*V15+Channel_PL!V86*V20</f>
        <v>-5534.95345919852</v>
      </c>
      <c r="W47" s="57" t="n">
        <f aca="false">Channel_PL!W14*W10+Channel_PL!W52*W15+Channel_PL!W86*W20</f>
        <v>-5367.47151281338</v>
      </c>
      <c r="X47" s="57" t="n">
        <f aca="false">Channel_PL!X14*X10+Channel_PL!X52*X15+Channel_PL!X86*X20</f>
        <v>-5372.51941242081</v>
      </c>
      <c r="Y47" s="57" t="n">
        <f aca="false">Channel_PL!Y14*Y10+Channel_PL!Y52*Y15+Channel_PL!Y86*Y20</f>
        <v>-6187.71629448144</v>
      </c>
      <c r="Z47" s="57" t="n">
        <f aca="false">Channel_PL!Z14*Z10+Channel_PL!Z52*Z15+Channel_PL!Z86*Z20</f>
        <v>-7167.13331624827</v>
      </c>
      <c r="AA47" s="57" t="n">
        <f aca="false">Channel_PL!AA14*AA10+Channel_PL!AA52*AA15+Channel_PL!AA86*AA20</f>
        <v>-10352.6084615966</v>
      </c>
      <c r="AB47" s="57" t="n">
        <f aca="false">Channel_PL!AB14*AB10+Channel_PL!AB52*AB15+Channel_PL!AB86*AB20</f>
        <v>-9259.13920671119</v>
      </c>
    </row>
    <row r="48" customFormat="false" ht="15" hidden="false" customHeight="true" outlineLevel="0" collapsed="false">
      <c r="A48" s="28" t="s">
        <v>737</v>
      </c>
      <c r="B48" s="55" t="s">
        <v>736</v>
      </c>
      <c r="C48" s="56" t="n">
        <f aca="false">SUM(E48:P48)</f>
        <v>-68862.8190854064</v>
      </c>
      <c r="D48" s="56" t="n">
        <f aca="false">SUM(Q48:AB48)</f>
        <v>-92661.5159416468</v>
      </c>
      <c r="E48" s="57" t="n">
        <f aca="false">Channel_PL!E15*E10+Channel_PL!E53*E15+Channel_PL!E87*E20</f>
        <v>-4278.39135667395</v>
      </c>
      <c r="F48" s="57" t="n">
        <f aca="false">Channel_PL!F15*F10+Channel_PL!F53*F15+Channel_PL!F87*F20</f>
        <v>-3905.10766125441</v>
      </c>
      <c r="G48" s="57" t="n">
        <f aca="false">Channel_PL!G15*G10+Channel_PL!G53*G15+Channel_PL!G87*G20</f>
        <v>-4408.45423156024</v>
      </c>
      <c r="H48" s="57" t="n">
        <f aca="false">Channel_PL!H15*H10+Channel_PL!H53*H15+Channel_PL!H87*H20</f>
        <v>-4807.33242913004</v>
      </c>
      <c r="I48" s="57" t="n">
        <f aca="false">Channel_PL!I15*I10+Channel_PL!I53*I15+Channel_PL!I87*I20</f>
        <v>-5198.06309522929</v>
      </c>
      <c r="J48" s="57" t="n">
        <f aca="false">Channel_PL!J15*J10+Channel_PL!J53*J15+Channel_PL!J87*J20</f>
        <v>-5272.78584661365</v>
      </c>
      <c r="K48" s="57" t="n">
        <f aca="false">Channel_PL!K15*K10+Channel_PL!K53*K15+Channel_PL!K87*K20</f>
        <v>-4604.82446797404</v>
      </c>
      <c r="L48" s="57" t="n">
        <f aca="false">Channel_PL!L15*L10+Channel_PL!L53*L15+Channel_PL!L87*L20</f>
        <v>-5416.91589880622</v>
      </c>
      <c r="M48" s="57" t="n">
        <f aca="false">Channel_PL!M15*M10+Channel_PL!M53*M15+Channel_PL!M87*M20</f>
        <v>-5805.99139885547</v>
      </c>
      <c r="N48" s="57" t="n">
        <f aca="false">Channel_PL!N15*N10+Channel_PL!N53*N15+Channel_PL!N87*N20</f>
        <v>-6729.89526288151</v>
      </c>
      <c r="O48" s="57" t="n">
        <f aca="false">Channel_PL!O15*O10+Channel_PL!O53*O15+Channel_PL!O87*O20</f>
        <v>-9728.11961710024</v>
      </c>
      <c r="P48" s="57" t="n">
        <f aca="false">Channel_PL!P15*P10+Channel_PL!P53*P15+Channel_PL!P87*P20</f>
        <v>-8706.93781932735</v>
      </c>
      <c r="Q48" s="57" t="n">
        <f aca="false">Channel_PL!Q15*Q10+Channel_PL!Q53*Q15+Channel_PL!Q87*Q20</f>
        <v>-5560.74435276649</v>
      </c>
      <c r="R48" s="57" t="n">
        <f aca="false">Channel_PL!R15*R10+Channel_PL!R53*R15+Channel_PL!R87*R20</f>
        <v>-5301.59738625598</v>
      </c>
      <c r="S48" s="57" t="n">
        <f aca="false">Channel_PL!S15*S10+Channel_PL!S53*S15+Channel_PL!S87*S20</f>
        <v>-6113.30807306704</v>
      </c>
      <c r="T48" s="57" t="n">
        <f aca="false">Channel_PL!T15*T10+Channel_PL!T53*T15+Channel_PL!T87*T20</f>
        <v>-6475.4366880929</v>
      </c>
      <c r="U48" s="57" t="n">
        <f aca="false">Channel_PL!U15*U10+Channel_PL!U53*U15+Channel_PL!U87*U20</f>
        <v>-6995.2049604833</v>
      </c>
      <c r="V48" s="57" t="n">
        <f aca="false">Channel_PL!V15*V10+Channel_PL!V53*V15+Channel_PL!V87*V20</f>
        <v>-6952.20770839561</v>
      </c>
      <c r="W48" s="57" t="n">
        <f aca="false">Channel_PL!W15*W10+Channel_PL!W53*W15+Channel_PL!W87*W20</f>
        <v>-6753.10524288034</v>
      </c>
      <c r="X48" s="57" t="n">
        <f aca="false">Channel_PL!X15*X10+Channel_PL!X53*X15+Channel_PL!X87*X20</f>
        <v>-6770.85118406254</v>
      </c>
      <c r="Y48" s="57" t="n">
        <f aca="false">Channel_PL!Y15*Y10+Channel_PL!Y53*Y15+Channel_PL!Y87*Y20</f>
        <v>-7811.48672357976</v>
      </c>
      <c r="Z48" s="57" t="n">
        <f aca="false">Channel_PL!Z15*Z10+Channel_PL!Z53*Z15+Channel_PL!Z87*Z20</f>
        <v>-9063.44629303977</v>
      </c>
      <c r="AA48" s="57" t="n">
        <f aca="false">Channel_PL!AA15*AA10+Channel_PL!AA53*AA15+Channel_PL!AA87*AA20</f>
        <v>-13114.411685389</v>
      </c>
      <c r="AB48" s="57" t="n">
        <f aca="false">Channel_PL!AB15*AB10+Channel_PL!AB53*AB15+Channel_PL!AB87*AB20</f>
        <v>-11749.7156436341</v>
      </c>
    </row>
    <row r="49" customFormat="false" ht="15" hidden="false" customHeight="true" outlineLevel="0" collapsed="false">
      <c r="A49" s="28" t="s">
        <v>738</v>
      </c>
      <c r="B49" s="55" t="s">
        <v>736</v>
      </c>
      <c r="C49" s="56" t="n">
        <f aca="false">SUM(E49:P49)</f>
        <v>15557.3935538617</v>
      </c>
      <c r="D49" s="56" t="n">
        <f aca="false">SUM(Q49:AB49)</f>
        <v>18393.2450276844</v>
      </c>
      <c r="E49" s="57" t="n">
        <f aca="false">Channel_PL!E17*E10</f>
        <v>991.843297429882</v>
      </c>
      <c r="F49" s="57" t="n">
        <f aca="false">Channel_PL!F17*F10</f>
        <v>919.209451395303</v>
      </c>
      <c r="G49" s="57" t="n">
        <f aca="false">Channel_PL!G17*G10</f>
        <v>1106.17400249571</v>
      </c>
      <c r="H49" s="57" t="n">
        <f aca="false">Channel_PL!H17*H10</f>
        <v>1126.77202132642</v>
      </c>
      <c r="I49" s="57" t="n">
        <f aca="false">Channel_PL!I17*I10</f>
        <v>1209.79330242755</v>
      </c>
      <c r="J49" s="57" t="n">
        <f aca="false">Channel_PL!J17*J10</f>
        <v>1310.51968304796</v>
      </c>
      <c r="K49" s="57" t="n">
        <f aca="false">Channel_PL!K17*K10</f>
        <v>1114.00377936228</v>
      </c>
      <c r="L49" s="57" t="n">
        <f aca="false">Channel_PL!L17*L10</f>
        <v>1178.83889813083</v>
      </c>
      <c r="M49" s="57" t="n">
        <f aca="false">Channel_PL!M17*M10</f>
        <v>1253.6204087027</v>
      </c>
      <c r="N49" s="57" t="n">
        <f aca="false">Channel_PL!N17*N10</f>
        <v>1441.93450468789</v>
      </c>
      <c r="O49" s="57" t="n">
        <f aca="false">Channel_PL!O17*O10</f>
        <v>2068.14627075887</v>
      </c>
      <c r="P49" s="57" t="n">
        <f aca="false">Channel_PL!P17*P10</f>
        <v>1836.53793409635</v>
      </c>
      <c r="Q49" s="57" t="n">
        <f aca="false">Channel_PL!Q17*Q10</f>
        <v>1163.6327093307</v>
      </c>
      <c r="R49" s="57" t="n">
        <f aca="false">Channel_PL!R17*R10</f>
        <v>1100.53563370465</v>
      </c>
      <c r="S49" s="57" t="n">
        <f aca="false">Channel_PL!S17*S10</f>
        <v>1258.78999933047</v>
      </c>
      <c r="T49" s="57" t="n">
        <f aca="false">Channel_PL!T17*T10</f>
        <v>1322.48384515158</v>
      </c>
      <c r="U49" s="57" t="n">
        <f aca="false">Channel_PL!U17*U10</f>
        <v>1416.87049069263</v>
      </c>
      <c r="V49" s="57" t="n">
        <f aca="false">Channel_PL!V17*V10</f>
        <v>1396.44661439571</v>
      </c>
      <c r="W49" s="57" t="n">
        <f aca="false">Channel_PL!W17*W10</f>
        <v>1345.05453829869</v>
      </c>
      <c r="X49" s="57" t="n">
        <f aca="false">Channel_PL!X17*X10</f>
        <v>1337.13947252014</v>
      </c>
      <c r="Y49" s="57" t="n">
        <f aca="false">Channel_PL!Y17*Y10</f>
        <v>1529.41689861729</v>
      </c>
      <c r="Z49" s="57" t="n">
        <f aca="false">Channel_PL!Z17*Z10</f>
        <v>1759.16009571922</v>
      </c>
      <c r="AA49" s="57" t="n">
        <f aca="false">Channel_PL!AA17*AA10</f>
        <v>2523.13845032582</v>
      </c>
      <c r="AB49" s="57" t="n">
        <f aca="false">Channel_PL!AB17*AB10</f>
        <v>2240.57627959754</v>
      </c>
    </row>
    <row r="50" customFormat="false" ht="15" hidden="false" customHeight="true" outlineLevel="0" collapsed="false">
      <c r="A50" s="70" t="s">
        <v>312</v>
      </c>
      <c r="B50" s="71"/>
      <c r="C50" s="72" t="n">
        <f aca="false">SUM(E50:P50)</f>
        <v>861301.43059566</v>
      </c>
      <c r="D50" s="72" t="n">
        <f aca="false">SUM(Q50:AB50)</f>
        <v>1125398.05483316</v>
      </c>
      <c r="E50" s="72" t="n">
        <f aca="false">E46+E47+E48+E49</f>
        <v>54608.7273932379</v>
      </c>
      <c r="F50" s="72" t="n">
        <f aca="false">F46+F47+F48+F49</f>
        <v>48748.1925376504</v>
      </c>
      <c r="G50" s="72" t="n">
        <f aca="false">G46+G47+G48+G49</f>
        <v>56913.986186373</v>
      </c>
      <c r="H50" s="72" t="n">
        <f aca="false">H46+H47+H48+H49</f>
        <v>63689.8183944277</v>
      </c>
      <c r="I50" s="72" t="n">
        <f aca="false">I46+I47+I48+I49</f>
        <v>68487.0096093322</v>
      </c>
      <c r="J50" s="72" t="n">
        <f aca="false">J46+J47+J48+J49</f>
        <v>66269.1716360333</v>
      </c>
      <c r="K50" s="72" t="n">
        <f aca="false">K46+K47+K48+K49</f>
        <v>61244.4778213007</v>
      </c>
      <c r="L50" s="72" t="n">
        <f aca="false">L46+L47+L48+L49</f>
        <v>62670.4534816292</v>
      </c>
      <c r="M50" s="72" t="n">
        <f aca="false">M46+M47+M48+M49</f>
        <v>71073.2100944903</v>
      </c>
      <c r="N50" s="72" t="n">
        <f aca="false">N46+N47+N48+N49</f>
        <v>82324.7817712708</v>
      </c>
      <c r="O50" s="72" t="n">
        <f aca="false">O46+O47+O48+O49</f>
        <v>118915.873847376</v>
      </c>
      <c r="P50" s="72" t="n">
        <f aca="false">P46+P47+P48+P49</f>
        <v>106355.727822539</v>
      </c>
      <c r="Q50" s="72" t="n">
        <f aca="false">Q46+Q47+Q48+Q49</f>
        <v>67874.8222351061</v>
      </c>
      <c r="R50" s="72" t="n">
        <f aca="false">R46+R47+R48+R49</f>
        <v>64663.415027005</v>
      </c>
      <c r="S50" s="72" t="n">
        <f aca="false">S46+S47+S48+S49</f>
        <v>74507.5079170422</v>
      </c>
      <c r="T50" s="72" t="n">
        <f aca="false">T46+T47+T48+T49</f>
        <v>78860.6560333547</v>
      </c>
      <c r="U50" s="72" t="n">
        <f aca="false">U46+U47+U48+U49</f>
        <v>85124.5848615252</v>
      </c>
      <c r="V50" s="72" t="n">
        <f aca="false">V46+V47+V48+V49</f>
        <v>84534.9259637419</v>
      </c>
      <c r="W50" s="72" t="n">
        <f aca="false">W46+W47+W48+W49</f>
        <v>82048.6487539549</v>
      </c>
      <c r="X50" s="72" t="n">
        <f aca="false">X46+X47+X48+X49</f>
        <v>82197.9965481976</v>
      </c>
      <c r="Y50" s="72" t="n">
        <f aca="false">Y46+Y47+Y48+Y49</f>
        <v>94753.9346632829</v>
      </c>
      <c r="Z50" s="72" t="n">
        <f aca="false">Z46+Z47+Z48+Z49</f>
        <v>109849.484695156</v>
      </c>
      <c r="AA50" s="72" t="n">
        <f aca="false">AA46+AA47+AA48+AA49</f>
        <v>158814.467777457</v>
      </c>
      <c r="AB50" s="72" t="n">
        <f aca="false">AB46+AB47+AB48+AB49</f>
        <v>142167.610357333</v>
      </c>
    </row>
    <row r="51" customFormat="false" ht="15" hidden="false" customHeight="true" outlineLevel="0" collapsed="false">
      <c r="A51" s="28" t="s">
        <v>659</v>
      </c>
      <c r="B51" s="55" t="s">
        <v>68</v>
      </c>
      <c r="C51" s="56" t="n">
        <f aca="false">SUM(E51:P51)</f>
        <v>-301660.358672498</v>
      </c>
      <c r="D51" s="56" t="n">
        <f aca="false">SUM(Q51:AB51)</f>
        <v>-397718.953497795</v>
      </c>
      <c r="E51" s="57" t="n">
        <f aca="false">-(Volume_Price!E54+Volume_Price!E94+Volume_Price!E134)</f>
        <v>-18708.48</v>
      </c>
      <c r="F51" s="57" t="n">
        <f aca="false">-(Volume_Price!F54+Volume_Price!F94+Volume_Price!F134)</f>
        <v>-17009.65</v>
      </c>
      <c r="G51" s="57" t="n">
        <f aca="false">-(Volume_Price!G54+Volume_Price!G94+Volume_Price!G134)</f>
        <v>-19934.2</v>
      </c>
      <c r="H51" s="57" t="n">
        <f aca="false">-(Volume_Price!H54+Volume_Price!H94+Volume_Price!H134)</f>
        <v>-22164.74</v>
      </c>
      <c r="I51" s="57" t="n">
        <f aca="false">-(Volume_Price!I54+Volume_Price!I94+Volume_Price!I134)</f>
        <v>-23828.46</v>
      </c>
      <c r="J51" s="57" t="n">
        <f aca="false">-(Volume_Price!J54+Volume_Price!J94+Volume_Price!J134)</f>
        <v>-23345.4</v>
      </c>
      <c r="K51" s="57" t="n">
        <f aca="false">-(Volume_Price!K54+Volume_Price!K94+Volume_Price!K134)</f>
        <v>-21580</v>
      </c>
      <c r="L51" s="57" t="n">
        <f aca="false">-(Volume_Price!L54+Volume_Price!L94+Volume_Price!L134)</f>
        <v>-22022.97</v>
      </c>
      <c r="M51" s="57" t="n">
        <f aca="false">-(Volume_Price!M54+Volume_Price!M94+Volume_Price!M134)</f>
        <v>-24948.5393329655</v>
      </c>
      <c r="N51" s="57" t="n">
        <f aca="false">-(Volume_Price!N54+Volume_Price!N94+Volume_Price!N134)</f>
        <v>-28916.5774909078</v>
      </c>
      <c r="O51" s="57" t="n">
        <f aca="false">-(Volume_Price!O54+Volume_Price!O94+Volume_Price!O134)</f>
        <v>-41795.948072514</v>
      </c>
      <c r="P51" s="57" t="n">
        <f aca="false">-(Volume_Price!P54+Volume_Price!P94+Volume_Price!P134)</f>
        <v>-37405.3937761103</v>
      </c>
      <c r="Q51" s="57" t="n">
        <f aca="false">-(Volume_Price!Q54+Volume_Price!Q94+Volume_Price!Q134)</f>
        <v>-23887.0220265559</v>
      </c>
      <c r="R51" s="57" t="n">
        <f aca="false">-(Volume_Price!R54+Volume_Price!R94+Volume_Price!R134)</f>
        <v>-22771.5645243369</v>
      </c>
      <c r="S51" s="57" t="n">
        <f aca="false">-(Volume_Price!S54+Volume_Price!S94+Volume_Price!S134)</f>
        <v>-26255.2512915905</v>
      </c>
      <c r="T51" s="57" t="n">
        <f aca="false">-(Volume_Price!T54+Volume_Price!T94+Volume_Price!T134)</f>
        <v>-27807.3387306631</v>
      </c>
      <c r="U51" s="57" t="n">
        <f aca="false">-(Volume_Price!U54+Volume_Price!U94+Volume_Price!U134)</f>
        <v>-30035.7132864108</v>
      </c>
      <c r="V51" s="57" t="n">
        <f aca="false">-(Volume_Price!V54+Volume_Price!V94+Volume_Price!V134)</f>
        <v>-29847.2300668167</v>
      </c>
      <c r="W51" s="57" t="n">
        <f aca="false">-(Volume_Price!W54+Volume_Price!W94+Volume_Price!W134)</f>
        <v>-28988.4654377348</v>
      </c>
      <c r="X51" s="57" t="n">
        <f aca="false">-(Volume_Price!X54+Volume_Price!X94+Volume_Price!X134)</f>
        <v>-29060.4271813721</v>
      </c>
      <c r="Y51" s="57" t="n">
        <f aca="false">-(Volume_Price!Y54+Volume_Price!Y94+Volume_Price!Y134)</f>
        <v>-33521.6993988202</v>
      </c>
      <c r="Z51" s="57" t="n">
        <f aca="false">-(Volume_Price!Z54+Volume_Price!Z94+Volume_Price!Z134)</f>
        <v>-38888.0229727853</v>
      </c>
      <c r="AA51" s="57" t="n">
        <f aca="false">-(Volume_Price!AA54+Volume_Price!AA94+Volume_Price!AA134)</f>
        <v>-56259.7807065517</v>
      </c>
      <c r="AB51" s="57" t="n">
        <f aca="false">-(Volume_Price!AB54+Volume_Price!AB94+Volume_Price!AB134)</f>
        <v>-50396.4378741568</v>
      </c>
    </row>
    <row r="52" customFormat="false" ht="15" hidden="false" customHeight="true" outlineLevel="0" collapsed="false">
      <c r="A52" s="28" t="s">
        <v>739</v>
      </c>
      <c r="B52" s="55" t="s">
        <v>736</v>
      </c>
      <c r="C52" s="56" t="n">
        <f aca="false">SUM(E52:P52)</f>
        <v>15744.2848123432</v>
      </c>
      <c r="D52" s="56" t="n">
        <f aca="false">SUM(Q52:AB52)</f>
        <v>21337.3157846569</v>
      </c>
      <c r="E52" s="57" t="n">
        <f aca="false">Channel_PL!E21*E10+Channel_PL!E58*E15+Channel_PL!E92*E20</f>
        <v>911.751884745527</v>
      </c>
      <c r="F52" s="57" t="n">
        <f aca="false">Channel_PL!F21*F10+Channel_PL!F58*F15+Channel_PL!F92*F20</f>
        <v>852.734381339908</v>
      </c>
      <c r="G52" s="57" t="n">
        <f aca="false">Channel_PL!G21*G10+Channel_PL!G58*G15+Channel_PL!G92*G20</f>
        <v>1076.8814713066</v>
      </c>
      <c r="H52" s="57" t="n">
        <f aca="false">Channel_PL!H21*H10+Channel_PL!H58*H15+Channel_PL!H92*H20</f>
        <v>1028.78827232438</v>
      </c>
      <c r="I52" s="57" t="n">
        <f aca="false">Channel_PL!I21*I10+Channel_PL!I58*I15+Channel_PL!I92*I20</f>
        <v>1198.64493862487</v>
      </c>
      <c r="J52" s="57" t="n">
        <f aca="false">Channel_PL!J21*J10+Channel_PL!J58*J15+Channel_PL!J92*J20</f>
        <v>1328.77909356964</v>
      </c>
      <c r="K52" s="57" t="n">
        <f aca="false">Channel_PL!K21*K10+Channel_PL!K58*K15+Channel_PL!K92*K20</f>
        <v>1068.07099747856</v>
      </c>
      <c r="L52" s="57" t="n">
        <f aca="false">Channel_PL!L21*L10+Channel_PL!L58*L15+Channel_PL!L92*L20</f>
        <v>1182.09349501614</v>
      </c>
      <c r="M52" s="57" t="n">
        <f aca="false">Channel_PL!M21*M10+Channel_PL!M58*M15+Channel_PL!M92*M20</f>
        <v>1329.10456206828</v>
      </c>
      <c r="N52" s="57" t="n">
        <f aca="false">Channel_PL!N21*N10+Channel_PL!N58*N15+Channel_PL!N92*N20</f>
        <v>1541.46239978567</v>
      </c>
      <c r="O52" s="57" t="n">
        <f aca="false">Channel_PL!O21*O10+Channel_PL!O58*O15+Channel_PL!O92*O20</f>
        <v>2229.44197140241</v>
      </c>
      <c r="P52" s="57" t="n">
        <f aca="false">Channel_PL!P21*P10+Channel_PL!P58*P15+Channel_PL!P92*P20</f>
        <v>1996.53134468119</v>
      </c>
      <c r="Q52" s="57" t="n">
        <f aca="false">Channel_PL!Q21*Q10+Channel_PL!Q58*Q15+Channel_PL!Q92*Q20</f>
        <v>1275.81535449094</v>
      </c>
      <c r="R52" s="57" t="n">
        <f aca="false">Channel_PL!R21*R10+Channel_PL!R58*R15+Channel_PL!R92*R20</f>
        <v>1217.04500413851</v>
      </c>
      <c r="S52" s="57" t="n">
        <f aca="false">Channel_PL!S21*S10+Channel_PL!S58*S15+Channel_PL!S92*S20</f>
        <v>1404.1773973912</v>
      </c>
      <c r="T52" s="57" t="n">
        <f aca="false">Channel_PL!T21*T10+Channel_PL!T58*T15+Channel_PL!T92*T20</f>
        <v>1488.20023627294</v>
      </c>
      <c r="U52" s="57" t="n">
        <f aca="false">Channel_PL!U21*U10+Channel_PL!U58*U15+Channel_PL!U92*U20</f>
        <v>1608.5708032021</v>
      </c>
      <c r="V52" s="57" t="n">
        <f aca="false">Channel_PL!V21*V10+Channel_PL!V58*V15+Channel_PL!V92*V20</f>
        <v>1599.59756212997</v>
      </c>
      <c r="W52" s="57" t="n">
        <f aca="false">Channel_PL!W21*W10+Channel_PL!W58*W15+Channel_PL!W92*W20</f>
        <v>1554.67854372908</v>
      </c>
      <c r="X52" s="57" t="n">
        <f aca="false">Channel_PL!X21*X10+Channel_PL!X58*X15+Channel_PL!X92*X20</f>
        <v>1559.66128333354</v>
      </c>
      <c r="Y52" s="57" t="n">
        <f aca="false">Channel_PL!Y21*Y10+Channel_PL!Y58*Y15+Channel_PL!Y92*Y20</f>
        <v>1800.41038894341</v>
      </c>
      <c r="Z52" s="57" t="n">
        <f aca="false">Channel_PL!Z21*Z10+Channel_PL!Z58*Z15+Channel_PL!Z92*Z20</f>
        <v>2090.17585463178</v>
      </c>
      <c r="AA52" s="57" t="n">
        <f aca="false">Channel_PL!AA21*AA10+Channel_PL!AA58*AA15+Channel_PL!AA92*AA20</f>
        <v>3026.15238336354</v>
      </c>
      <c r="AB52" s="57" t="n">
        <f aca="false">Channel_PL!AB21*AB10+Channel_PL!AB58*AB15+Channel_PL!AB92*AB20</f>
        <v>2712.83097302983</v>
      </c>
    </row>
    <row r="53" customFormat="false" ht="15" hidden="false" customHeight="true" outlineLevel="0" collapsed="false">
      <c r="A53" s="70" t="s">
        <v>662</v>
      </c>
      <c r="B53" s="71"/>
      <c r="C53" s="72" t="n">
        <f aca="false">SUM(E53:P53)</f>
        <v>-285916.073860154</v>
      </c>
      <c r="D53" s="72" t="n">
        <f aca="false">SUM(Q53:AB53)</f>
        <v>-376381.637713138</v>
      </c>
      <c r="E53" s="72" t="n">
        <f aca="false">E51+E52</f>
        <v>-17796.7281152545</v>
      </c>
      <c r="F53" s="72" t="n">
        <f aca="false">F51+F52</f>
        <v>-16156.9156186601</v>
      </c>
      <c r="G53" s="72" t="n">
        <f aca="false">G51+G52</f>
        <v>-18857.3185286934</v>
      </c>
      <c r="H53" s="72" t="n">
        <f aca="false">H51+H52</f>
        <v>-21135.9517276756</v>
      </c>
      <c r="I53" s="72" t="n">
        <f aca="false">I51+I52</f>
        <v>-22629.8150613751</v>
      </c>
      <c r="J53" s="72" t="n">
        <f aca="false">J51+J52</f>
        <v>-22016.6209064304</v>
      </c>
      <c r="K53" s="72" t="n">
        <f aca="false">K51+K52</f>
        <v>-20511.9290025214</v>
      </c>
      <c r="L53" s="72" t="n">
        <f aca="false">L51+L52</f>
        <v>-20840.8765049839</v>
      </c>
      <c r="M53" s="72" t="n">
        <f aca="false">M51+M52</f>
        <v>-23619.4347708972</v>
      </c>
      <c r="N53" s="72" t="n">
        <f aca="false">N51+N52</f>
        <v>-27375.1150911221</v>
      </c>
      <c r="O53" s="72" t="n">
        <f aca="false">O51+O52</f>
        <v>-39566.5061011115</v>
      </c>
      <c r="P53" s="72" t="n">
        <f aca="false">P51+P52</f>
        <v>-35408.8624314291</v>
      </c>
      <c r="Q53" s="72" t="n">
        <f aca="false">Q51+Q52</f>
        <v>-22611.206672065</v>
      </c>
      <c r="R53" s="72" t="n">
        <f aca="false">R51+R52</f>
        <v>-21554.5195201984</v>
      </c>
      <c r="S53" s="72" t="n">
        <f aca="false">S51+S52</f>
        <v>-24851.0738941993</v>
      </c>
      <c r="T53" s="72" t="n">
        <f aca="false">T51+T52</f>
        <v>-26319.1384943902</v>
      </c>
      <c r="U53" s="72" t="n">
        <f aca="false">U51+U52</f>
        <v>-28427.1424832087</v>
      </c>
      <c r="V53" s="72" t="n">
        <f aca="false">V51+V52</f>
        <v>-28247.6325046867</v>
      </c>
      <c r="W53" s="72" t="n">
        <f aca="false">W51+W52</f>
        <v>-27433.7868940058</v>
      </c>
      <c r="X53" s="72" t="n">
        <f aca="false">X51+X52</f>
        <v>-27500.7658980386</v>
      </c>
      <c r="Y53" s="72" t="n">
        <f aca="false">Y51+Y52</f>
        <v>-31721.2890098768</v>
      </c>
      <c r="Z53" s="72" t="n">
        <f aca="false">Z51+Z52</f>
        <v>-36797.8471181536</v>
      </c>
      <c r="AA53" s="72" t="n">
        <f aca="false">AA51+AA52</f>
        <v>-53233.6283231882</v>
      </c>
      <c r="AB53" s="72" t="n">
        <f aca="false">AB51+AB52</f>
        <v>-47683.606901127</v>
      </c>
    </row>
    <row r="54" customFormat="false" ht="15" hidden="false" customHeight="true" outlineLevel="0" collapsed="false">
      <c r="A54" s="70" t="s">
        <v>319</v>
      </c>
      <c r="B54" s="71"/>
      <c r="C54" s="72" t="n">
        <f aca="false">SUM(E54:P54)</f>
        <v>575385.356735505</v>
      </c>
      <c r="D54" s="72" t="n">
        <f aca="false">SUM(Q54:AB54)</f>
        <v>749016.417120018</v>
      </c>
      <c r="E54" s="72" t="n">
        <f aca="false">E50+E53</f>
        <v>36811.9992779835</v>
      </c>
      <c r="F54" s="72" t="n">
        <f aca="false">F50+F53</f>
        <v>32591.2769189903</v>
      </c>
      <c r="G54" s="72" t="n">
        <f aca="false">G50+G53</f>
        <v>38056.6676576796</v>
      </c>
      <c r="H54" s="72" t="n">
        <f aca="false">H50+H53</f>
        <v>42553.8666667521</v>
      </c>
      <c r="I54" s="72" t="n">
        <f aca="false">I50+I53</f>
        <v>45857.1945479571</v>
      </c>
      <c r="J54" s="72" t="n">
        <f aca="false">J50+J53</f>
        <v>44252.5507296029</v>
      </c>
      <c r="K54" s="72" t="n">
        <f aca="false">K50+K53</f>
        <v>40732.5488187793</v>
      </c>
      <c r="L54" s="72" t="n">
        <f aca="false">L50+L53</f>
        <v>41829.5769766453</v>
      </c>
      <c r="M54" s="72" t="n">
        <f aca="false">M50+M53</f>
        <v>47453.7753235931</v>
      </c>
      <c r="N54" s="72" t="n">
        <f aca="false">N50+N53</f>
        <v>54949.6666801486</v>
      </c>
      <c r="O54" s="72" t="n">
        <f aca="false">O50+O53</f>
        <v>79349.367746264</v>
      </c>
      <c r="P54" s="72" t="n">
        <f aca="false">P50+P53</f>
        <v>70946.8653911096</v>
      </c>
      <c r="Q54" s="72" t="n">
        <f aca="false">Q50+Q53</f>
        <v>45263.6155630412</v>
      </c>
      <c r="R54" s="72" t="n">
        <f aca="false">R50+R53</f>
        <v>43108.8955068065</v>
      </c>
      <c r="S54" s="72" t="n">
        <f aca="false">S50+S53</f>
        <v>49656.4340228429</v>
      </c>
      <c r="T54" s="72" t="n">
        <f aca="false">T50+T53</f>
        <v>52541.5175389646</v>
      </c>
      <c r="U54" s="72" t="n">
        <f aca="false">U50+U53</f>
        <v>56697.4423783165</v>
      </c>
      <c r="V54" s="72" t="n">
        <f aca="false">V50+V53</f>
        <v>56287.2934590552</v>
      </c>
      <c r="W54" s="72" t="n">
        <f aca="false">W50+W53</f>
        <v>54614.8618599491</v>
      </c>
      <c r="X54" s="72" t="n">
        <f aca="false">X50+X53</f>
        <v>54697.2306501591</v>
      </c>
      <c r="Y54" s="72" t="n">
        <f aca="false">Y50+Y53</f>
        <v>63032.6456534061</v>
      </c>
      <c r="Z54" s="72" t="n">
        <f aca="false">Z50+Z53</f>
        <v>73051.637577002</v>
      </c>
      <c r="AA54" s="72" t="n">
        <f aca="false">AA50+AA53</f>
        <v>105580.839454269</v>
      </c>
      <c r="AB54" s="72" t="n">
        <f aca="false">AB50+AB53</f>
        <v>94484.003456206</v>
      </c>
    </row>
    <row r="55" customFormat="false" ht="15" hidden="false" customHeight="true" outlineLevel="0" collapsed="false">
      <c r="A55" s="28" t="s">
        <v>269</v>
      </c>
      <c r="B55" s="55"/>
      <c r="C55" s="59" t="n">
        <f aca="false">IF(C50=0,0,C54/C50)</f>
        <v>0.668041798488109</v>
      </c>
      <c r="D55" s="59" t="n">
        <f aca="false">IF(D50=0,0,D54/D50)</f>
        <v>0.665556879100046</v>
      </c>
      <c r="E55" s="58" t="n">
        <f aca="false">IF(E50=0,0,E54/E50)</f>
        <v>0.674104690499376</v>
      </c>
      <c r="F55" s="58" t="n">
        <f aca="false">IF(F50=0,0,F54/F50)</f>
        <v>0.668563801495176</v>
      </c>
      <c r="G55" s="58" t="n">
        <f aca="false">IF(G50=0,0,G54/G50)</f>
        <v>0.668669868475872</v>
      </c>
      <c r="H55" s="58" t="n">
        <f aca="false">IF(H50=0,0,H54/H50)</f>
        <v>0.668142377219828</v>
      </c>
      <c r="I55" s="58" t="n">
        <f aca="false">IF(I50=0,0,I54/I50)</f>
        <v>0.669575074302974</v>
      </c>
      <c r="J55" s="58" t="n">
        <f aca="false">IF(J50=0,0,J54/J50)</f>
        <v>0.667769788532274</v>
      </c>
      <c r="K55" s="58" t="n">
        <f aca="false">IF(K50=0,0,K54/K50)</f>
        <v>0.665081167605491</v>
      </c>
      <c r="L55" s="58" t="n">
        <f aca="false">IF(L50=0,0,L54/L50)</f>
        <v>0.667452916850314</v>
      </c>
      <c r="M55" s="58" t="n">
        <f aca="false">IF(M50=0,0,M54/M50)</f>
        <v>0.66767457471675</v>
      </c>
      <c r="N55" s="58" t="n">
        <f aca="false">IF(N50=0,0,N54/N50)</f>
        <v>0.667474185753926</v>
      </c>
      <c r="O55" s="58" t="n">
        <f aca="false">IF(O50=0,0,O54/O50)</f>
        <v>0.6672731333422</v>
      </c>
      <c r="P55" s="58" t="n">
        <f aca="false">IF(P50=0,0,P54/P50)</f>
        <v>0.667071410667124</v>
      </c>
      <c r="Q55" s="58" t="n">
        <f aca="false">IF(Q50=0,0,Q54/Q50)</f>
        <v>0.666869010813114</v>
      </c>
      <c r="R55" s="58" t="n">
        <f aca="false">IF(R50=0,0,R54/R50)</f>
        <v>0.666665926765595</v>
      </c>
      <c r="S55" s="58" t="n">
        <f aca="false">IF(S50=0,0,S54/S50)</f>
        <v>0.666462151413401</v>
      </c>
      <c r="T55" s="58" t="n">
        <f aca="false">IF(T50=0,0,T54/T50)</f>
        <v>0.666257677551424</v>
      </c>
      <c r="U55" s="58" t="n">
        <f aca="false">IF(U50=0,0,U54/U50)</f>
        <v>0.666052497883519</v>
      </c>
      <c r="V55" s="58" t="n">
        <f aca="false">IF(V50=0,0,V54/V50)</f>
        <v>0.665846605025685</v>
      </c>
      <c r="W55" s="58" t="n">
        <f aca="false">IF(W50=0,0,W54/W50)</f>
        <v>0.665639991509508</v>
      </c>
      <c r="X55" s="58" t="n">
        <f aca="false">IF(X50=0,0,X54/X50)</f>
        <v>0.665432649785896</v>
      </c>
      <c r="Y55" s="58" t="n">
        <f aca="false">IF(Y50=0,0,Y54/Y50)</f>
        <v>0.665224572229097</v>
      </c>
      <c r="Z55" s="58" t="n">
        <f aca="false">IF(Z50=0,0,Z54/Z50)</f>
        <v>0.665015751141012</v>
      </c>
      <c r="AA55" s="58" t="n">
        <f aca="false">IF(AA50=0,0,AA54/AA50)</f>
        <v>0.66480617875581</v>
      </c>
      <c r="AB55" s="58" t="n">
        <f aca="false">IF(AB50=0,0,AB54/AB50)</f>
        <v>0.66459584724484</v>
      </c>
    </row>
    <row r="56" customFormat="false" ht="15" hidden="false" customHeight="true" outlineLevel="0" collapsed="false">
      <c r="A56" s="28" t="s">
        <v>740</v>
      </c>
      <c r="B56" s="55" t="s">
        <v>736</v>
      </c>
      <c r="C56" s="56" t="n">
        <f aca="false">SUM(E56:P56)</f>
        <v>-206876.172087103</v>
      </c>
      <c r="D56" s="56" t="n">
        <f aca="false">SUM(Q56:AB56)</f>
        <v>-270022.246956933</v>
      </c>
      <c r="E56" s="57" t="n">
        <f aca="false">Channel_PL!E28*E10+Channel_PL!E66*E15+Channel_PL!E99*E20</f>
        <v>-12680.9422083224</v>
      </c>
      <c r="F56" s="57" t="n">
        <f aca="false">Channel_PL!F28*F10+Channel_PL!F66*F15+Channel_PL!F99*F20</f>
        <v>-11297.5508493534</v>
      </c>
      <c r="G56" s="57" t="n">
        <f aca="false">Channel_PL!G28*G10+Channel_PL!G66*G15+Channel_PL!G99*G20</f>
        <v>-13171.5912644497</v>
      </c>
      <c r="H56" s="57" t="n">
        <f aca="false">Channel_PL!H28*H10+Channel_PL!H66*H15+Channel_PL!H99*H20</f>
        <v>-15178.9461757546</v>
      </c>
      <c r="I56" s="57" t="n">
        <f aca="false">Channel_PL!I28*I10+Channel_PL!I66*I15+Channel_PL!I99*I20</f>
        <v>-16026.2258353032</v>
      </c>
      <c r="J56" s="57" t="n">
        <f aca="false">Channel_PL!J28*J10+Channel_PL!J66*J15+Channel_PL!J99*J20</f>
        <v>-16105.6329215104</v>
      </c>
      <c r="K56" s="57" t="n">
        <f aca="false">Channel_PL!K28*K10+Channel_PL!K66*K15+Channel_PL!K99*K20</f>
        <v>-14653.7801185237</v>
      </c>
      <c r="L56" s="57" t="n">
        <f aca="false">Channel_PL!L28*L10+Channel_PL!L66*L15+Channel_PL!L99*L20</f>
        <v>-14750.1193381591</v>
      </c>
      <c r="M56" s="57" t="n">
        <f aca="false">Channel_PL!M28*M10+Channel_PL!M66*M15+Channel_PL!M99*M20</f>
        <v>-16844.5001668147</v>
      </c>
      <c r="N56" s="57" t="n">
        <f aca="false">Channel_PL!N28*N10+Channel_PL!N66*N15+Channel_PL!N99*N20</f>
        <v>-20396.1863571775</v>
      </c>
      <c r="O56" s="57" t="n">
        <f aca="false">Channel_PL!O28*O10+Channel_PL!O66*O15+Channel_PL!O99*O20</f>
        <v>-29446.9894900806</v>
      </c>
      <c r="P56" s="57" t="n">
        <f aca="false">Channel_PL!P28*P10+Channel_PL!P66*P15+Channel_PL!P99*P20</f>
        <v>-26323.7073616539</v>
      </c>
      <c r="Q56" s="57" t="n">
        <f aca="false">Channel_PL!Q28*Q10+Channel_PL!Q66*Q15+Channel_PL!Q99*Q20</f>
        <v>-16062.1484210417</v>
      </c>
      <c r="R56" s="57" t="n">
        <f aca="false">Channel_PL!R28*R10+Channel_PL!R66*R15+Channel_PL!R99*R20</f>
        <v>-15296.7286253802</v>
      </c>
      <c r="S56" s="57" t="n">
        <f aca="false">Channel_PL!S28*S10+Channel_PL!S66*S15+Channel_PL!S99*S20</f>
        <v>-17619.3032619949</v>
      </c>
      <c r="T56" s="57" t="n">
        <f aca="false">Channel_PL!T28*T10+Channel_PL!T66*T15+Channel_PL!T99*T20</f>
        <v>-18642.3922328826</v>
      </c>
      <c r="U56" s="57" t="n">
        <f aca="false">Channel_PL!U28*U10+Channel_PL!U66*U15+Channel_PL!U99*U20</f>
        <v>-20116.5101641884</v>
      </c>
      <c r="V56" s="57" t="n">
        <f aca="false">Channel_PL!V28*V10+Channel_PL!V66*V15+Channel_PL!V99*V20</f>
        <v>-19970.733916235</v>
      </c>
      <c r="W56" s="57" t="n">
        <f aca="false">Channel_PL!W28*W10+Channel_PL!W66*W15+Channel_PL!W99*W20</f>
        <v>-19377.3039604699</v>
      </c>
      <c r="X56" s="57" t="n">
        <f aca="false">Channel_PL!X28*X10+Channel_PL!X66*X15+Channel_PL!X99*X20</f>
        <v>-19406.6732970589</v>
      </c>
      <c r="Y56" s="57" t="n">
        <f aca="false">Channel_PL!Y28*Y10+Channel_PL!Y66*Y15+Channel_PL!Y99*Y20</f>
        <v>-22364.4874646987</v>
      </c>
      <c r="Z56" s="57" t="n">
        <f aca="false">Channel_PL!Z28*Z10+Channel_PL!Z66*Z15+Channel_PL!Z99*Z20</f>
        <v>-27062.6446425873</v>
      </c>
      <c r="AA56" s="57" t="n">
        <f aca="false">Channel_PL!AA28*AA10+Channel_PL!AA66*AA15+Channel_PL!AA99*AA20</f>
        <v>-39108.806750724</v>
      </c>
      <c r="AB56" s="57" t="n">
        <f aca="false">Channel_PL!AB28*AB10+Channel_PL!AB66*AB15+Channel_PL!AB99*AB20</f>
        <v>-34994.5142196714</v>
      </c>
    </row>
    <row r="57" customFormat="false" ht="15" hidden="false" customHeight="true" outlineLevel="0" collapsed="false">
      <c r="A57" s="70" t="s">
        <v>324</v>
      </c>
      <c r="B57" s="71"/>
      <c r="C57" s="72" t="n">
        <f aca="false">SUM(E57:P57)</f>
        <v>368509.184648402</v>
      </c>
      <c r="D57" s="72" t="n">
        <f aca="false">SUM(Q57:AB57)</f>
        <v>478994.170163085</v>
      </c>
      <c r="E57" s="72" t="n">
        <f aca="false">E54+E56</f>
        <v>24131.057069661</v>
      </c>
      <c r="F57" s="72" t="n">
        <f aca="false">F54+F56</f>
        <v>21293.7260696369</v>
      </c>
      <c r="G57" s="72" t="n">
        <f aca="false">G54+G56</f>
        <v>24885.0763932299</v>
      </c>
      <c r="H57" s="72" t="n">
        <f aca="false">H54+H56</f>
        <v>27374.9204909975</v>
      </c>
      <c r="I57" s="72" t="n">
        <f aca="false">I54+I56</f>
        <v>29830.9687126539</v>
      </c>
      <c r="J57" s="72" t="n">
        <f aca="false">J54+J56</f>
        <v>28146.9178080924</v>
      </c>
      <c r="K57" s="72" t="n">
        <f aca="false">K54+K56</f>
        <v>26078.7687002556</v>
      </c>
      <c r="L57" s="72" t="n">
        <f aca="false">L54+L56</f>
        <v>27079.4576384862</v>
      </c>
      <c r="M57" s="72" t="n">
        <f aca="false">M54+M56</f>
        <v>30609.2751567783</v>
      </c>
      <c r="N57" s="72" t="n">
        <f aca="false">N54+N56</f>
        <v>34553.4803229712</v>
      </c>
      <c r="O57" s="72" t="n">
        <f aca="false">O54+O56</f>
        <v>49902.3782561835</v>
      </c>
      <c r="P57" s="72" t="n">
        <f aca="false">P54+P56</f>
        <v>44623.1580294558</v>
      </c>
      <c r="Q57" s="72" t="n">
        <f aca="false">Q54+Q56</f>
        <v>29201.4671419994</v>
      </c>
      <c r="R57" s="72" t="n">
        <f aca="false">R54+R56</f>
        <v>27812.1668814264</v>
      </c>
      <c r="S57" s="72" t="n">
        <f aca="false">S54+S56</f>
        <v>32037.1307608481</v>
      </c>
      <c r="T57" s="72" t="n">
        <f aca="false">T54+T56</f>
        <v>33899.125306082</v>
      </c>
      <c r="U57" s="72" t="n">
        <f aca="false">U54+U56</f>
        <v>36580.9322141281</v>
      </c>
      <c r="V57" s="72" t="n">
        <f aca="false">V54+V56</f>
        <v>36316.5595428202</v>
      </c>
      <c r="W57" s="72" t="n">
        <f aca="false">W54+W56</f>
        <v>35237.5578994792</v>
      </c>
      <c r="X57" s="72" t="n">
        <f aca="false">X54+X56</f>
        <v>35290.5573531001</v>
      </c>
      <c r="Y57" s="72" t="n">
        <f aca="false">Y54+Y56</f>
        <v>40668.1581887075</v>
      </c>
      <c r="Z57" s="72" t="n">
        <f aca="false">Z54+Z56</f>
        <v>45988.9929344147</v>
      </c>
      <c r="AA57" s="72" t="n">
        <f aca="false">AA54+AA56</f>
        <v>66472.0327035449</v>
      </c>
      <c r="AB57" s="72" t="n">
        <f aca="false">AB54+AB56</f>
        <v>59489.4892365346</v>
      </c>
    </row>
    <row r="58" customFormat="false" ht="15" hidden="false" customHeight="true" outlineLevel="0" collapsed="false">
      <c r="A58" s="28" t="s">
        <v>741</v>
      </c>
      <c r="B58" s="55" t="s">
        <v>736</v>
      </c>
      <c r="C58" s="56" t="n">
        <f aca="false">SUM(E58:P58)</f>
        <v>-115294.636267375</v>
      </c>
      <c r="D58" s="56" t="n">
        <f aca="false">SUM(Q58:AB58)</f>
        <v>-149994.256384811</v>
      </c>
      <c r="E58" s="57" t="n">
        <f aca="false">Channel_PL!E33*E10+Channel_PL!E69*E15+Channel_PL!E102*E20</f>
        <v>-6699.50609513921</v>
      </c>
      <c r="F58" s="57" t="n">
        <f aca="false">Channel_PL!F33*F10+Channel_PL!F69*F15+Channel_PL!F102*F20</f>
        <v>-6227.64365312133</v>
      </c>
      <c r="G58" s="57" t="n">
        <f aca="false">Channel_PL!G33*G10+Channel_PL!G69*G15+Channel_PL!G102*G20</f>
        <v>-7734.90086646601</v>
      </c>
      <c r="H58" s="57" t="n">
        <f aca="false">Channel_PL!H33*H10+Channel_PL!H69*H15+Channel_PL!H102*H20</f>
        <v>-8260.13523392434</v>
      </c>
      <c r="I58" s="57" t="n">
        <f aca="false">Channel_PL!I33*I10+Channel_PL!I69*I15+Channel_PL!I102*I20</f>
        <v>-9050.0242935113</v>
      </c>
      <c r="J58" s="57" t="n">
        <f aca="false">Channel_PL!J33*J10+Channel_PL!J69*J15+Channel_PL!J102*J20</f>
        <v>-9108.1899132955</v>
      </c>
      <c r="K58" s="57" t="n">
        <f aca="false">Channel_PL!K33*K10+Channel_PL!K69*K15+Channel_PL!K102*K20</f>
        <v>-8485.35923962587</v>
      </c>
      <c r="L58" s="57" t="n">
        <f aca="false">Channel_PL!L33*L10+Channel_PL!L69*L15+Channel_PL!L102*L20</f>
        <v>-8895.02947885219</v>
      </c>
      <c r="M58" s="57" t="n">
        <f aca="false">Channel_PL!M33*M10+Channel_PL!M69*M15+Channel_PL!M102*M20</f>
        <v>-9554.1518247765</v>
      </c>
      <c r="N58" s="57" t="n">
        <f aca="false">Channel_PL!N33*N10+Channel_PL!N69*N15+Channel_PL!N102*N20</f>
        <v>-11057.7307633611</v>
      </c>
      <c r="O58" s="57" t="n">
        <f aca="false">Channel_PL!O33*O10+Channel_PL!O69*O15+Channel_PL!O102*O20</f>
        <v>-15959.6375521627</v>
      </c>
      <c r="P58" s="57" t="n">
        <f aca="false">Channel_PL!P33*P10+Channel_PL!P69*P15+Channel_PL!P102*P20</f>
        <v>-14262.3273531392</v>
      </c>
      <c r="Q58" s="57" t="n">
        <f aca="false">Channel_PL!Q33*Q10+Channel_PL!Q69*Q15+Channel_PL!Q102*Q20</f>
        <v>-9094.58951644519</v>
      </c>
      <c r="R58" s="57" t="n">
        <f aca="false">Channel_PL!R33*R10+Channel_PL!R69*R15+Channel_PL!R102*R20</f>
        <v>-8657.1805329996</v>
      </c>
      <c r="S58" s="57" t="n">
        <f aca="false">Channel_PL!S33*S10+Channel_PL!S69*S15+Channel_PL!S102*S20</f>
        <v>-9966.89491406068</v>
      </c>
      <c r="T58" s="57" t="n">
        <f aca="false">Channel_PL!T33*T10+Channel_PL!T69*T15+Channel_PL!T102*T20</f>
        <v>-10540.4900130159</v>
      </c>
      <c r="U58" s="57" t="n">
        <f aca="false">Channel_PL!U33*U10+Channel_PL!U69*U15+Channel_PL!U102*U20</f>
        <v>-11368.2750318178</v>
      </c>
      <c r="V58" s="57" t="n">
        <f aca="false">Channel_PL!V33*V10+Channel_PL!V69*V15+Channel_PL!V102*V20</f>
        <v>-11280.1136187275</v>
      </c>
      <c r="W58" s="57" t="n">
        <f aca="false">Channel_PL!W33*W10+Channel_PL!W69*W15+Channel_PL!W102*W20</f>
        <v>-10939.18720737</v>
      </c>
      <c r="X58" s="57" t="n">
        <f aca="false">Channel_PL!X33*X10+Channel_PL!X69*X15+Channel_PL!X102*X20</f>
        <v>-10949.8905802156</v>
      </c>
      <c r="Y58" s="57" t="n">
        <f aca="false">Channel_PL!Y33*Y10+Channel_PL!Y69*Y15+Channel_PL!Y102*Y20</f>
        <v>-12611.8657118672</v>
      </c>
      <c r="Z58" s="57" t="n">
        <f aca="false">Channel_PL!Z33*Z10+Channel_PL!Z69*Z15+Channel_PL!Z102*Z20</f>
        <v>-14608.7235560038</v>
      </c>
      <c r="AA58" s="57" t="n">
        <f aca="false">Channel_PL!AA33*AA10+Channel_PL!AA69*AA15+Channel_PL!AA102*AA20</f>
        <v>-21102.5583909361</v>
      </c>
      <c r="AB58" s="57" t="n">
        <f aca="false">Channel_PL!AB33*AB10+Channel_PL!AB69*AB15+Channel_PL!AB102*AB20</f>
        <v>-18874.4873113522</v>
      </c>
    </row>
    <row r="59" customFormat="false" ht="15" hidden="false" customHeight="true" outlineLevel="0" collapsed="false">
      <c r="A59" s="70" t="s">
        <v>330</v>
      </c>
      <c r="B59" s="71"/>
      <c r="C59" s="72" t="n">
        <f aca="false">SUM(E59:P59)</f>
        <v>253214.548381027</v>
      </c>
      <c r="D59" s="72" t="n">
        <f aca="false">SUM(Q59:AB59)</f>
        <v>328999.913778274</v>
      </c>
      <c r="E59" s="72" t="n">
        <f aca="false">E57+E58</f>
        <v>17431.5509745218</v>
      </c>
      <c r="F59" s="72" t="n">
        <f aca="false">F57+F58</f>
        <v>15066.0824165156</v>
      </c>
      <c r="G59" s="72" t="n">
        <f aca="false">G57+G58</f>
        <v>17150.1755267639</v>
      </c>
      <c r="H59" s="72" t="n">
        <f aca="false">H57+H58</f>
        <v>19114.7852570731</v>
      </c>
      <c r="I59" s="72" t="n">
        <f aca="false">I57+I58</f>
        <v>20780.9444191426</v>
      </c>
      <c r="J59" s="72" t="n">
        <f aca="false">J57+J58</f>
        <v>19038.7278947969</v>
      </c>
      <c r="K59" s="72" t="n">
        <f aca="false">K57+K58</f>
        <v>17593.4094606297</v>
      </c>
      <c r="L59" s="72" t="n">
        <f aca="false">L57+L58</f>
        <v>18184.428159634</v>
      </c>
      <c r="M59" s="72" t="n">
        <f aca="false">M57+M58</f>
        <v>21055.1233320018</v>
      </c>
      <c r="N59" s="72" t="n">
        <f aca="false">N57+N58</f>
        <v>23495.74955961</v>
      </c>
      <c r="O59" s="72" t="n">
        <f aca="false">O57+O58</f>
        <v>33942.7407040207</v>
      </c>
      <c r="P59" s="72" t="n">
        <f aca="false">P57+P58</f>
        <v>30360.8306763165</v>
      </c>
      <c r="Q59" s="72" t="n">
        <f aca="false">Q57+Q58</f>
        <v>20106.8776255542</v>
      </c>
      <c r="R59" s="72" t="n">
        <f aca="false">R57+R58</f>
        <v>19154.9863484268</v>
      </c>
      <c r="S59" s="72" t="n">
        <f aca="false">S57+S58</f>
        <v>22070.2358467874</v>
      </c>
      <c r="T59" s="72" t="n">
        <f aca="false">T57+T58</f>
        <v>23358.635293066</v>
      </c>
      <c r="U59" s="72" t="n">
        <f aca="false">U57+U58</f>
        <v>25212.6571823103</v>
      </c>
      <c r="V59" s="72" t="n">
        <f aca="false">V57+V58</f>
        <v>25036.4459240927</v>
      </c>
      <c r="W59" s="72" t="n">
        <f aca="false">W57+W58</f>
        <v>24298.3706921092</v>
      </c>
      <c r="X59" s="72" t="n">
        <f aca="false">X57+X58</f>
        <v>24340.6667728845</v>
      </c>
      <c r="Y59" s="72" t="n">
        <f aca="false">Y57+Y58</f>
        <v>28056.2924768403</v>
      </c>
      <c r="Z59" s="72" t="n">
        <f aca="false">Z57+Z58</f>
        <v>31380.2693784109</v>
      </c>
      <c r="AA59" s="72" t="n">
        <f aca="false">AA57+AA58</f>
        <v>45369.4743126088</v>
      </c>
      <c r="AB59" s="72" t="n">
        <f aca="false">AB57+AB58</f>
        <v>40615.0019251824</v>
      </c>
    </row>
    <row r="60" customFormat="false" ht="15" hidden="false" customHeight="true" outlineLevel="0" collapsed="false">
      <c r="A60" s="28" t="s">
        <v>271</v>
      </c>
      <c r="B60" s="55"/>
      <c r="C60" s="59" t="n">
        <f aca="false">IF(C50=0,0,C59/C50)</f>
        <v>0.293990627887276</v>
      </c>
      <c r="D60" s="59" t="n">
        <f aca="false">IF(D50=0,0,D59/D50)</f>
        <v>0.292340929829534</v>
      </c>
      <c r="E60" s="58" t="n">
        <f aca="false">IF(E50=0,0,E59/E50)</f>
        <v>0.319208152370904</v>
      </c>
      <c r="F60" s="58" t="n">
        <f aca="false">IF(F50=0,0,F59/F50)</f>
        <v>0.309059303170664</v>
      </c>
      <c r="G60" s="58" t="n">
        <f aca="false">IF(G50=0,0,G59/G50)</f>
        <v>0.301334991202395</v>
      </c>
      <c r="H60" s="58" t="n">
        <f aca="false">IF(H50=0,0,H59/H50)</f>
        <v>0.300123092496453</v>
      </c>
      <c r="I60" s="58" t="n">
        <f aca="false">IF(I50=0,0,I59/I50)</f>
        <v>0.303428993873181</v>
      </c>
      <c r="J60" s="58" t="n">
        <f aca="false">IF(J50=0,0,J59/J50)</f>
        <v>0.287293886807011</v>
      </c>
      <c r="K60" s="58" t="n">
        <f aca="false">IF(K50=0,0,K59/K50)</f>
        <v>0.287265237397627</v>
      </c>
      <c r="L60" s="58" t="n">
        <f aca="false">IF(L50=0,0,L59/L50)</f>
        <v>0.290159511371088</v>
      </c>
      <c r="M60" s="58" t="n">
        <f aca="false">IF(M50=0,0,M59/M50)</f>
        <v>0.296245565720326</v>
      </c>
      <c r="N60" s="58" t="n">
        <f aca="false">IF(N50=0,0,N59/N50)</f>
        <v>0.285403119863592</v>
      </c>
      <c r="O60" s="58" t="n">
        <f aca="false">IF(O50=0,0,O59/O50)</f>
        <v>0.285434901210793</v>
      </c>
      <c r="P60" s="58" t="n">
        <f aca="false">IF(P50=0,0,P59/P50)</f>
        <v>0.285464932617221</v>
      </c>
      <c r="Q60" s="58" t="n">
        <f aca="false">IF(Q50=0,0,Q59/Q50)</f>
        <v>0.296234700341574</v>
      </c>
      <c r="R60" s="58" t="n">
        <f aca="false">IF(R50=0,0,R59/R50)</f>
        <v>0.296226024258496</v>
      </c>
      <c r="S60" s="58" t="n">
        <f aca="false">IF(S50=0,0,S59/S50)</f>
        <v>0.296214924694042</v>
      </c>
      <c r="T60" s="58" t="n">
        <f aca="false">IF(T50=0,0,T59/T50)</f>
        <v>0.296201381880292</v>
      </c>
      <c r="U60" s="58" t="n">
        <f aca="false">IF(U50=0,0,U59/U50)</f>
        <v>0.296185376096982</v>
      </c>
      <c r="V60" s="58" t="n">
        <f aca="false">IF(V50=0,0,V59/V50)</f>
        <v>0.296166887693628</v>
      </c>
      <c r="W60" s="58" t="n">
        <f aca="false">IF(W50=0,0,W59/W50)</f>
        <v>0.29614589711251</v>
      </c>
      <c r="X60" s="58" t="n">
        <f aca="false">IF(X50=0,0,X59/X50)</f>
        <v>0.296122384912534</v>
      </c>
      <c r="Y60" s="58" t="n">
        <f aca="false">IF(Y50=0,0,Y59/Y50)</f>
        <v>0.296096331793935</v>
      </c>
      <c r="Z60" s="58" t="n">
        <f aca="false">IF(Z50=0,0,Z59/Z50)</f>
        <v>0.285666059021529</v>
      </c>
      <c r="AA60" s="58" t="n">
        <f aca="false">IF(AA50=0,0,AA59/AA50)</f>
        <v>0.285675952245006</v>
      </c>
      <c r="AB60" s="58" t="n">
        <f aca="false">IF(AB50=0,0,AB59/AB50)</f>
        <v>0.285683931966628</v>
      </c>
    </row>
    <row r="61" customFormat="false" ht="15" hidden="false" customHeight="true" outlineLevel="0" collapsed="false">
      <c r="A61" s="28" t="s">
        <v>742</v>
      </c>
      <c r="B61" s="55"/>
      <c r="C61" s="61" t="n">
        <f aca="false">IF(C45=0,0,C59/C45)</f>
        <v>18.0347746492248</v>
      </c>
      <c r="D61" s="61" t="n">
        <f aca="false">IF(D45=0,0,D59/D45)</f>
        <v>18.3499912978008</v>
      </c>
      <c r="E61" s="62" t="n">
        <f aca="false">IF(E45=0,0,E59/E45)</f>
        <v>19.4548559983503</v>
      </c>
      <c r="F61" s="62" t="n">
        <f aca="false">IF(F45=0,0,F59/F45)</f>
        <v>18.7156303310752</v>
      </c>
      <c r="G61" s="62" t="n">
        <f aca="false">IF(G45=0,0,G59/G45)</f>
        <v>18.3424337184641</v>
      </c>
      <c r="H61" s="62" t="n">
        <f aca="false">IF(H45=0,0,H59/H45)</f>
        <v>18.2741732859208</v>
      </c>
      <c r="I61" s="62" t="n">
        <f aca="false">IF(I45=0,0,I59/I45)</f>
        <v>18.6543486706845</v>
      </c>
      <c r="J61" s="62" t="n">
        <f aca="false">IF(J45=0,0,J59/J45)</f>
        <v>17.3869661139698</v>
      </c>
      <c r="K61" s="62" t="n">
        <f aca="false">IF(K45=0,0,K59/K45)</f>
        <v>17.5934094606297</v>
      </c>
      <c r="L61" s="62" t="n">
        <f aca="false">IF(L45=0,0,L59/L45)</f>
        <v>17.8104095588972</v>
      </c>
      <c r="M61" s="62" t="n">
        <f aca="false">IF(M45=0,0,M59/M45)</f>
        <v>18.2487272234231</v>
      </c>
      <c r="N61" s="62" t="n">
        <f aca="false">IF(N45=0,0,N59/N45)</f>
        <v>17.6129498102841</v>
      </c>
      <c r="O61" s="62" t="n">
        <f aca="false">IF(O45=0,0,O59/O45)</f>
        <v>17.6470524632449</v>
      </c>
      <c r="P61" s="62" t="n">
        <f aca="false">IF(P45=0,0,P59/P45)</f>
        <v>17.681073874629</v>
      </c>
      <c r="Q61" s="62" t="n">
        <f aca="false">IF(Q45=0,0,Q59/Q45)</f>
        <v>18.3815281404338</v>
      </c>
      <c r="R61" s="62" t="n">
        <f aca="false">IF(R45=0,0,R59/R45)</f>
        <v>18.4144068527517</v>
      </c>
      <c r="S61" s="62" t="n">
        <f aca="false">IF(S45=0,0,S59/S45)</f>
        <v>18.4471517767627</v>
      </c>
      <c r="T61" s="62" t="n">
        <f aca="false">IF(T45=0,0,T59/T45)</f>
        <v>18.4797602965863</v>
      </c>
      <c r="U61" s="62" t="n">
        <f aca="false">IF(U45=0,0,U59/U45)</f>
        <v>18.5122297846883</v>
      </c>
      <c r="V61" s="62" t="n">
        <f aca="false">IF(V45=0,0,V59/V45)</f>
        <v>18.5445576037068</v>
      </c>
      <c r="W61" s="62" t="n">
        <f aca="false">IF(W45=0,0,W59/W45)</f>
        <v>18.57674110837</v>
      </c>
      <c r="X61" s="62" t="n">
        <f aca="false">IF(X45=0,0,X59/X45)</f>
        <v>18.6087776475115</v>
      </c>
      <c r="Y61" s="62" t="n">
        <f aca="false">IF(Y45=0,0,Y59/Y45)</f>
        <v>18.6406645661796</v>
      </c>
      <c r="Z61" s="62" t="n">
        <f aca="false">IF(Z45=0,0,Z59/Z45)</f>
        <v>18.0163873284618</v>
      </c>
      <c r="AA61" s="62" t="n">
        <f aca="false">IF(AA45=0,0,AA59/AA45)</f>
        <v>18.0493841474334</v>
      </c>
      <c r="AB61" s="62" t="n">
        <f aca="false">IF(AB45=0,0,AB59/AB45)</f>
        <v>18.0822755144974</v>
      </c>
    </row>
    <row r="62" customFormat="false" ht="15" hidden="false" customHeight="true" outlineLevel="0" collapsed="false">
      <c r="A62" s="28" t="s">
        <v>743</v>
      </c>
      <c r="B62" s="55" t="s">
        <v>50</v>
      </c>
      <c r="C62" s="66" t="n">
        <f aca="false">P62</f>
        <v>47.8948748064213</v>
      </c>
      <c r="D62" s="66" t="n">
        <f aca="false">AB62</f>
        <v>75</v>
      </c>
      <c r="E62" s="67" t="n">
        <f aca="false">Inventory!E31</f>
        <v>132.89703003275</v>
      </c>
      <c r="F62" s="67" t="n">
        <f aca="false">Inventory!F31</f>
        <v>105.428270155494</v>
      </c>
      <c r="G62" s="67" t="n">
        <f aca="false">Inventory!G31</f>
        <v>142.960348038003</v>
      </c>
      <c r="H62" s="67" t="n">
        <f aca="false">Inventory!H31</f>
        <v>95.8185198784868</v>
      </c>
      <c r="I62" s="67" t="n">
        <f aca="false">Inventory!I31</f>
        <v>62.6587450216497</v>
      </c>
      <c r="J62" s="67" t="n">
        <f aca="false">Inventory!J31</f>
        <v>33.5997456140108</v>
      </c>
      <c r="K62" s="67" t="n">
        <f aca="false">Inventory!K31</f>
        <v>83.4252248480572</v>
      </c>
      <c r="L62" s="67" t="n">
        <f aca="false">Inventory!L31</f>
        <v>52.4111498388535</v>
      </c>
      <c r="M62" s="67" t="n">
        <f aca="false">Inventory!M31</f>
        <v>68.372216168638</v>
      </c>
      <c r="N62" s="67" t="n">
        <f aca="false">Inventory!N31</f>
        <v>31.5157863777586</v>
      </c>
      <c r="O62" s="67" t="n">
        <f aca="false">Inventory!O31</f>
        <v>43.3432962964394</v>
      </c>
      <c r="P62" s="67" t="n">
        <f aca="false">Inventory!P31</f>
        <v>47.8948748064213</v>
      </c>
      <c r="Q62" s="67" t="n">
        <f aca="false">Inventory!Q31</f>
        <v>79.1581773391189</v>
      </c>
      <c r="R62" s="67" t="n">
        <f aca="false">Inventory!R31</f>
        <v>78.105372918356</v>
      </c>
      <c r="S62" s="67" t="n">
        <f aca="false">Inventory!S31</f>
        <v>82.0814368787495</v>
      </c>
      <c r="T62" s="67" t="n">
        <f aca="false">Inventory!T31</f>
        <v>78.3969825132293</v>
      </c>
      <c r="U62" s="67" t="n">
        <f aca="false">Inventory!U31</f>
        <v>77.0136639713112</v>
      </c>
      <c r="V62" s="67" t="n">
        <f aca="false">Inventory!V31</f>
        <v>70.4923545332849</v>
      </c>
      <c r="W62" s="67" t="n">
        <f aca="false">Inventory!W31</f>
        <v>75.186182010372</v>
      </c>
      <c r="X62" s="67" t="n">
        <f aca="false">Inventory!X31</f>
        <v>89.3975744814188</v>
      </c>
      <c r="Y62" s="67" t="n">
        <f aca="false">Inventory!Y31</f>
        <v>84.1997227775147</v>
      </c>
      <c r="Z62" s="67" t="n">
        <f aca="false">Inventory!Z31</f>
        <v>112.120202351482</v>
      </c>
      <c r="AA62" s="67" t="n">
        <f aca="false">Inventory!AA31</f>
        <v>65.0163567792084</v>
      </c>
      <c r="AB62" s="67" t="n">
        <f aca="false">Inventory!AB31</f>
        <v>75</v>
      </c>
    </row>
    <row r="64" customFormat="false" ht="15" hidden="false" customHeight="true" outlineLevel="0" collapsed="false">
      <c r="A64" s="22" t="s">
        <v>745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row>
    <row r="65" customFormat="false" ht="15" hidden="false" customHeight="true" outlineLevel="0" collapsed="false">
      <c r="A65" s="28" t="s">
        <v>642</v>
      </c>
      <c r="B65" s="55" t="s">
        <v>68</v>
      </c>
      <c r="C65" s="56" t="n">
        <f aca="false">SUM(E65:P65)</f>
        <v>19902.1599119607</v>
      </c>
      <c r="D65" s="56" t="n">
        <f aca="false">SUM(Q65:AB65)</f>
        <v>24875.3168153738</v>
      </c>
      <c r="E65" s="57" t="n">
        <f aca="false">Volume_Price!E27+Volume_Price!E67+Volume_Price!E107</f>
        <v>1253</v>
      </c>
      <c r="F65" s="57" t="n">
        <f aca="false">Volume_Price!F27+Volume_Price!F67+Volume_Price!F107</f>
        <v>1171</v>
      </c>
      <c r="G65" s="57" t="n">
        <f aca="false">Volume_Price!G27+Volume_Price!G67+Volume_Price!G107</f>
        <v>1427</v>
      </c>
      <c r="H65" s="57" t="n">
        <f aca="false">Volume_Price!H27+Volume_Price!H67+Volume_Price!H107</f>
        <v>1511</v>
      </c>
      <c r="I65" s="57" t="n">
        <f aca="false">Volume_Price!I27+Volume_Price!I67+Volume_Price!I107</f>
        <v>1605</v>
      </c>
      <c r="J65" s="57" t="n">
        <f aca="false">Volume_Price!J27+Volume_Price!J67+Volume_Price!J107</f>
        <v>1458</v>
      </c>
      <c r="K65" s="57" t="n">
        <f aca="false">Volume_Price!K27+Volume_Price!K67+Volume_Price!K107</f>
        <v>1443</v>
      </c>
      <c r="L65" s="57" t="n">
        <f aca="false">Volume_Price!L27+Volume_Price!L67+Volume_Price!L107</f>
        <v>1481</v>
      </c>
      <c r="M65" s="57" t="n">
        <f aca="false">Volume_Price!M27+Volume_Price!M67+Volume_Price!M107</f>
        <v>1612.16059712423</v>
      </c>
      <c r="N65" s="57" t="n">
        <f aca="false">Volume_Price!N27+Volume_Price!N67+Volume_Price!N107</f>
        <v>1862.70348713075</v>
      </c>
      <c r="O65" s="57" t="n">
        <f aca="false">Volume_Price!O27+Volume_Price!O67+Volume_Price!O107</f>
        <v>2683.88887840276</v>
      </c>
      <c r="P65" s="57" t="n">
        <f aca="false">Volume_Price!P27+Volume_Price!P67+Volume_Price!P107</f>
        <v>2394.40694930296</v>
      </c>
      <c r="Q65" s="57" t="n">
        <f aca="false">Volume_Price!Q27+Volume_Price!Q67+Volume_Price!Q107</f>
        <v>1524.25988346697</v>
      </c>
      <c r="R65" s="57" t="n">
        <f aca="false">Volume_Price!R27+Volume_Price!R67+Volume_Price!R107</f>
        <v>1448.51524657411</v>
      </c>
      <c r="S65" s="57" t="n">
        <f aca="false">Volume_Price!S27+Volume_Price!S67+Volume_Price!S107</f>
        <v>1664.86686103436</v>
      </c>
      <c r="T65" s="57" t="n">
        <f aca="false">Volume_Price!T27+Volume_Price!T67+Volume_Price!T107</f>
        <v>1757.74489900106</v>
      </c>
      <c r="U65" s="57" t="n">
        <f aca="false">Volume_Price!U27+Volume_Price!U67+Volume_Price!U107</f>
        <v>1892.63751422141</v>
      </c>
      <c r="V65" s="57" t="n">
        <f aca="false">Volume_Price!V27+Volume_Price!V67+Volume_Price!V107</f>
        <v>1874.85037025515</v>
      </c>
      <c r="W65" s="57" t="n">
        <f aca="false">Volume_Price!W27+Volume_Price!W67+Volume_Price!W107</f>
        <v>1815.18514149059</v>
      </c>
      <c r="X65" s="57" t="n">
        <f aca="false">Volume_Price!X27+Volume_Price!X67+Volume_Price!X107</f>
        <v>1813.97326794045</v>
      </c>
      <c r="Y65" s="57" t="n">
        <f aca="false">Volume_Price!Y27+Volume_Price!Y67+Volume_Price!Y107</f>
        <v>2085.87459383908</v>
      </c>
      <c r="Z65" s="57" t="n">
        <f aca="false">Volume_Price!Z27+Volume_Price!Z67+Volume_Price!Z107</f>
        <v>2412.18954667777</v>
      </c>
      <c r="AA65" s="57" t="n">
        <f aca="false">Volume_Price!AA27+Volume_Price!AA67+Volume_Price!AA107</f>
        <v>3478.78149838926</v>
      </c>
      <c r="AB65" s="57" t="n">
        <f aca="false">Volume_Price!AB27+Volume_Price!AB67+Volume_Price!AB107</f>
        <v>3106.43799248362</v>
      </c>
    </row>
    <row r="66" customFormat="false" ht="15" hidden="false" customHeight="true" outlineLevel="0" collapsed="false">
      <c r="A66" s="28" t="s">
        <v>648</v>
      </c>
      <c r="B66" s="55" t="s">
        <v>68</v>
      </c>
      <c r="C66" s="56" t="n">
        <f aca="false">SUM(E66:P66)</f>
        <v>882431.257158175</v>
      </c>
      <c r="D66" s="56" t="n">
        <f aca="false">SUM(Q66:AB66)</f>
        <v>1121163.60537931</v>
      </c>
      <c r="E66" s="57" t="n">
        <f aca="false">Volume_Price!E49+Volume_Price!E89+Volume_Price!E129</f>
        <v>55633.0221621622</v>
      </c>
      <c r="F66" s="57" t="n">
        <f aca="false">Volume_Price!F49+Volume_Price!F89+Volume_Price!F129</f>
        <v>52077.9309606148</v>
      </c>
      <c r="G66" s="57" t="n">
        <f aca="false">Volume_Price!G49+Volume_Price!G89+Volume_Price!G129</f>
        <v>63376.0157794677</v>
      </c>
      <c r="H66" s="57" t="n">
        <f aca="false">Volume_Price!H49+Volume_Price!H89+Volume_Price!H129</f>
        <v>66883.4836363636</v>
      </c>
      <c r="I66" s="57" t="n">
        <f aca="false">Volume_Price!I49+Volume_Price!I89+Volume_Price!I129</f>
        <v>71391.0918647166</v>
      </c>
      <c r="J66" s="57" t="n">
        <f aca="false">Volume_Price!J49+Volume_Price!J89+Volume_Price!J129</f>
        <v>65080.4255595668</v>
      </c>
      <c r="K66" s="57" t="n">
        <f aca="false">Volume_Price!K49+Volume_Price!K89+Volume_Price!K129</f>
        <v>63989.3663514719</v>
      </c>
      <c r="L66" s="57" t="n">
        <f aca="false">Volume_Price!L49+Volume_Price!L89+Volume_Price!L129</f>
        <v>65150.1796415771</v>
      </c>
      <c r="M66" s="57" t="n">
        <f aca="false">Volume_Price!M49+Volume_Price!M89+Volume_Price!M129</f>
        <v>71165.1820957915</v>
      </c>
      <c r="N66" s="57" t="n">
        <f aca="false">Volume_Price!N49+Volume_Price!N89+Volume_Price!N129</f>
        <v>82391.443128635</v>
      </c>
      <c r="O66" s="57" t="n">
        <f aca="false">Volume_Price!O49+Volume_Price!O89+Volume_Price!O129</f>
        <v>118954.493706405</v>
      </c>
      <c r="P66" s="57" t="n">
        <f aca="false">Volume_Price!P49+Volume_Price!P89+Volume_Price!P129</f>
        <v>106338.622271403</v>
      </c>
      <c r="Q66" s="57" t="n">
        <f aca="false">Volume_Price!Q49+Volume_Price!Q89+Volume_Price!Q129</f>
        <v>67830.9051478358</v>
      </c>
      <c r="R66" s="57" t="n">
        <f aca="false">Volume_Price!R49+Volume_Price!R89+Volume_Price!R129</f>
        <v>64590.1001579499</v>
      </c>
      <c r="S66" s="57" t="n">
        <f aca="false">Volume_Price!S49+Volume_Price!S89+Volume_Price!S129</f>
        <v>74386.7250544598</v>
      </c>
      <c r="T66" s="57" t="n">
        <f aca="false">Volume_Price!T49+Volume_Price!T89+Volume_Price!T129</f>
        <v>78694.3493621759</v>
      </c>
      <c r="U66" s="57" t="n">
        <f aca="false">Volume_Price!U49+Volume_Price!U89+Volume_Price!U129</f>
        <v>84903.507162084</v>
      </c>
      <c r="V66" s="57" t="n">
        <f aca="false">Volume_Price!V49+Volume_Price!V89+Volume_Price!V129</f>
        <v>84274.07111548</v>
      </c>
      <c r="W66" s="57" t="n">
        <f aca="false">Volume_Price!W49+Volume_Price!W89+Volume_Price!W129</f>
        <v>81755.3414974886</v>
      </c>
      <c r="X66" s="57" t="n">
        <f aca="false">Volume_Price!X49+Volume_Price!X89+Volume_Price!X129</f>
        <v>81863.9304455418</v>
      </c>
      <c r="Y66" s="57" t="n">
        <f aca="false">Volume_Price!Y49+Volume_Price!Y89+Volume_Price!Y129</f>
        <v>94322.4422512666</v>
      </c>
      <c r="Z66" s="57" t="n">
        <f aca="false">Volume_Price!Z49+Volume_Price!Z89+Volume_Price!Z129</f>
        <v>109295.434366188</v>
      </c>
      <c r="AA66" s="57" t="n">
        <f aca="false">Volume_Price!AA49+Volume_Price!AA89+Volume_Price!AA129</f>
        <v>157935.616611194</v>
      </c>
      <c r="AB66" s="57" t="n">
        <f aca="false">Volume_Price!AB49+Volume_Price!AB89+Volume_Price!AB129</f>
        <v>141311.182207644</v>
      </c>
    </row>
    <row r="67" customFormat="false" ht="15" hidden="false" customHeight="true" outlineLevel="0" collapsed="false">
      <c r="A67" s="28" t="s">
        <v>735</v>
      </c>
      <c r="B67" s="55" t="s">
        <v>736</v>
      </c>
      <c r="C67" s="56" t="n">
        <f aca="false">SUM(E67:P67)</f>
        <v>-56566.1505602542</v>
      </c>
      <c r="D67" s="56" t="n">
        <f aca="false">SUM(Q67:AB67)</f>
        <v>-71063.4851680149</v>
      </c>
      <c r="E67" s="57" t="n">
        <f aca="false">Channel_PL!E14*E11+Channel_PL!E52*E16+Channel_PL!E86*E21</f>
        <v>-3272.74733264543</v>
      </c>
      <c r="F67" s="57" t="n">
        <f aca="false">Channel_PL!F14*F11+Channel_PL!F52*F16+Channel_PL!F86*F21</f>
        <v>-3581.94655796358</v>
      </c>
      <c r="G67" s="57" t="n">
        <f aca="false">Channel_PL!G14*G11+Channel_PL!G52*G16+Channel_PL!G86*G21</f>
        <v>-4284.97272724861</v>
      </c>
      <c r="H67" s="57" t="n">
        <f aca="false">Channel_PL!H14*H11+Channel_PL!H52*H16+Channel_PL!H86*H21</f>
        <v>-4328.8992458179</v>
      </c>
      <c r="I67" s="57" t="n">
        <f aca="false">Channel_PL!I14*I11+Channel_PL!I52*I16+Channel_PL!I86*I21</f>
        <v>-4384.10723659521</v>
      </c>
      <c r="J67" s="57" t="n">
        <f aca="false">Channel_PL!J14*J11+Channel_PL!J52*J16+Channel_PL!J86*J21</f>
        <v>-4125.6868525951</v>
      </c>
      <c r="K67" s="57" t="n">
        <f aca="false">Channel_PL!K14*K11+Channel_PL!K52*K16+Channel_PL!K86*K21</f>
        <v>-4288.68285561293</v>
      </c>
      <c r="L67" s="57" t="n">
        <f aca="false">Channel_PL!L14*L11+Channel_PL!L52*L16+Channel_PL!L86*L21</f>
        <v>-4044.82726950759</v>
      </c>
      <c r="M67" s="57" t="n">
        <f aca="false">Channel_PL!M14*M11+Channel_PL!M52*M16+Channel_PL!M86*M21</f>
        <v>-4564.45179018705</v>
      </c>
      <c r="N67" s="57" t="n">
        <f aca="false">Channel_PL!N14*N11+Channel_PL!N52*N16+Channel_PL!N86*N21</f>
        <v>-5278.76481344618</v>
      </c>
      <c r="O67" s="57" t="n">
        <f aca="false">Channel_PL!O14*O11+Channel_PL!O52*O16+Channel_PL!O86*O21</f>
        <v>-7612.99523367589</v>
      </c>
      <c r="P67" s="57" t="n">
        <f aca="false">Channel_PL!P14*P11+Channel_PL!P52*P16+Channel_PL!P86*P21</f>
        <v>-6798.06864495878</v>
      </c>
      <c r="Q67" s="57" t="n">
        <f aca="false">Channel_PL!Q14*Q11+Channel_PL!Q52*Q16+Channel_PL!Q86*Q21</f>
        <v>-4331.4888700631</v>
      </c>
      <c r="R67" s="57" t="n">
        <f aca="false">Channel_PL!R14*R11+Channel_PL!R52*R16+Channel_PL!R86*R21</f>
        <v>-4119.89207134339</v>
      </c>
      <c r="S67" s="57" t="n">
        <f aca="false">Channel_PL!S14*S11+Channel_PL!S52*S16+Channel_PL!S86*S21</f>
        <v>-4739.37182257782</v>
      </c>
      <c r="T67" s="57" t="n">
        <f aca="false">Channel_PL!T14*T11+Channel_PL!T52*T16+Channel_PL!T86*T21</f>
        <v>-5008.05952843865</v>
      </c>
      <c r="U67" s="57" t="n">
        <f aca="false">Channel_PL!U14*U11+Channel_PL!U52*U16+Channel_PL!U86*U21</f>
        <v>-5396.93564593161</v>
      </c>
      <c r="V67" s="57" t="n">
        <f aca="false">Channel_PL!V14*V11+Channel_PL!V52*V16+Channel_PL!V86*V21</f>
        <v>-5350.64704567063</v>
      </c>
      <c r="W67" s="57" t="n">
        <f aca="false">Channel_PL!W14*W11+Channel_PL!W52*W16+Channel_PL!W86*W21</f>
        <v>-5184.58729857399</v>
      </c>
      <c r="X67" s="57" t="n">
        <f aca="false">Channel_PL!X14*X11+Channel_PL!X52*X16+Channel_PL!X86*X21</f>
        <v>-5185.2695659446</v>
      </c>
      <c r="Y67" s="57" t="n">
        <f aca="false">Channel_PL!Y14*Y11+Channel_PL!Y52*Y16+Channel_PL!Y86*Y21</f>
        <v>-5967.1836879101</v>
      </c>
      <c r="Z67" s="57" t="n">
        <f aca="false">Channel_PL!Z14*Z11+Channel_PL!Z52*Z16+Channel_PL!Z86*Z21</f>
        <v>-6906.00533100252</v>
      </c>
      <c r="AA67" s="57" t="n">
        <f aca="false">Channel_PL!AA14*AA11+Channel_PL!AA52*AA16+Channel_PL!AA86*AA21</f>
        <v>-9967.13526064231</v>
      </c>
      <c r="AB67" s="57" t="n">
        <f aca="false">Channel_PL!AB14*AB11+Channel_PL!AB52*AB16+Channel_PL!AB86*AB21</f>
        <v>-8906.90903991622</v>
      </c>
    </row>
    <row r="68" customFormat="false" ht="15" hidden="false" customHeight="true" outlineLevel="0" collapsed="false">
      <c r="A68" s="28" t="s">
        <v>737</v>
      </c>
      <c r="B68" s="55" t="s">
        <v>736</v>
      </c>
      <c r="C68" s="56" t="n">
        <f aca="false">SUM(E68:P68)</f>
        <v>-61254.6374499204</v>
      </c>
      <c r="D68" s="56" t="n">
        <f aca="false">SUM(Q68:AB68)</f>
        <v>-80080.4707982278</v>
      </c>
      <c r="E68" s="57" t="n">
        <f aca="false">Channel_PL!E15*E11+Channel_PL!E53*E16+Channel_PL!E87*E21</f>
        <v>-3801.14890198362</v>
      </c>
      <c r="F68" s="57" t="n">
        <f aca="false">Channel_PL!F15*F11+Channel_PL!F53*F16+Channel_PL!F87*F21</f>
        <v>-3457.45348177103</v>
      </c>
      <c r="G68" s="57" t="n">
        <f aca="false">Channel_PL!G15*G11+Channel_PL!G53*G16+Channel_PL!G87*G21</f>
        <v>-4191.9360678952</v>
      </c>
      <c r="H68" s="57" t="n">
        <f aca="false">Channel_PL!H15*H11+Channel_PL!H53*H16+Channel_PL!H87*H21</f>
        <v>-4447.58960862834</v>
      </c>
      <c r="I68" s="57" t="n">
        <f aca="false">Channel_PL!I15*I11+Channel_PL!I53*I16+Channel_PL!I87*I21</f>
        <v>-4776.06766469777</v>
      </c>
      <c r="J68" s="57" t="n">
        <f aca="false">Channel_PL!J15*J11+Channel_PL!J53*J16+Channel_PL!J87*J21</f>
        <v>-4502.57425638707</v>
      </c>
      <c r="K68" s="57" t="n">
        <f aca="false">Channel_PL!K15*K11+Channel_PL!K53*K16+Channel_PL!K87*K21</f>
        <v>-4278.3573396405</v>
      </c>
      <c r="L68" s="57" t="n">
        <f aca="false">Channel_PL!L15*L11+Channel_PL!L53*L16+Channel_PL!L87*L21</f>
        <v>-4903.14872619428</v>
      </c>
      <c r="M68" s="57" t="n">
        <f aca="false">Channel_PL!M15*M11+Channel_PL!M53*M16+Channel_PL!M87*M21</f>
        <v>-5046.89630700925</v>
      </c>
      <c r="N68" s="57" t="n">
        <f aca="false">Channel_PL!N15*N11+Channel_PL!N53*N16+Channel_PL!N87*N21</f>
        <v>-5846.74659596795</v>
      </c>
      <c r="O68" s="57" t="n">
        <f aca="false">Channel_PL!O15*O11+Channel_PL!O53*O16+Channel_PL!O87*O21</f>
        <v>-8446.80841323835</v>
      </c>
      <c r="P68" s="57" t="n">
        <f aca="false">Channel_PL!P15*P11+Channel_PL!P53*P16+Channel_PL!P87*P21</f>
        <v>-7555.91008650707</v>
      </c>
      <c r="Q68" s="57" t="n">
        <f aca="false">Channel_PL!Q15*Q11+Channel_PL!Q53*Q16+Channel_PL!Q87*Q21</f>
        <v>-4822.93827344956</v>
      </c>
      <c r="R68" s="57" t="n">
        <f aca="false">Channel_PL!R15*R11+Channel_PL!R53*R16+Channel_PL!R87*R21</f>
        <v>-4595.60625444914</v>
      </c>
      <c r="S68" s="57" t="n">
        <f aca="false">Channel_PL!S15*S11+Channel_PL!S53*S16+Channel_PL!S87*S21</f>
        <v>-5296.26275500579</v>
      </c>
      <c r="T68" s="57" t="n">
        <f aca="false">Channel_PL!T15*T11+Channel_PL!T53*T16+Channel_PL!T87*T21</f>
        <v>-5606.85563078156</v>
      </c>
      <c r="U68" s="57" t="n">
        <f aca="false">Channel_PL!U15*U11+Channel_PL!U53*U16+Channel_PL!U87*U21</f>
        <v>-6053.51674169775</v>
      </c>
      <c r="V68" s="57" t="n">
        <f aca="false">Channel_PL!V15*V11+Channel_PL!V53*V16+Channel_PL!V87*V21</f>
        <v>-6012.94147994377</v>
      </c>
      <c r="W68" s="57" t="n">
        <f aca="false">Channel_PL!W15*W11+Channel_PL!W53*W16+Channel_PL!W87*W21</f>
        <v>-5837.46992719652</v>
      </c>
      <c r="X68" s="57" t="n">
        <f aca="false">Channel_PL!X15*X11+Channel_PL!X53*X16+Channel_PL!X87*X21</f>
        <v>-5849.53435913435</v>
      </c>
      <c r="Y68" s="57" t="n">
        <f aca="false">Channel_PL!Y15*Y11+Channel_PL!Y53*Y16+Channel_PL!Y87*Y21</f>
        <v>-6744.79307278819</v>
      </c>
      <c r="Z68" s="57" t="n">
        <f aca="false">Channel_PL!Z15*Z11+Channel_PL!Z53*Z16+Channel_PL!Z87*Z21</f>
        <v>-7821.41338149547</v>
      </c>
      <c r="AA68" s="57" t="n">
        <f aca="false">Channel_PL!AA15*AA11+Channel_PL!AA53*AA16+Channel_PL!AA87*AA21</f>
        <v>-11310.9138957709</v>
      </c>
      <c r="AB68" s="57" t="n">
        <f aca="false">Channel_PL!AB15*AB11+Channel_PL!AB53*AB16+Channel_PL!AB87*AB21</f>
        <v>-10128.2250265148</v>
      </c>
    </row>
    <row r="69" customFormat="false" ht="15" hidden="false" customHeight="true" outlineLevel="0" collapsed="false">
      <c r="A69" s="28" t="s">
        <v>738</v>
      </c>
      <c r="B69" s="55" t="s">
        <v>736</v>
      </c>
      <c r="C69" s="56" t="n">
        <f aca="false">SUM(E69:P69)</f>
        <v>18987.6559074521</v>
      </c>
      <c r="D69" s="56" t="n">
        <f aca="false">SUM(Q69:AB69)</f>
        <v>21802.390333535</v>
      </c>
      <c r="E69" s="57" t="n">
        <f aca="false">Channel_PL!E17*E11</f>
        <v>1161.08119867762</v>
      </c>
      <c r="F69" s="57" t="n">
        <f aca="false">Channel_PL!F17*F11</f>
        <v>1176.44571159902</v>
      </c>
      <c r="G69" s="57" t="n">
        <f aca="false">Channel_PL!G17*G11</f>
        <v>1450.50373728482</v>
      </c>
      <c r="H69" s="57" t="n">
        <f aca="false">Channel_PL!H17*H11</f>
        <v>1428.47562894675</v>
      </c>
      <c r="I69" s="57" t="n">
        <f aca="false">Channel_PL!I17*I11</f>
        <v>1534.32536834479</v>
      </c>
      <c r="J69" s="57" t="n">
        <f aca="false">Channel_PL!J17*J11</f>
        <v>1547.73759587887</v>
      </c>
      <c r="K69" s="57" t="n">
        <f aca="false">Channel_PL!K17*K11</f>
        <v>1479.93434264244</v>
      </c>
      <c r="L69" s="57" t="n">
        <f aca="false">Channel_PL!L17*L11</f>
        <v>1385.57419340699</v>
      </c>
      <c r="M69" s="57" t="n">
        <f aca="false">Channel_PL!M17*M11</f>
        <v>1485.97604389456</v>
      </c>
      <c r="N69" s="57" t="n">
        <f aca="false">Channel_PL!N17*N11</f>
        <v>1709.19372080781</v>
      </c>
      <c r="O69" s="57" t="n">
        <f aca="false">Channel_PL!O17*O11</f>
        <v>2451.47238532743</v>
      </c>
      <c r="P69" s="57" t="n">
        <f aca="false">Channel_PL!P17*P11</f>
        <v>2176.935980641</v>
      </c>
      <c r="Q69" s="57" t="n">
        <f aca="false">Channel_PL!Q17*Q11</f>
        <v>1379.30933315526</v>
      </c>
      <c r="R69" s="57" t="n">
        <f aca="false">Channel_PL!R17*R11</f>
        <v>1304.51736090495</v>
      </c>
      <c r="S69" s="57" t="n">
        <f aca="false">Channel_PL!S17*S11</f>
        <v>1492.1038061552</v>
      </c>
      <c r="T69" s="57" t="n">
        <f aca="false">Channel_PL!T17*T11</f>
        <v>1567.60315857211</v>
      </c>
      <c r="U69" s="57" t="n">
        <f aca="false">Channel_PL!U17*U11</f>
        <v>1679.48414995029</v>
      </c>
      <c r="V69" s="57" t="n">
        <f aca="false">Channel_PL!V17*V11</f>
        <v>1655.27475555147</v>
      </c>
      <c r="W69" s="57" t="n">
        <f aca="false">Channel_PL!W17*W11</f>
        <v>1594.35727734512</v>
      </c>
      <c r="X69" s="57" t="n">
        <f aca="false">Channel_PL!X17*X11</f>
        <v>1584.97517248218</v>
      </c>
      <c r="Y69" s="57" t="n">
        <f aca="false">Channel_PL!Y17*Y11</f>
        <v>1812.89077355137</v>
      </c>
      <c r="Z69" s="57" t="n">
        <f aca="false">Channel_PL!Z17*Z11</f>
        <v>2085.21633938553</v>
      </c>
      <c r="AA69" s="57" t="n">
        <f aca="false">Channel_PL!AA17*AA11</f>
        <v>2990.79631009947</v>
      </c>
      <c r="AB69" s="57" t="n">
        <f aca="false">Channel_PL!AB17*AB11</f>
        <v>2655.86189638202</v>
      </c>
    </row>
    <row r="70" customFormat="false" ht="15" hidden="false" customHeight="true" outlineLevel="0" collapsed="false">
      <c r="A70" s="70" t="s">
        <v>312</v>
      </c>
      <c r="B70" s="71"/>
      <c r="C70" s="72" t="n">
        <f aca="false">SUM(E70:P70)</f>
        <v>783598.125055453</v>
      </c>
      <c r="D70" s="72" t="n">
        <f aca="false">SUM(Q70:AB70)</f>
        <v>991822.039746602</v>
      </c>
      <c r="E70" s="72" t="n">
        <f aca="false">E66+E67+E68+E69</f>
        <v>49720.2071262107</v>
      </c>
      <c r="F70" s="72" t="n">
        <f aca="false">F66+F67+F68+F69</f>
        <v>46214.9766324792</v>
      </c>
      <c r="G70" s="72" t="n">
        <f aca="false">G66+G67+G68+G69</f>
        <v>56349.6107216087</v>
      </c>
      <c r="H70" s="72" t="n">
        <f aca="false">H66+H67+H68+H69</f>
        <v>59535.4704108641</v>
      </c>
      <c r="I70" s="72" t="n">
        <f aca="false">I66+I67+I68+I69</f>
        <v>63765.2423317684</v>
      </c>
      <c r="J70" s="72" t="n">
        <f aca="false">J66+J67+J68+J69</f>
        <v>57999.9020464635</v>
      </c>
      <c r="K70" s="72" t="n">
        <f aca="false">K66+K67+K68+K69</f>
        <v>56902.2604988609</v>
      </c>
      <c r="L70" s="72" t="n">
        <f aca="false">L66+L67+L68+L69</f>
        <v>57587.7778392822</v>
      </c>
      <c r="M70" s="72" t="n">
        <f aca="false">M66+M67+M68+M69</f>
        <v>63039.8100424897</v>
      </c>
      <c r="N70" s="72" t="n">
        <f aca="false">N66+N67+N68+N69</f>
        <v>72975.1254400287</v>
      </c>
      <c r="O70" s="72" t="n">
        <f aca="false">O66+O67+O68+O69</f>
        <v>105346.162444819</v>
      </c>
      <c r="P70" s="72" t="n">
        <f aca="false">P66+P67+P68+P69</f>
        <v>94161.5795205779</v>
      </c>
      <c r="Q70" s="72" t="n">
        <f aca="false">Q66+Q67+Q68+Q69</f>
        <v>60055.7873374784</v>
      </c>
      <c r="R70" s="72" t="n">
        <f aca="false">R66+R67+R68+R69</f>
        <v>57179.1191930623</v>
      </c>
      <c r="S70" s="72" t="n">
        <f aca="false">S66+S67+S68+S69</f>
        <v>65843.1942830314</v>
      </c>
      <c r="T70" s="72" t="n">
        <f aca="false">T66+T67+T68+T69</f>
        <v>69647.0373615278</v>
      </c>
      <c r="U70" s="72" t="n">
        <f aca="false">U66+U67+U68+U69</f>
        <v>75132.5389244049</v>
      </c>
      <c r="V70" s="72" t="n">
        <f aca="false">V66+V67+V68+V69</f>
        <v>74565.7573454171</v>
      </c>
      <c r="W70" s="72" t="n">
        <f aca="false">W66+W67+W68+W69</f>
        <v>72327.6415490632</v>
      </c>
      <c r="X70" s="72" t="n">
        <f aca="false">X66+X67+X68+X69</f>
        <v>72414.101692945</v>
      </c>
      <c r="Y70" s="72" t="n">
        <f aca="false">Y66+Y67+Y68+Y69</f>
        <v>83423.3562641197</v>
      </c>
      <c r="Z70" s="72" t="n">
        <f aca="false">Z66+Z67+Z68+Z69</f>
        <v>96653.2319930759</v>
      </c>
      <c r="AA70" s="72" t="n">
        <f aca="false">AA66+AA67+AA68+AA69</f>
        <v>139648.363764881</v>
      </c>
      <c r="AB70" s="72" t="n">
        <f aca="false">AB66+AB67+AB68+AB69</f>
        <v>124931.910037595</v>
      </c>
    </row>
    <row r="71" customFormat="false" ht="15" hidden="false" customHeight="true" outlineLevel="0" collapsed="false">
      <c r="A71" s="28" t="s">
        <v>659</v>
      </c>
      <c r="B71" s="55" t="s">
        <v>68</v>
      </c>
      <c r="C71" s="56" t="n">
        <f aca="false">SUM(E71:P71)</f>
        <v>-295895.666902655</v>
      </c>
      <c r="D71" s="56" t="n">
        <f aca="false">SUM(Q71:AB71)</f>
        <v>-382187.50110915</v>
      </c>
      <c r="E71" s="57" t="n">
        <f aca="false">-(Volume_Price!E55+Volume_Price!E95+Volume_Price!E135)</f>
        <v>-18381.51</v>
      </c>
      <c r="F71" s="57" t="n">
        <f aca="false">-(Volume_Price!F55+Volume_Price!F95+Volume_Price!F135)</f>
        <v>-17108.31</v>
      </c>
      <c r="G71" s="57" t="n">
        <f aca="false">-(Volume_Price!G55+Volume_Price!G95+Volume_Price!G135)</f>
        <v>-20919.82</v>
      </c>
      <c r="H71" s="57" t="n">
        <f aca="false">-(Volume_Price!H55+Volume_Price!H95+Volume_Price!H135)</f>
        <v>-22196.59</v>
      </c>
      <c r="I71" s="57" t="n">
        <f aca="false">-(Volume_Price!I55+Volume_Price!I95+Volume_Price!I135)</f>
        <v>-23625.6</v>
      </c>
      <c r="J71" s="57" t="n">
        <f aca="false">-(Volume_Price!J55+Volume_Price!J95+Volume_Price!J135)</f>
        <v>-21490.92</v>
      </c>
      <c r="K71" s="57" t="n">
        <f aca="false">-(Volume_Price!K55+Volume_Price!K95+Volume_Price!K135)</f>
        <v>-21414.12</v>
      </c>
      <c r="L71" s="57" t="n">
        <f aca="false">-(Volume_Price!L55+Volume_Price!L95+Volume_Price!L135)</f>
        <v>-22126.14</v>
      </c>
      <c r="M71" s="57" t="n">
        <f aca="false">-(Volume_Price!M55+Volume_Price!M95+Volume_Price!M135)</f>
        <v>-24145.0811038908</v>
      </c>
      <c r="N71" s="57" t="n">
        <f aca="false">-(Volume_Price!N55+Volume_Price!N95+Volume_Price!N135)</f>
        <v>-27966.2259736117</v>
      </c>
      <c r="O71" s="57" t="n">
        <f aca="false">-(Volume_Price!O55+Volume_Price!O95+Volume_Price!O135)</f>
        <v>-40394.7043943685</v>
      </c>
      <c r="P71" s="57" t="n">
        <f aca="false">-(Volume_Price!P55+Volume_Price!P95+Volume_Price!P135)</f>
        <v>-36126.6454307837</v>
      </c>
      <c r="Q71" s="57" t="n">
        <f aca="false">-(Volume_Price!Q55+Volume_Price!Q95+Volume_Price!Q135)</f>
        <v>-23054.6461449451</v>
      </c>
      <c r="R71" s="57" t="n">
        <f aca="false">-(Volume_Price!R55+Volume_Price!R95+Volume_Price!R135)</f>
        <v>-21963.0313067881</v>
      </c>
      <c r="S71" s="57" t="n">
        <f aca="false">-(Volume_Price!S55+Volume_Price!S95+Volume_Price!S135)</f>
        <v>-25305.7077039997</v>
      </c>
      <c r="T71" s="57" t="n">
        <f aca="false">-(Volume_Price!T55+Volume_Price!T95+Volume_Price!T135)</f>
        <v>-26783.3313095422</v>
      </c>
      <c r="U71" s="57" t="n">
        <f aca="false">-(Volume_Price!U55+Volume_Price!U95+Volume_Price!U135)</f>
        <v>-28909.8581037027</v>
      </c>
      <c r="V71" s="57" t="n">
        <f aca="false">-(Volume_Price!V55+Volume_Price!V95+Volume_Price!V135)</f>
        <v>-28708.7906018052</v>
      </c>
      <c r="W71" s="57" t="n">
        <f aca="false">-(Volume_Price!W55+Volume_Price!W95+Volume_Price!W135)</f>
        <v>-27863.712562249</v>
      </c>
      <c r="X71" s="57" t="n">
        <f aca="false">-(Volume_Price!X55+Volume_Price!X95+Volume_Price!X135)</f>
        <v>-27913.7834417213</v>
      </c>
      <c r="Y71" s="57" t="n">
        <f aca="false">-(Volume_Price!Y55+Volume_Price!Y95+Volume_Price!Y135)</f>
        <v>-32177.0173955047</v>
      </c>
      <c r="Z71" s="57" t="n">
        <f aca="false">-(Volume_Price!Z55+Volume_Price!Z95+Volume_Price!Z135)</f>
        <v>-37302.5731536112</v>
      </c>
      <c r="AA71" s="57" t="n">
        <f aca="false">-(Volume_Price!AA55+Volume_Price!AA95+Volume_Price!AA135)</f>
        <v>-53929.2375154412</v>
      </c>
      <c r="AB71" s="57" t="n">
        <f aca="false">-(Volume_Price!AB55+Volume_Price!AB95+Volume_Price!AB135)</f>
        <v>-48275.8118698397</v>
      </c>
    </row>
    <row r="72" customFormat="false" ht="15" hidden="false" customHeight="true" outlineLevel="0" collapsed="false">
      <c r="A72" s="28" t="s">
        <v>739</v>
      </c>
      <c r="B72" s="55" t="s">
        <v>736</v>
      </c>
      <c r="C72" s="56" t="n">
        <f aca="false">SUM(E72:P72)</f>
        <v>13826.1749256794</v>
      </c>
      <c r="D72" s="56" t="n">
        <f aca="false">SUM(Q72:AB72)</f>
        <v>18247.4539262564</v>
      </c>
      <c r="E72" s="57" t="n">
        <f aca="false">Channel_PL!E21*E11+Channel_PL!E58*E16+Channel_PL!E92*E21</f>
        <v>801.104492567313</v>
      </c>
      <c r="F72" s="57" t="n">
        <f aca="false">Channel_PL!F21*F11+Channel_PL!F58*F16+Channel_PL!F92*F21</f>
        <v>748.515219535466</v>
      </c>
      <c r="G72" s="57" t="n">
        <f aca="false">Channel_PL!G21*G11+Channel_PL!G58*G16+Channel_PL!G92*G21</f>
        <v>992.999498983447</v>
      </c>
      <c r="H72" s="57" t="n">
        <f aca="false">Channel_PL!H21*H11+Channel_PL!H58*H16+Channel_PL!H92*H21</f>
        <v>938.953400425685</v>
      </c>
      <c r="I72" s="57" t="n">
        <f aca="false">Channel_PL!I21*I11+Channel_PL!I58*I16+Channel_PL!I92*I21</f>
        <v>1090.188490409</v>
      </c>
      <c r="J72" s="57" t="n">
        <f aca="false">Channel_PL!J21*J11+Channel_PL!J58*J16+Channel_PL!J92*J21</f>
        <v>1118.12457467117</v>
      </c>
      <c r="K72" s="57" t="n">
        <f aca="false">Channel_PL!K21*K11+Channel_PL!K58*K16+Channel_PL!K92*K21</f>
        <v>977.715164254391</v>
      </c>
      <c r="L72" s="57" t="n">
        <f aca="false">Channel_PL!L21*L11+Channel_PL!L58*L16+Channel_PL!L92*L21</f>
        <v>1057.13696744988</v>
      </c>
      <c r="M72" s="57" t="n">
        <f aca="false">Channel_PL!M21*M11+Channel_PL!M58*M16+Channel_PL!M92*M21</f>
        <v>1143.93189798537</v>
      </c>
      <c r="N72" s="57" t="n">
        <f aca="false">Channel_PL!N21*N11+Channel_PL!N58*N16+Channel_PL!N92*N21</f>
        <v>1325.87932800768</v>
      </c>
      <c r="O72" s="57" t="n">
        <f aca="false">Channel_PL!O21*O11+Channel_PL!O58*O16+Channel_PL!O92*O21</f>
        <v>1916.45076289142</v>
      </c>
      <c r="P72" s="57" t="n">
        <f aca="false">Channel_PL!P21*P11+Channel_PL!P58*P16+Channel_PL!P92*P21</f>
        <v>1715.1751284986</v>
      </c>
      <c r="Q72" s="57" t="n">
        <f aca="false">Channel_PL!Q21*Q11+Channel_PL!Q58*Q16+Channel_PL!Q92*Q21</f>
        <v>1095.34631491369</v>
      </c>
      <c r="R72" s="57" t="n">
        <f aca="false">Channel_PL!R21*R11+Channel_PL!R58*R16+Channel_PL!R92*R21</f>
        <v>1044.24409706436</v>
      </c>
      <c r="S72" s="57" t="n">
        <f aca="false">Channel_PL!S21*S11+Channel_PL!S58*S16+Channel_PL!S92*S21</f>
        <v>1204.06418606382</v>
      </c>
      <c r="T72" s="57" t="n">
        <f aca="false">Channel_PL!T21*T11+Channel_PL!T58*T16+Channel_PL!T92*T21</f>
        <v>1275.32783050113</v>
      </c>
      <c r="U72" s="57" t="n">
        <f aca="false">Channel_PL!U21*U11+Channel_PL!U58*U16+Channel_PL!U92*U21</f>
        <v>1377.6345513392</v>
      </c>
      <c r="V72" s="57" t="n">
        <f aca="false">Channel_PL!V21*V11+Channel_PL!V58*V16+Channel_PL!V92*V21</f>
        <v>1369.1106795697</v>
      </c>
      <c r="W72" s="57" t="n">
        <f aca="false">Channel_PL!W21*W11+Channel_PL!W58*W16+Channel_PL!W92*W21</f>
        <v>1329.85118940383</v>
      </c>
      <c r="X72" s="57" t="n">
        <f aca="false">Channel_PL!X21*X11+Channel_PL!X58*X16+Channel_PL!X92*X21</f>
        <v>1333.30043511122</v>
      </c>
      <c r="Y72" s="57" t="n">
        <f aca="false">Channel_PL!Y21*Y11+Channel_PL!Y58*Y16+Channel_PL!Y92*Y21</f>
        <v>1538.17318086796</v>
      </c>
      <c r="Z72" s="57" t="n">
        <f aca="false">Channel_PL!Z21*Z11+Channel_PL!Z58*Z16+Channel_PL!Z92*Z21</f>
        <v>1784.65095810153</v>
      </c>
      <c r="AA72" s="57" t="n">
        <f aca="false">Channel_PL!AA21*AA11+Channel_PL!AA58*AA16+Channel_PL!AA92*AA21</f>
        <v>2582.252905551</v>
      </c>
      <c r="AB72" s="57" t="n">
        <f aca="false">Channel_PL!AB21*AB11+Channel_PL!AB58*AB16+Channel_PL!AB92*AB21</f>
        <v>2313.497597769</v>
      </c>
    </row>
    <row r="73" customFormat="false" ht="15" hidden="false" customHeight="true" outlineLevel="0" collapsed="false">
      <c r="A73" s="70" t="s">
        <v>662</v>
      </c>
      <c r="B73" s="71"/>
      <c r="C73" s="72" t="n">
        <f aca="false">SUM(E73:P73)</f>
        <v>-282069.491976975</v>
      </c>
      <c r="D73" s="72" t="n">
        <f aca="false">SUM(Q73:AB73)</f>
        <v>-363940.047182894</v>
      </c>
      <c r="E73" s="72" t="n">
        <f aca="false">E71+E72</f>
        <v>-17580.4055074327</v>
      </c>
      <c r="F73" s="72" t="n">
        <f aca="false">F71+F72</f>
        <v>-16359.7947804645</v>
      </c>
      <c r="G73" s="72" t="n">
        <f aca="false">G71+G72</f>
        <v>-19926.8205010166</v>
      </c>
      <c r="H73" s="72" t="n">
        <f aca="false">H71+H72</f>
        <v>-21257.6365995743</v>
      </c>
      <c r="I73" s="72" t="n">
        <f aca="false">I71+I72</f>
        <v>-22535.411509591</v>
      </c>
      <c r="J73" s="72" t="n">
        <f aca="false">J71+J72</f>
        <v>-20372.7954253288</v>
      </c>
      <c r="K73" s="72" t="n">
        <f aca="false">K71+K72</f>
        <v>-20436.4048357456</v>
      </c>
      <c r="L73" s="72" t="n">
        <f aca="false">L71+L72</f>
        <v>-21069.0030325501</v>
      </c>
      <c r="M73" s="72" t="n">
        <f aca="false">M71+M72</f>
        <v>-23001.1492059055</v>
      </c>
      <c r="N73" s="72" t="n">
        <f aca="false">N71+N72</f>
        <v>-26640.346645604</v>
      </c>
      <c r="O73" s="72" t="n">
        <f aca="false">O71+O72</f>
        <v>-38478.2536314771</v>
      </c>
      <c r="P73" s="72" t="n">
        <f aca="false">P71+P72</f>
        <v>-34411.4703022851</v>
      </c>
      <c r="Q73" s="72" t="n">
        <f aca="false">Q71+Q72</f>
        <v>-21959.2998300314</v>
      </c>
      <c r="R73" s="72" t="n">
        <f aca="false">R71+R72</f>
        <v>-20918.7872097237</v>
      </c>
      <c r="S73" s="72" t="n">
        <f aca="false">S71+S72</f>
        <v>-24101.6435179359</v>
      </c>
      <c r="T73" s="72" t="n">
        <f aca="false">T71+T72</f>
        <v>-25508.0034790411</v>
      </c>
      <c r="U73" s="72" t="n">
        <f aca="false">U71+U72</f>
        <v>-27532.2235523635</v>
      </c>
      <c r="V73" s="72" t="n">
        <f aca="false">V71+V72</f>
        <v>-27339.6799222355</v>
      </c>
      <c r="W73" s="72" t="n">
        <f aca="false">W71+W72</f>
        <v>-26533.8613728452</v>
      </c>
      <c r="X73" s="72" t="n">
        <f aca="false">X71+X72</f>
        <v>-26580.4830066101</v>
      </c>
      <c r="Y73" s="72" t="n">
        <f aca="false">Y71+Y72</f>
        <v>-30638.8442146368</v>
      </c>
      <c r="Z73" s="72" t="n">
        <f aca="false">Z71+Z72</f>
        <v>-35517.9221955097</v>
      </c>
      <c r="AA73" s="72" t="n">
        <f aca="false">AA71+AA72</f>
        <v>-51346.9846098902</v>
      </c>
      <c r="AB73" s="72" t="n">
        <f aca="false">AB71+AB72</f>
        <v>-45962.3142720707</v>
      </c>
    </row>
    <row r="74" customFormat="false" ht="15" hidden="false" customHeight="true" outlineLevel="0" collapsed="false">
      <c r="A74" s="70" t="s">
        <v>319</v>
      </c>
      <c r="B74" s="71"/>
      <c r="C74" s="72" t="n">
        <f aca="false">SUM(E74:P74)</f>
        <v>501528.633078477</v>
      </c>
      <c r="D74" s="72" t="n">
        <f aca="false">SUM(Q74:AB74)</f>
        <v>627881.992563708</v>
      </c>
      <c r="E74" s="72" t="n">
        <f aca="false">E70+E73</f>
        <v>32139.801618778</v>
      </c>
      <c r="F74" s="72" t="n">
        <f aca="false">F70+F73</f>
        <v>29855.1818520147</v>
      </c>
      <c r="G74" s="72" t="n">
        <f aca="false">G70+G73</f>
        <v>36422.7902205921</v>
      </c>
      <c r="H74" s="72" t="n">
        <f aca="false">H70+H73</f>
        <v>38277.8338112898</v>
      </c>
      <c r="I74" s="72" t="n">
        <f aca="false">I70+I73</f>
        <v>41229.8308221774</v>
      </c>
      <c r="J74" s="72" t="n">
        <f aca="false">J70+J73</f>
        <v>37627.1066211347</v>
      </c>
      <c r="K74" s="72" t="n">
        <f aca="false">K70+K73</f>
        <v>36465.8556631153</v>
      </c>
      <c r="L74" s="72" t="n">
        <f aca="false">L70+L73</f>
        <v>36518.7748067321</v>
      </c>
      <c r="M74" s="72" t="n">
        <f aca="false">M70+M73</f>
        <v>40038.6608365843</v>
      </c>
      <c r="N74" s="72" t="n">
        <f aca="false">N70+N73</f>
        <v>46334.7787944247</v>
      </c>
      <c r="O74" s="72" t="n">
        <f aca="false">O70+O73</f>
        <v>66867.9088133415</v>
      </c>
      <c r="P74" s="72" t="n">
        <f aca="false">P70+P73</f>
        <v>59750.1092182928</v>
      </c>
      <c r="Q74" s="72" t="n">
        <f aca="false">Q70+Q73</f>
        <v>38096.487507447</v>
      </c>
      <c r="R74" s="72" t="n">
        <f aca="false">R70+R73</f>
        <v>36260.3319833386</v>
      </c>
      <c r="S74" s="72" t="n">
        <f aca="false">S70+S73</f>
        <v>41741.5507650955</v>
      </c>
      <c r="T74" s="72" t="n">
        <f aca="false">T70+T73</f>
        <v>44139.0338824867</v>
      </c>
      <c r="U74" s="72" t="n">
        <f aca="false">U70+U73</f>
        <v>47600.3153720414</v>
      </c>
      <c r="V74" s="72" t="n">
        <f aca="false">V70+V73</f>
        <v>47226.0774231816</v>
      </c>
      <c r="W74" s="72" t="n">
        <f aca="false">W70+W73</f>
        <v>45793.780176218</v>
      </c>
      <c r="X74" s="72" t="n">
        <f aca="false">X70+X73</f>
        <v>45833.618686335</v>
      </c>
      <c r="Y74" s="72" t="n">
        <f aca="false">Y70+Y73</f>
        <v>52784.5120494829</v>
      </c>
      <c r="Z74" s="72" t="n">
        <f aca="false">Z70+Z73</f>
        <v>61135.3097975662</v>
      </c>
      <c r="AA74" s="72" t="n">
        <f aca="false">AA70+AA73</f>
        <v>88301.3791549903</v>
      </c>
      <c r="AB74" s="72" t="n">
        <f aca="false">AB70+AB73</f>
        <v>78969.5957655247</v>
      </c>
    </row>
    <row r="75" customFormat="false" ht="15" hidden="false" customHeight="true" outlineLevel="0" collapsed="false">
      <c r="A75" s="28" t="s">
        <v>269</v>
      </c>
      <c r="B75" s="55"/>
      <c r="C75" s="59" t="n">
        <f aca="false">IF(C70=0,0,C74/C70)</f>
        <v>0.640032967208779</v>
      </c>
      <c r="D75" s="59" t="n">
        <f aca="false">IF(D70=0,0,D74/D70)</f>
        <v>0.633059124925399</v>
      </c>
      <c r="E75" s="58" t="n">
        <f aca="false">IF(E70=0,0,E74/E70)</f>
        <v>0.646413268898775</v>
      </c>
      <c r="F75" s="58" t="n">
        <f aca="false">IF(F70=0,0,F74/F70)</f>
        <v>0.646006641730787</v>
      </c>
      <c r="G75" s="58" t="n">
        <f aca="false">IF(G70=0,0,G74/G70)</f>
        <v>0.646371638670875</v>
      </c>
      <c r="H75" s="58" t="n">
        <f aca="false">IF(H70=0,0,H74/H70)</f>
        <v>0.642941653893522</v>
      </c>
      <c r="I75" s="58" t="n">
        <f aca="false">IF(I70=0,0,I74/I70)</f>
        <v>0.646587848089089</v>
      </c>
      <c r="J75" s="58" t="n">
        <f aca="false">IF(J70=0,0,J74/J70)</f>
        <v>0.648744313240249</v>
      </c>
      <c r="K75" s="58" t="n">
        <f aca="false">IF(K70=0,0,K74/K70)</f>
        <v>0.640850738501774</v>
      </c>
      <c r="L75" s="58" t="n">
        <f aca="false">IF(L70=0,0,L74/L70)</f>
        <v>0.634141065638091</v>
      </c>
      <c r="M75" s="58" t="n">
        <f aca="false">IF(M70=0,0,M74/M70)</f>
        <v>0.635132955026318</v>
      </c>
      <c r="N75" s="58" t="n">
        <f aca="false">IF(N70=0,0,N74/N70)</f>
        <v>0.634939351114961</v>
      </c>
      <c r="O75" s="58" t="n">
        <f aca="false">IF(O70=0,0,O74/O70)</f>
        <v>0.634744610164301</v>
      </c>
      <c r="P75" s="58" t="n">
        <f aca="false">IF(P70=0,0,P74/P70)</f>
        <v>0.634548714268702</v>
      </c>
      <c r="Q75" s="58" t="n">
        <f aca="false">IF(Q70=0,0,Q74/Q70)</f>
        <v>0.634351645302176</v>
      </c>
      <c r="R75" s="58" t="n">
        <f aca="false">IF(R70=0,0,R74/R70)</f>
        <v>0.634153384925492</v>
      </c>
      <c r="S75" s="58" t="n">
        <f aca="false">IF(S70=0,0,S74/S70)</f>
        <v>0.633953914593916</v>
      </c>
      <c r="T75" s="58" t="n">
        <f aca="false">IF(T70=0,0,T74/T70)</f>
        <v>0.633753215565614</v>
      </c>
      <c r="U75" s="58" t="n">
        <f aca="false">IF(U70=0,0,U74/U70)</f>
        <v>0.633551268910728</v>
      </c>
      <c r="V75" s="58" t="n">
        <f aca="false">IF(V70=0,0,V74/V70)</f>
        <v>0.633348055521147</v>
      </c>
      <c r="W75" s="58" t="n">
        <f aca="false">IF(W70=0,0,W74/W70)</f>
        <v>0.633143556120988</v>
      </c>
      <c r="X75" s="58" t="n">
        <f aca="false">IF(X70=0,0,X74/X70)</f>
        <v>0.632937751277806</v>
      </c>
      <c r="Y75" s="58" t="n">
        <f aca="false">IF(Y70=0,0,Y74/Y70)</f>
        <v>0.632730621414539</v>
      </c>
      <c r="Z75" s="58" t="n">
        <f aca="false">IF(Z70=0,0,Z74/Z70)</f>
        <v>0.632522146822217</v>
      </c>
      <c r="AA75" s="58" t="n">
        <f aca="false">IF(AA70=0,0,AA74/AA70)</f>
        <v>0.632312307673431</v>
      </c>
      <c r="AB75" s="58" t="n">
        <f aca="false">IF(AB70=0,0,AB74/AB70)</f>
        <v>0.632101084036582</v>
      </c>
    </row>
    <row r="76" customFormat="false" ht="15" hidden="false" customHeight="true" outlineLevel="0" collapsed="false">
      <c r="A76" s="28" t="s">
        <v>740</v>
      </c>
      <c r="B76" s="55" t="s">
        <v>736</v>
      </c>
      <c r="C76" s="56" t="n">
        <f aca="false">SUM(E76:P76)</f>
        <v>-175092.281737374</v>
      </c>
      <c r="D76" s="56" t="n">
        <f aca="false">SUM(Q76:AB76)</f>
        <v>-222092.871580064</v>
      </c>
      <c r="E76" s="57" t="n">
        <f aca="false">Channel_PL!E28*E11+Channel_PL!E66*E16+Channel_PL!E99*E21</f>
        <v>-10852.5441123549</v>
      </c>
      <c r="F76" s="57" t="n">
        <f aca="false">Channel_PL!F28*F11+Channel_PL!F66*F16+Channel_PL!F99*F21</f>
        <v>-9909.7030996816</v>
      </c>
      <c r="G76" s="57" t="n">
        <f aca="false">Channel_PL!G28*G11+Channel_PL!G66*G16+Channel_PL!G99*G21</f>
        <v>-12177.8891445035</v>
      </c>
      <c r="H76" s="57" t="n">
        <f aca="false">Channel_PL!H28*H11+Channel_PL!H66*H16+Channel_PL!H99*H21</f>
        <v>-13260.1902936552</v>
      </c>
      <c r="I76" s="57" t="n">
        <f aca="false">Channel_PL!I28*I11+Channel_PL!I66*I16+Channel_PL!I99*I21</f>
        <v>-13900.7919654083</v>
      </c>
      <c r="J76" s="57" t="n">
        <f aca="false">Channel_PL!J28*J11+Channel_PL!J66*J16+Channel_PL!J99*J21</f>
        <v>-13042.4819523471</v>
      </c>
      <c r="K76" s="57" t="n">
        <f aca="false">Channel_PL!K28*K11+Channel_PL!K66*K16+Channel_PL!K99*K21</f>
        <v>-12593.5560112625</v>
      </c>
      <c r="L76" s="57" t="n">
        <f aca="false">Channel_PL!L28*L11+Channel_PL!L66*L16+Channel_PL!L99*L21</f>
        <v>-12809.9958457108</v>
      </c>
      <c r="M76" s="57" t="n">
        <f aca="false">Channel_PL!M28*M11+Channel_PL!M66*M16+Channel_PL!M99*M21</f>
        <v>-13969.3575474862</v>
      </c>
      <c r="N76" s="57" t="n">
        <f aca="false">Channel_PL!N28*N11+Channel_PL!N66*N16+Channel_PL!N99*N21</f>
        <v>-16765.5465391075</v>
      </c>
      <c r="O76" s="57" t="n">
        <f aca="false">Channel_PL!O28*O11+Channel_PL!O66*O16+Channel_PL!O99*O21</f>
        <v>-24193.3966860582</v>
      </c>
      <c r="P76" s="57" t="n">
        <f aca="false">Channel_PL!P28*P11+Channel_PL!P66*P16+Channel_PL!P99*P21</f>
        <v>-21616.828539798</v>
      </c>
      <c r="Q76" s="57" t="n">
        <f aca="false">Channel_PL!Q28*Q11+Channel_PL!Q66*Q16+Channel_PL!Q99*Q21</f>
        <v>-13292.4133511507</v>
      </c>
      <c r="R76" s="57" t="n">
        <f aca="false">Channel_PL!R28*R11+Channel_PL!R66*R16+Channel_PL!R99*R21</f>
        <v>-12652.4152997914</v>
      </c>
      <c r="S76" s="57" t="n">
        <f aca="false">Channel_PL!S28*S11+Channel_PL!S66*S16+Channel_PL!S99*S21</f>
        <v>-14565.9910977544</v>
      </c>
      <c r="T76" s="57" t="n">
        <f aca="false">Channel_PL!T28*T11+Channel_PL!T66*T16+Channel_PL!T99*T21</f>
        <v>-15403.9175090706</v>
      </c>
      <c r="U76" s="57" t="n">
        <f aca="false">Channel_PL!U28*U11+Channel_PL!U66*U16+Channel_PL!U99*U21</f>
        <v>-16613.5429786634</v>
      </c>
      <c r="V76" s="57" t="n">
        <f aca="false">Channel_PL!V28*V11+Channel_PL!V66*V16+Channel_PL!V99*V21</f>
        <v>-16484.8728741056</v>
      </c>
      <c r="W76" s="57" t="n">
        <f aca="false">Channel_PL!W28*W11+Channel_PL!W66*W16+Channel_PL!W99*W21</f>
        <v>-15987.0676641032</v>
      </c>
      <c r="X76" s="57" t="n">
        <f aca="false">Channel_PL!X28*X11+Channel_PL!X66*X16+Channel_PL!X99*X21</f>
        <v>-16003.4054364145</v>
      </c>
      <c r="Y76" s="57" t="n">
        <f aca="false">Channel_PL!Y28*Y11+Channel_PL!Y66*Y16+Channel_PL!Y99*Y21</f>
        <v>-18433.5136661183</v>
      </c>
      <c r="Z76" s="57" t="n">
        <f aca="false">Channel_PL!Z28*Z11+Channel_PL!Z66*Z16+Channel_PL!Z99*Z21</f>
        <v>-22121.3466251817</v>
      </c>
      <c r="AA76" s="57" t="n">
        <f aca="false">Channel_PL!AA28*AA11+Channel_PL!AA66*AA16+Channel_PL!AA99*AA21</f>
        <v>-31954.1375740374</v>
      </c>
      <c r="AB76" s="57" t="n">
        <f aca="false">Channel_PL!AB28*AB11+Channel_PL!AB66*AB16+Channel_PL!AB99*AB21</f>
        <v>-28580.2475036724</v>
      </c>
    </row>
    <row r="77" customFormat="false" ht="15" hidden="false" customHeight="true" outlineLevel="0" collapsed="false">
      <c r="A77" s="70" t="s">
        <v>324</v>
      </c>
      <c r="B77" s="71"/>
      <c r="C77" s="72" t="n">
        <f aca="false">SUM(E77:P77)</f>
        <v>326436.351341104</v>
      </c>
      <c r="D77" s="72" t="n">
        <f aca="false">SUM(Q77:AB77)</f>
        <v>405789.120983644</v>
      </c>
      <c r="E77" s="72" t="n">
        <f aca="false">E74+E76</f>
        <v>21287.2575064231</v>
      </c>
      <c r="F77" s="72" t="n">
        <f aca="false">F74+F76</f>
        <v>19945.4787523331</v>
      </c>
      <c r="G77" s="72" t="n">
        <f aca="false">G74+G76</f>
        <v>24244.9010760886</v>
      </c>
      <c r="H77" s="72" t="n">
        <f aca="false">H74+H76</f>
        <v>25017.6435176346</v>
      </c>
      <c r="I77" s="72" t="n">
        <f aca="false">I74+I76</f>
        <v>27329.0388567692</v>
      </c>
      <c r="J77" s="72" t="n">
        <f aca="false">J74+J76</f>
        <v>24584.6246687876</v>
      </c>
      <c r="K77" s="72" t="n">
        <f aca="false">K74+K76</f>
        <v>23872.2996518529</v>
      </c>
      <c r="L77" s="72" t="n">
        <f aca="false">L74+L76</f>
        <v>23708.7789610213</v>
      </c>
      <c r="M77" s="72" t="n">
        <f aca="false">M74+M76</f>
        <v>26069.3032890981</v>
      </c>
      <c r="N77" s="72" t="n">
        <f aca="false">N74+N76</f>
        <v>29569.2322553172</v>
      </c>
      <c r="O77" s="72" t="n">
        <f aca="false">O74+O76</f>
        <v>42674.5121272833</v>
      </c>
      <c r="P77" s="72" t="n">
        <f aca="false">P74+P76</f>
        <v>38133.2806784948</v>
      </c>
      <c r="Q77" s="72" t="n">
        <f aca="false">Q74+Q76</f>
        <v>24804.0741562963</v>
      </c>
      <c r="R77" s="72" t="n">
        <f aca="false">R74+R76</f>
        <v>23607.9166835472</v>
      </c>
      <c r="S77" s="72" t="n">
        <f aca="false">S74+S76</f>
        <v>27175.559667341</v>
      </c>
      <c r="T77" s="72" t="n">
        <f aca="false">T74+T76</f>
        <v>28735.1163734161</v>
      </c>
      <c r="U77" s="72" t="n">
        <f aca="false">U74+U76</f>
        <v>30986.772393378</v>
      </c>
      <c r="V77" s="72" t="n">
        <f aca="false">V74+V76</f>
        <v>30741.204549076</v>
      </c>
      <c r="W77" s="72" t="n">
        <f aca="false">W74+W76</f>
        <v>29806.7125121148</v>
      </c>
      <c r="X77" s="72" t="n">
        <f aca="false">X74+X76</f>
        <v>29830.2132499204</v>
      </c>
      <c r="Y77" s="72" t="n">
        <f aca="false">Y74+Y76</f>
        <v>34350.9983833646</v>
      </c>
      <c r="Z77" s="72" t="n">
        <f aca="false">Z74+Z76</f>
        <v>39013.9631723845</v>
      </c>
      <c r="AA77" s="72" t="n">
        <f aca="false">AA74+AA76</f>
        <v>56347.2415809529</v>
      </c>
      <c r="AB77" s="72" t="n">
        <f aca="false">AB74+AB76</f>
        <v>50389.3482618523</v>
      </c>
    </row>
    <row r="78" customFormat="false" ht="15" hidden="false" customHeight="true" outlineLevel="0" collapsed="false">
      <c r="A78" s="28" t="s">
        <v>741</v>
      </c>
      <c r="B78" s="55" t="s">
        <v>736</v>
      </c>
      <c r="C78" s="56" t="n">
        <f aca="false">SUM(E78:P78)</f>
        <v>-114303.15674854</v>
      </c>
      <c r="D78" s="56" t="n">
        <f aca="false">SUM(Q78:AB78)</f>
        <v>-143886.988340991</v>
      </c>
      <c r="E78" s="57" t="n">
        <f aca="false">Channel_PL!E33*E11+Channel_PL!E69*E16+Channel_PL!E102*E21</f>
        <v>-6562.65555173554</v>
      </c>
      <c r="F78" s="57" t="n">
        <f aca="false">Channel_PL!F33*F11+Channel_PL!F69*F16+Channel_PL!F102*F21</f>
        <v>-6509.00549573043</v>
      </c>
      <c r="G78" s="57" t="n">
        <f aca="false">Channel_PL!G33*G11+Channel_PL!G69*G16+Channel_PL!G102*G21</f>
        <v>-8390.21929015262</v>
      </c>
      <c r="H78" s="57" t="n">
        <f aca="false">Channel_PL!H33*H11+Channel_PL!H69*H16+Channel_PL!H102*H21</f>
        <v>-8363.03005122505</v>
      </c>
      <c r="I78" s="57" t="n">
        <f aca="false">Channel_PL!I33*I11+Channel_PL!I69*I16+Channel_PL!I102*I21</f>
        <v>-9127.96672320287</v>
      </c>
      <c r="J78" s="57" t="n">
        <f aca="false">Channel_PL!J33*J11+Channel_PL!J69*J16+Channel_PL!J102*J21</f>
        <v>-8666.40337360099</v>
      </c>
      <c r="K78" s="57" t="n">
        <f aca="false">Channel_PL!K33*K11+Channel_PL!K69*K16+Channel_PL!K102*K21</f>
        <v>-8763.1671642315</v>
      </c>
      <c r="L78" s="57" t="n">
        <f aca="false">Channel_PL!L33*L11+Channel_PL!L69*L16+Channel_PL!L102*L21</f>
        <v>-8820.79941902282</v>
      </c>
      <c r="M78" s="57" t="n">
        <f aca="false">Channel_PL!M33*M11+Channel_PL!M69*M16+Channel_PL!M102*M21</f>
        <v>-9240.00516526756</v>
      </c>
      <c r="N78" s="57" t="n">
        <f aca="false">Channel_PL!N33*N11+Channel_PL!N69*N16+Channel_PL!N102*N21</f>
        <v>-10686.1322820824</v>
      </c>
      <c r="O78" s="57" t="n">
        <f aca="false">Channel_PL!O33*O11+Channel_PL!O69*O16+Channel_PL!O102*O21</f>
        <v>-15411.6519363761</v>
      </c>
      <c r="P78" s="57" t="n">
        <f aca="false">Channel_PL!P33*P11+Channel_PL!P69*P16+Channel_PL!P102*P21</f>
        <v>-13762.1202959117</v>
      </c>
      <c r="Q78" s="57" t="n">
        <f aca="false">Channel_PL!Q33*Q11+Channel_PL!Q69*Q16+Channel_PL!Q102*Q21</f>
        <v>-8768.87653203752</v>
      </c>
      <c r="R78" s="57" t="n">
        <f aca="false">Channel_PL!R33*R11+Channel_PL!R69*R16+Channel_PL!R102*R21</f>
        <v>-8340.65827637844</v>
      </c>
      <c r="S78" s="57" t="n">
        <f aca="false">Channel_PL!S33*S11+Channel_PL!S69*S16+Channel_PL!S102*S21</f>
        <v>-9594.97410191979</v>
      </c>
      <c r="T78" s="57" t="n">
        <f aca="false">Channel_PL!T33*T11+Channel_PL!T69*T16+Channel_PL!T102*T21</f>
        <v>-10139.1570834511</v>
      </c>
      <c r="U78" s="57" t="n">
        <f aca="false">Channel_PL!U33*U11+Channel_PL!U69*U16+Channel_PL!U102*U21</f>
        <v>-10926.7189312452</v>
      </c>
      <c r="V78" s="57" t="n">
        <f aca="false">Channel_PL!V33*V11+Channel_PL!V69*V16+Channel_PL!V102*V21</f>
        <v>-10833.2765156002</v>
      </c>
      <c r="W78" s="57" t="n">
        <f aca="false">Channel_PL!W33*W11+Channel_PL!W69*W16+Channel_PL!W102*W21</f>
        <v>-10497.3468641829</v>
      </c>
      <c r="X78" s="57" t="n">
        <f aca="false">Channel_PL!X33*X11+Channel_PL!X69*X16+Channel_PL!X102*X21</f>
        <v>-10499.034817887</v>
      </c>
      <c r="Y78" s="57" t="n">
        <f aca="false">Channel_PL!Y33*Y11+Channel_PL!Y69*Y16+Channel_PL!Y102*Y21</f>
        <v>-12082.6162970318</v>
      </c>
      <c r="Z78" s="57" t="n">
        <f aca="false">Channel_PL!Z33*Z11+Channel_PL!Z69*Z16+Channel_PL!Z102*Z21</f>
        <v>-13984.0476604222</v>
      </c>
      <c r="AA78" s="57" t="n">
        <f aca="false">Channel_PL!AA33*AA11+Channel_PL!AA69*AA16+Channel_PL!AA102*AA21</f>
        <v>-20183.274478485</v>
      </c>
      <c r="AB78" s="57" t="n">
        <f aca="false">Channel_PL!AB33*AB11+Channel_PL!AB69*AB16+Channel_PL!AB102*AB21</f>
        <v>-18037.0067823499</v>
      </c>
    </row>
    <row r="79" customFormat="false" ht="15" hidden="false" customHeight="true" outlineLevel="0" collapsed="false">
      <c r="A79" s="70" t="s">
        <v>330</v>
      </c>
      <c r="B79" s="71"/>
      <c r="C79" s="72" t="n">
        <f aca="false">SUM(E79:P79)</f>
        <v>212133.194592564</v>
      </c>
      <c r="D79" s="72" t="n">
        <f aca="false">SUM(Q79:AB79)</f>
        <v>261902.132642653</v>
      </c>
      <c r="E79" s="72" t="n">
        <f aca="false">E77+E78</f>
        <v>14724.6019546876</v>
      </c>
      <c r="F79" s="72" t="n">
        <f aca="false">F77+F78</f>
        <v>13436.4732566026</v>
      </c>
      <c r="G79" s="72" t="n">
        <f aca="false">G77+G78</f>
        <v>15854.681785936</v>
      </c>
      <c r="H79" s="72" t="n">
        <f aca="false">H77+H78</f>
        <v>16654.6134664096</v>
      </c>
      <c r="I79" s="72" t="n">
        <f aca="false">I77+I78</f>
        <v>18201.0721335663</v>
      </c>
      <c r="J79" s="72" t="n">
        <f aca="false">J77+J78</f>
        <v>15918.2212951866</v>
      </c>
      <c r="K79" s="72" t="n">
        <f aca="false">K77+K78</f>
        <v>15109.1324876214</v>
      </c>
      <c r="L79" s="72" t="n">
        <f aca="false">L77+L78</f>
        <v>14887.9795419984</v>
      </c>
      <c r="M79" s="72" t="n">
        <f aca="false">M77+M78</f>
        <v>16829.2981238305</v>
      </c>
      <c r="N79" s="72" t="n">
        <f aca="false">N77+N78</f>
        <v>18883.0999732348</v>
      </c>
      <c r="O79" s="72" t="n">
        <f aca="false">O77+O78</f>
        <v>27262.8601909072</v>
      </c>
      <c r="P79" s="72" t="n">
        <f aca="false">P77+P78</f>
        <v>24371.160382583</v>
      </c>
      <c r="Q79" s="72" t="n">
        <f aca="false">Q77+Q78</f>
        <v>16035.1976242588</v>
      </c>
      <c r="R79" s="72" t="n">
        <f aca="false">R77+R78</f>
        <v>15267.2584071688</v>
      </c>
      <c r="S79" s="72" t="n">
        <f aca="false">S77+S78</f>
        <v>17580.5855654213</v>
      </c>
      <c r="T79" s="72" t="n">
        <f aca="false">T77+T78</f>
        <v>18595.959289965</v>
      </c>
      <c r="U79" s="72" t="n">
        <f aca="false">U77+U78</f>
        <v>20060.0534621328</v>
      </c>
      <c r="V79" s="72" t="n">
        <f aca="false">V77+V78</f>
        <v>19907.9280334758</v>
      </c>
      <c r="W79" s="72" t="n">
        <f aca="false">W77+W78</f>
        <v>19309.3656479319</v>
      </c>
      <c r="X79" s="72" t="n">
        <f aca="false">X77+X78</f>
        <v>19331.1784320335</v>
      </c>
      <c r="Y79" s="72" t="n">
        <f aca="false">Y77+Y78</f>
        <v>22268.3820863328</v>
      </c>
      <c r="Z79" s="72" t="n">
        <f aca="false">Z77+Z78</f>
        <v>25029.9155119623</v>
      </c>
      <c r="AA79" s="72" t="n">
        <f aca="false">AA77+AA78</f>
        <v>36163.9671024679</v>
      </c>
      <c r="AB79" s="72" t="n">
        <f aca="false">AB77+AB78</f>
        <v>32352.3414795024</v>
      </c>
    </row>
    <row r="80" customFormat="false" ht="15" hidden="false" customHeight="true" outlineLevel="0" collapsed="false">
      <c r="A80" s="28" t="s">
        <v>271</v>
      </c>
      <c r="B80" s="55"/>
      <c r="C80" s="59" t="n">
        <f aca="false">IF(C70=0,0,C79/C70)</f>
        <v>0.270716822577328</v>
      </c>
      <c r="D80" s="59" t="n">
        <f aca="false">IF(D70=0,0,D79/D70)</f>
        <v>0.264061618059593</v>
      </c>
      <c r="E80" s="58" t="n">
        <f aca="false">IF(E70=0,0,E79/E70)</f>
        <v>0.296149248077554</v>
      </c>
      <c r="F80" s="58" t="n">
        <f aca="false">IF(F70=0,0,F79/F70)</f>
        <v>0.29073850590589</v>
      </c>
      <c r="G80" s="58" t="n">
        <f aca="false">IF(G70=0,0,G79/G70)</f>
        <v>0.281362756244492</v>
      </c>
      <c r="H80" s="58" t="n">
        <f aca="false">IF(H70=0,0,H79/H70)</f>
        <v>0.279742703828042</v>
      </c>
      <c r="I80" s="58" t="n">
        <f aca="false">IF(I70=0,0,I79/I70)</f>
        <v>0.285438766763666</v>
      </c>
      <c r="J80" s="58" t="n">
        <f aca="false">IF(J70=0,0,J79/J70)</f>
        <v>0.274452554806637</v>
      </c>
      <c r="K80" s="58" t="n">
        <f aca="false">IF(K70=0,0,K79/K70)</f>
        <v>0.265527807773539</v>
      </c>
      <c r="L80" s="58" t="n">
        <f aca="false">IF(L70=0,0,L79/L70)</f>
        <v>0.258526723909165</v>
      </c>
      <c r="M80" s="58" t="n">
        <f aca="false">IF(M70=0,0,M79/M70)</f>
        <v>0.266963020867089</v>
      </c>
      <c r="N80" s="58" t="n">
        <f aca="false">IF(N70=0,0,N79/N70)</f>
        <v>0.258760774433379</v>
      </c>
      <c r="O80" s="58" t="n">
        <f aca="false">IF(O70=0,0,O79/O70)</f>
        <v>0.258793102265949</v>
      </c>
      <c r="P80" s="58" t="n">
        <f aca="false">IF(P70=0,0,P79/P70)</f>
        <v>0.258822765151864</v>
      </c>
      <c r="Q80" s="58" t="n">
        <f aca="false">IF(Q70=0,0,Q79/Q70)</f>
        <v>0.267005035404005</v>
      </c>
      <c r="R80" s="58" t="n">
        <f aca="false">IF(R70=0,0,R79/R70)</f>
        <v>0.267007582883879</v>
      </c>
      <c r="S80" s="58" t="n">
        <f aca="false">IF(S70=0,0,S79/S70)</f>
        <v>0.267006875302099</v>
      </c>
      <c r="T80" s="58" t="n">
        <f aca="false">IF(T70=0,0,T79/T70)</f>
        <v>0.267002876137229</v>
      </c>
      <c r="U80" s="58" t="n">
        <f aca="false">IF(U70=0,0,U79/U70)</f>
        <v>0.266995548790336</v>
      </c>
      <c r="V80" s="58" t="n">
        <f aca="false">IF(V70=0,0,V79/V70)</f>
        <v>0.266984856617961</v>
      </c>
      <c r="W80" s="58" t="n">
        <f aca="false">IF(W70=0,0,W79/W70)</f>
        <v>0.266970762966652</v>
      </c>
      <c r="X80" s="58" t="n">
        <f aca="false">IF(X70=0,0,X79/X70)</f>
        <v>0.266953231209065</v>
      </c>
      <c r="Y80" s="58" t="n">
        <f aca="false">IF(Y70=0,0,Y79/Y70)</f>
        <v>0.26693222478164</v>
      </c>
      <c r="Z80" s="58" t="n">
        <f aca="false">IF(Z70=0,0,Z79/Z70)</f>
        <v>0.258966151424252</v>
      </c>
      <c r="AA80" s="58" t="n">
        <f aca="false">IF(AA70=0,0,AA79/AA70)</f>
        <v>0.258964488573282</v>
      </c>
      <c r="AB80" s="58" t="n">
        <f aca="false">IF(AB70=0,0,AB79/AB70)</f>
        <v>0.258959792336215</v>
      </c>
    </row>
    <row r="81" customFormat="false" ht="15" hidden="false" customHeight="true" outlineLevel="0" collapsed="false">
      <c r="A81" s="28" t="s">
        <v>742</v>
      </c>
      <c r="B81" s="55"/>
      <c r="C81" s="61" t="n">
        <f aca="false">IF(C65=0,0,C79/C65)</f>
        <v>10.6588026390582</v>
      </c>
      <c r="D81" s="61" t="n">
        <f aca="false">IF(D65=0,0,D79/D65)</f>
        <v>10.5285948551533</v>
      </c>
      <c r="E81" s="62" t="n">
        <f aca="false">IF(E65=0,0,E79/E65)</f>
        <v>11.7514780165104</v>
      </c>
      <c r="F81" s="62" t="n">
        <f aca="false">IF(F65=0,0,F79/F65)</f>
        <v>11.4743580329655</v>
      </c>
      <c r="G81" s="62" t="n">
        <f aca="false">IF(G65=0,0,G79/G65)</f>
        <v>11.1104987988339</v>
      </c>
      <c r="H81" s="62" t="n">
        <f aca="false">IF(H65=0,0,H79/H65)</f>
        <v>11.0222458414358</v>
      </c>
      <c r="I81" s="62" t="n">
        <f aca="false">IF(I65=0,0,I79/I65)</f>
        <v>11.3402318589198</v>
      </c>
      <c r="J81" s="62" t="n">
        <f aca="false">IF(J65=0,0,J79/J65)</f>
        <v>10.9178472532144</v>
      </c>
      <c r="K81" s="62" t="n">
        <f aca="false">IF(K65=0,0,K79/K65)</f>
        <v>10.4706392845609</v>
      </c>
      <c r="L81" s="62" t="n">
        <f aca="false">IF(L65=0,0,L79/L65)</f>
        <v>10.0526533031725</v>
      </c>
      <c r="M81" s="62" t="n">
        <f aca="false">IF(M65=0,0,M79/M65)</f>
        <v>10.4389712500421</v>
      </c>
      <c r="N81" s="62" t="n">
        <f aca="false">IF(N65=0,0,N79/N65)</f>
        <v>10.137469599266</v>
      </c>
      <c r="O81" s="62" t="n">
        <f aca="false">IF(O65=0,0,O79/O65)</f>
        <v>10.1579690613465</v>
      </c>
      <c r="P81" s="62" t="n">
        <f aca="false">IF(P65=0,0,P79/P65)</f>
        <v>10.1783702180107</v>
      </c>
      <c r="Q81" s="62" t="n">
        <f aca="false">IF(Q65=0,0,Q79/Q65)</f>
        <v>10.519989273605</v>
      </c>
      <c r="R81" s="62" t="n">
        <f aca="false">IF(R65=0,0,R79/R65)</f>
        <v>10.5399362852945</v>
      </c>
      <c r="S81" s="62" t="n">
        <f aca="false">IF(S65=0,0,S79/S65)</f>
        <v>10.5597546427819</v>
      </c>
      <c r="T81" s="62" t="n">
        <f aca="false">IF(T65=0,0,T79/T65)</f>
        <v>10.5794414767087</v>
      </c>
      <c r="U81" s="62" t="n">
        <f aca="false">IF(U65=0,0,U79/U65)</f>
        <v>10.5989938968239</v>
      </c>
      <c r="V81" s="62" t="n">
        <f aca="false">IF(V65=0,0,V79/V65)</f>
        <v>10.6184089937623</v>
      </c>
      <c r="W81" s="62" t="n">
        <f aca="false">IF(W65=0,0,W79/W65)</f>
        <v>10.6376838409307</v>
      </c>
      <c r="X81" s="62" t="n">
        <f aca="false">IF(X65=0,0,X79/X65)</f>
        <v>10.6568154965049</v>
      </c>
      <c r="Y81" s="62" t="n">
        <f aca="false">IF(Y65=0,0,Y79/Y65)</f>
        <v>10.6758010055377</v>
      </c>
      <c r="Z81" s="62" t="n">
        <f aca="false">IF(Z65=0,0,Z79/Z65)</f>
        <v>10.3764298068679</v>
      </c>
      <c r="AA81" s="62" t="n">
        <f aca="false">IF(AA65=0,0,AA79/AA65)</f>
        <v>10.3955845226878</v>
      </c>
      <c r="AB81" s="62" t="n">
        <f aca="false">IF(AB65=0,0,AB79/AB65)</f>
        <v>10.4146104180359</v>
      </c>
    </row>
    <row r="82" customFormat="false" ht="15" hidden="false" customHeight="true" outlineLevel="0" collapsed="false">
      <c r="A82" s="28" t="s">
        <v>743</v>
      </c>
      <c r="B82" s="55" t="s">
        <v>50</v>
      </c>
      <c r="C82" s="66" t="n">
        <f aca="false">P82</f>
        <v>47.8621372190154</v>
      </c>
      <c r="D82" s="66" t="n">
        <f aca="false">AB82</f>
        <v>75</v>
      </c>
      <c r="E82" s="67" t="n">
        <f aca="false">Inventory!E45</f>
        <v>209.83082615463</v>
      </c>
      <c r="F82" s="67" t="n">
        <f aca="false">Inventory!F45</f>
        <v>260.12589156608</v>
      </c>
      <c r="G82" s="67" t="n">
        <f aca="false">Inventory!G45</f>
        <v>200.365125299533</v>
      </c>
      <c r="H82" s="67" t="n">
        <f aca="false">Inventory!H45</f>
        <v>154.017363853878</v>
      </c>
      <c r="I82" s="67" t="n">
        <f aca="false">Inventory!I45</f>
        <v>195.062045584432</v>
      </c>
      <c r="J82" s="67" t="n">
        <f aca="false">Inventory!J45</f>
        <v>179.080936055681</v>
      </c>
      <c r="K82" s="67" t="n">
        <f aca="false">Inventory!K45</f>
        <v>156.12935091735</v>
      </c>
      <c r="L82" s="67" t="n">
        <f aca="false">Inventory!L45</f>
        <v>121.586212599992</v>
      </c>
      <c r="M82" s="67" t="n">
        <f aca="false">Inventory!M45</f>
        <v>168.715287525621</v>
      </c>
      <c r="N82" s="67" t="n">
        <f aca="false">Inventory!N45</f>
        <v>120.895141242598</v>
      </c>
      <c r="O82" s="67" t="n">
        <f aca="false">Inventory!O45</f>
        <v>52.3319539137792</v>
      </c>
      <c r="P82" s="67" t="n">
        <f aca="false">Inventory!P45</f>
        <v>47.8621372190154</v>
      </c>
      <c r="Q82" s="67" t="n">
        <f aca="false">Inventory!Q45</f>
        <v>79.104054817103</v>
      </c>
      <c r="R82" s="67" t="n">
        <f aca="false">Inventory!R45</f>
        <v>78.0519589811003</v>
      </c>
      <c r="S82" s="67" t="n">
        <f aca="false">Inventory!S45</f>
        <v>82.0252964575832</v>
      </c>
      <c r="T82" s="67" t="n">
        <f aca="false">Inventory!T45</f>
        <v>78.3433594737533</v>
      </c>
      <c r="U82" s="67" t="n">
        <f aca="false">Inventory!U45</f>
        <v>76.9609890044718</v>
      </c>
      <c r="V82" s="67" t="n">
        <f aca="false">Inventory!V45</f>
        <v>70.4441459205745</v>
      </c>
      <c r="W82" s="67" t="n">
        <f aca="false">Inventory!W45</f>
        <v>75.1347744293597</v>
      </c>
      <c r="X82" s="67" t="n">
        <f aca="false">Inventory!X45</f>
        <v>89.3364689655213</v>
      </c>
      <c r="Y82" s="67" t="n">
        <f aca="false">Inventory!Y45</f>
        <v>84.1421935534515</v>
      </c>
      <c r="Z82" s="67" t="n">
        <f aca="false">Inventory!Z45</f>
        <v>112.043635441328</v>
      </c>
      <c r="AA82" s="67" t="n">
        <f aca="false">Inventory!AA45</f>
        <v>64.9719842635416</v>
      </c>
      <c r="AB82" s="67" t="n">
        <f aca="false">Inventory!AB45</f>
        <v>75</v>
      </c>
    </row>
    <row r="84" customFormat="false" ht="15" hidden="false" customHeight="true" outlineLevel="0" collapsed="false">
      <c r="A84" s="22" t="s">
        <v>746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row>
    <row r="85" customFormat="false" ht="15" hidden="false" customHeight="true" outlineLevel="0" collapsed="false">
      <c r="A85" s="28" t="s">
        <v>642</v>
      </c>
      <c r="B85" s="55" t="s">
        <v>68</v>
      </c>
      <c r="C85" s="56" t="n">
        <f aca="false">SUM(E85:P85)</f>
        <v>18540.8590816759</v>
      </c>
      <c r="D85" s="56" t="n">
        <f aca="false">SUM(Q85:AB85)</f>
        <v>24113.362233163</v>
      </c>
      <c r="E85" s="57" t="n">
        <f aca="false">Volume_Price!E28+Volume_Price!E68+Volume_Price!E108</f>
        <v>1126</v>
      </c>
      <c r="F85" s="57" t="n">
        <f aca="false">Volume_Price!F28+Volume_Price!F68+Volume_Price!F108</f>
        <v>1062</v>
      </c>
      <c r="G85" s="57" t="n">
        <f aca="false">Volume_Price!G28+Volume_Price!G68+Volume_Price!G108</f>
        <v>1236</v>
      </c>
      <c r="H85" s="57" t="n">
        <f aca="false">Volume_Price!H28+Volume_Price!H68+Volume_Price!H108</f>
        <v>1289</v>
      </c>
      <c r="I85" s="57" t="n">
        <f aca="false">Volume_Price!I28+Volume_Price!I68+Volume_Price!I108</f>
        <v>1474</v>
      </c>
      <c r="J85" s="57" t="n">
        <f aca="false">Volume_Price!J28+Volume_Price!J68+Volume_Price!J108</f>
        <v>1403</v>
      </c>
      <c r="K85" s="57" t="n">
        <f aca="false">Volume_Price!K28+Volume_Price!K68+Volume_Price!K108</f>
        <v>1377</v>
      </c>
      <c r="L85" s="57" t="n">
        <f aca="false">Volume_Price!L28+Volume_Price!L68+Volume_Price!L108</f>
        <v>1382</v>
      </c>
      <c r="M85" s="57" t="n">
        <f aca="false">Volume_Price!M28+Volume_Price!M68+Volume_Price!M108</f>
        <v>1540.65464229619</v>
      </c>
      <c r="N85" s="57" t="n">
        <f aca="false">Volume_Price!N28+Volume_Price!N68+Volume_Price!N108</f>
        <v>1782.40029559639</v>
      </c>
      <c r="O85" s="57" t="n">
        <f aca="false">Volume_Price!O28+Volume_Price!O68+Volume_Price!O108</f>
        <v>2571.56043891084</v>
      </c>
      <c r="P85" s="57" t="n">
        <f aca="false">Volume_Price!P28+Volume_Price!P68+Volume_Price!P108</f>
        <v>2297.24370487248</v>
      </c>
      <c r="Q85" s="57" t="n">
        <f aca="false">Volume_Price!Q28+Volume_Price!Q68+Volume_Price!Q108</f>
        <v>1464.37156282389</v>
      </c>
      <c r="R85" s="57" t="n">
        <f aca="false">Volume_Price!R28+Volume_Price!R68+Volume_Price!R108</f>
        <v>1393.49304053598</v>
      </c>
      <c r="S85" s="57" t="n">
        <f aca="false">Volume_Price!S28+Volume_Price!S68+Volume_Price!S108</f>
        <v>1603.82528662914</v>
      </c>
      <c r="T85" s="57" t="n">
        <f aca="false">Volume_Price!T28+Volume_Price!T68+Volume_Price!T108</f>
        <v>1695.64758753189</v>
      </c>
      <c r="U85" s="57" t="n">
        <f aca="false">Volume_Price!U28+Volume_Price!U68+Volume_Price!U108</f>
        <v>1828.33520556122</v>
      </c>
      <c r="V85" s="57" t="n">
        <f aca="false">Volume_Price!V28+Volume_Price!V68+Volume_Price!V108</f>
        <v>1813.71931757604</v>
      </c>
      <c r="W85" s="57" t="n">
        <f aca="false">Volume_Price!W28+Volume_Price!W68+Volume_Price!W108</f>
        <v>1758.51457933911</v>
      </c>
      <c r="X85" s="57" t="n">
        <f aca="false">Volume_Price!X28+Volume_Price!X68+Volume_Price!X108</f>
        <v>1759.88394025763</v>
      </c>
      <c r="Y85" s="57" t="n">
        <f aca="false">Volume_Price!Y28+Volume_Price!Y68+Volume_Price!Y108</f>
        <v>2026.637087275</v>
      </c>
      <c r="Z85" s="57" t="n">
        <f aca="false">Volume_Price!Z28+Volume_Price!Z68+Volume_Price!Z108</f>
        <v>2347.14779366039</v>
      </c>
      <c r="AA85" s="57" t="n">
        <f aca="false">Volume_Price!AA28+Volume_Price!AA68+Volume_Price!AA108</f>
        <v>3390.03325414432</v>
      </c>
      <c r="AB85" s="57" t="n">
        <f aca="false">Volume_Price!AB28+Volume_Price!AB68+Volume_Price!AB108</f>
        <v>3031.75357782842</v>
      </c>
    </row>
    <row r="86" customFormat="false" ht="15" hidden="false" customHeight="true" outlineLevel="0" collapsed="false">
      <c r="A86" s="28" t="s">
        <v>648</v>
      </c>
      <c r="B86" s="55" t="s">
        <v>68</v>
      </c>
      <c r="C86" s="56" t="n">
        <f aca="false">SUM(E86:P86)</f>
        <v>677787.485173543</v>
      </c>
      <c r="D86" s="56" t="n">
        <f aca="false">SUM(Q86:AB86)</f>
        <v>903504.61240749</v>
      </c>
      <c r="E86" s="57" t="n">
        <f aca="false">Volume_Price!E50+Volume_Price!E90+Volume_Price!E130</f>
        <v>40902.2713513514</v>
      </c>
      <c r="F86" s="57" t="n">
        <f aca="false">Volume_Price!F50+Volume_Price!F90+Volume_Price!F130</f>
        <v>38925.6659942363</v>
      </c>
      <c r="G86" s="57" t="n">
        <f aca="false">Volume_Price!G50+Volume_Price!G90+Volume_Price!G130</f>
        <v>45211.9347528517</v>
      </c>
      <c r="H86" s="57" t="n">
        <f aca="false">Volume_Price!H50+Volume_Price!H90+Volume_Price!H130</f>
        <v>46807.1883673469</v>
      </c>
      <c r="I86" s="57" t="n">
        <f aca="false">Volume_Price!I50+Volume_Price!I90+Volume_Price!I130</f>
        <v>52969.8053199269</v>
      </c>
      <c r="J86" s="57" t="n">
        <f aca="false">Volume_Price!J50+Volume_Price!J90+Volume_Price!J130</f>
        <v>50885.2533935018</v>
      </c>
      <c r="K86" s="57" t="n">
        <f aca="false">Volume_Price!K50+Volume_Price!K90+Volume_Price!K130</f>
        <v>50013.9347368421</v>
      </c>
      <c r="L86" s="57" t="n">
        <f aca="false">Volume_Price!L50+Volume_Price!L90+Volume_Price!L130</f>
        <v>50587.9280645161</v>
      </c>
      <c r="M86" s="57" t="n">
        <f aca="false">Volume_Price!M50+Volume_Price!M90+Volume_Price!M130</f>
        <v>56503.1474125914</v>
      </c>
      <c r="N86" s="57" t="n">
        <f aca="false">Volume_Price!N50+Volume_Price!N90+Volume_Price!N130</f>
        <v>65504.2445756791</v>
      </c>
      <c r="O86" s="57" t="n">
        <f aca="false">Volume_Price!O50+Volume_Price!O90+Volume_Price!O130</f>
        <v>94701.6918447363</v>
      </c>
      <c r="P86" s="57" t="n">
        <f aca="false">Volume_Price!P50+Volume_Price!P90+Volume_Price!P130</f>
        <v>84774.4193599627</v>
      </c>
      <c r="Q86" s="57" t="n">
        <f aca="false">Volume_Price!Q50+Volume_Price!Q90+Volume_Price!Q130</f>
        <v>54150.9069797192</v>
      </c>
      <c r="R86" s="57" t="n">
        <f aca="false">Volume_Price!R50+Volume_Price!R90+Volume_Price!R130</f>
        <v>51636.3915437095</v>
      </c>
      <c r="S86" s="57" t="n">
        <f aca="false">Volume_Price!S50+Volume_Price!S90+Volume_Price!S130</f>
        <v>59553.1452066299</v>
      </c>
      <c r="T86" s="57" t="n">
        <f aca="false">Volume_Price!T50+Volume_Price!T90+Volume_Price!T130</f>
        <v>63092.7903598834</v>
      </c>
      <c r="U86" s="57" t="n">
        <f aca="false">Volume_Price!U50+Volume_Price!U90+Volume_Price!U130</f>
        <v>68170.4833668853</v>
      </c>
      <c r="V86" s="57" t="n">
        <f aca="false">Volume_Price!V50+Volume_Price!V90+Volume_Price!V130</f>
        <v>67765.2362300277</v>
      </c>
      <c r="W86" s="57" t="n">
        <f aca="false">Volume_Price!W50+Volume_Price!W90+Volume_Price!W130</f>
        <v>65838.3721225516</v>
      </c>
      <c r="X86" s="57" t="n">
        <f aca="false">Volume_Price!X50+Volume_Price!X90+Volume_Price!X130</f>
        <v>66025.7389874428</v>
      </c>
      <c r="Y86" s="57" t="n">
        <f aca="false">Volume_Price!Y50+Volume_Price!Y90+Volume_Price!Y130</f>
        <v>76190.5748456985</v>
      </c>
      <c r="Z86" s="57" t="n">
        <f aca="false">Volume_Price!Z50+Volume_Price!Z90+Volume_Price!Z130</f>
        <v>88422.2586451243</v>
      </c>
      <c r="AA86" s="57" t="n">
        <f aca="false">Volume_Price!AA50+Volume_Price!AA90+Volume_Price!AA130</f>
        <v>127973.751345165</v>
      </c>
      <c r="AB86" s="57" t="n">
        <f aca="false">Volume_Price!AB50+Volume_Price!AB90+Volume_Price!AB130</f>
        <v>114684.962774653</v>
      </c>
    </row>
    <row r="87" customFormat="false" ht="15" hidden="false" customHeight="true" outlineLevel="0" collapsed="false">
      <c r="A87" s="28" t="s">
        <v>735</v>
      </c>
      <c r="B87" s="55" t="s">
        <v>736</v>
      </c>
      <c r="C87" s="56" t="n">
        <f aca="false">SUM(E87:P87)</f>
        <v>-39906.2815288321</v>
      </c>
      <c r="D87" s="56" t="n">
        <f aca="false">SUM(Q87:AB87)</f>
        <v>-52552.652034298</v>
      </c>
      <c r="E87" s="57" t="n">
        <f aca="false">Channel_PL!E14*E12+Channel_PL!E52*E17+Channel_PL!E86*E22</f>
        <v>-2224.00271130129</v>
      </c>
      <c r="F87" s="57" t="n">
        <f aca="false">Channel_PL!F14*F12+Channel_PL!F52*F17+Channel_PL!F86*F22</f>
        <v>-2481.22924579293</v>
      </c>
      <c r="G87" s="57" t="n">
        <f aca="false">Channel_PL!G14*G12+Channel_PL!G52*G17+Channel_PL!G86*G22</f>
        <v>-2852.00084201858</v>
      </c>
      <c r="H87" s="57" t="n">
        <f aca="false">Channel_PL!H14*H12+Channel_PL!H52*H17+Channel_PL!H86*H22</f>
        <v>-2764.74061068209</v>
      </c>
      <c r="I87" s="57" t="n">
        <f aca="false">Channel_PL!I14*I12+Channel_PL!I52*I17+Channel_PL!I86*I22</f>
        <v>-3077.14531669959</v>
      </c>
      <c r="J87" s="57" t="n">
        <f aca="false">Channel_PL!J14*J12+Channel_PL!J52*J17+Channel_PL!J86*J22</f>
        <v>-2947.93934216893</v>
      </c>
      <c r="K87" s="57" t="n">
        <f aca="false">Channel_PL!K14*K12+Channel_PL!K52*K17+Channel_PL!K86*K22</f>
        <v>-2945.628387364</v>
      </c>
      <c r="L87" s="57" t="n">
        <f aca="false">Channel_PL!L14*L12+Channel_PL!L52*L17+Channel_PL!L86*L22</f>
        <v>-2908.30495374476</v>
      </c>
      <c r="M87" s="57" t="n">
        <f aca="false">Channel_PL!M14*M12+Channel_PL!M52*M17+Channel_PL!M86*M22</f>
        <v>-3324.26230195792</v>
      </c>
      <c r="N87" s="57" t="n">
        <f aca="false">Channel_PL!N14*N12+Channel_PL!N52*N17+Channel_PL!N86*N22</f>
        <v>-3849.73032869338</v>
      </c>
      <c r="O87" s="57" t="n">
        <f aca="false">Channel_PL!O14*O12+Channel_PL!O52*O17+Channel_PL!O86*O22</f>
        <v>-5559.73179795835</v>
      </c>
      <c r="P87" s="57" t="n">
        <f aca="false">Channel_PL!P14*P12+Channel_PL!P52*P17+Channel_PL!P86*P22</f>
        <v>-4971.56569045032</v>
      </c>
      <c r="Q87" s="57" t="n">
        <f aca="false">Channel_PL!Q14*Q12+Channel_PL!Q52*Q17+Channel_PL!Q86*Q22</f>
        <v>-3172.22049096232</v>
      </c>
      <c r="R87" s="57" t="n">
        <f aca="false">Channel_PL!R14*R12+Channel_PL!R52*R17+Channel_PL!R86*R22</f>
        <v>-3021.61975421218</v>
      </c>
      <c r="S87" s="57" t="n">
        <f aca="false">Channel_PL!S14*S12+Channel_PL!S52*S17+Channel_PL!S86*S22</f>
        <v>-3481.06354653507</v>
      </c>
      <c r="T87" s="57" t="n">
        <f aca="false">Channel_PL!T14*T12+Channel_PL!T52*T17+Channel_PL!T86*T22</f>
        <v>-3683.89583368185</v>
      </c>
      <c r="U87" s="57" t="n">
        <f aca="false">Channel_PL!U14*U12+Channel_PL!U52*U17+Channel_PL!U86*U22</f>
        <v>-3975.95429547507</v>
      </c>
      <c r="V87" s="57" t="n">
        <f aca="false">Channel_PL!V14*V12+Channel_PL!V52*V17+Channel_PL!V86*V22</f>
        <v>-3947.90258402041</v>
      </c>
      <c r="W87" s="57" t="n">
        <f aca="false">Channel_PL!W14*W12+Channel_PL!W52*W17+Channel_PL!W86*W22</f>
        <v>-3831.33465865785</v>
      </c>
      <c r="X87" s="57" t="n">
        <f aca="false">Channel_PL!X14*X12+Channel_PL!X52*X17+Channel_PL!X86*X22</f>
        <v>-3837.89329740006</v>
      </c>
      <c r="Y87" s="57" t="n">
        <f aca="false">Channel_PL!Y14*Y12+Channel_PL!Y52*Y17+Channel_PL!Y86*Y22</f>
        <v>-4423.70954991783</v>
      </c>
      <c r="Z87" s="57" t="n">
        <f aca="false">Channel_PL!Z14*Z12+Channel_PL!Z52*Z17+Channel_PL!Z86*Z22</f>
        <v>-5128.0212495884</v>
      </c>
      <c r="AA87" s="57" t="n">
        <f aca="false">Channel_PL!AA14*AA12+Channel_PL!AA52*AA17+Channel_PL!AA86*AA22</f>
        <v>-7413.25813890432</v>
      </c>
      <c r="AB87" s="57" t="n">
        <f aca="false">Channel_PL!AB14*AB12+Channel_PL!AB52*AB17+Channel_PL!AB86*AB22</f>
        <v>-6635.77863494268</v>
      </c>
    </row>
    <row r="88" customFormat="false" ht="15" hidden="false" customHeight="true" outlineLevel="0" collapsed="false">
      <c r="A88" s="28" t="s">
        <v>737</v>
      </c>
      <c r="B88" s="55" t="s">
        <v>736</v>
      </c>
      <c r="C88" s="56" t="n">
        <f aca="false">SUM(E88:P88)</f>
        <v>-48205.481536608</v>
      </c>
      <c r="D88" s="56" t="n">
        <f aca="false">SUM(Q88:AB88)</f>
        <v>-66100.7052857929</v>
      </c>
      <c r="E88" s="57" t="n">
        <f aca="false">Channel_PL!E15*E12+Channel_PL!E53*E17+Channel_PL!E87*E22</f>
        <v>-2868.6022005372</v>
      </c>
      <c r="F88" s="57" t="n">
        <f aca="false">Channel_PL!F15*F12+Channel_PL!F53*F17+Channel_PL!F87*F22</f>
        <v>-2729.68987829164</v>
      </c>
      <c r="G88" s="57" t="n">
        <f aca="false">Channel_PL!G15*G12+Channel_PL!G53*G17+Channel_PL!G87*G22</f>
        <v>-3091.7457678102</v>
      </c>
      <c r="H88" s="57" t="n">
        <f aca="false">Channel_PL!H15*H12+Channel_PL!H53*H17+Channel_PL!H87*H22</f>
        <v>-3172.79048791472</v>
      </c>
      <c r="I88" s="57" t="n">
        <f aca="false">Channel_PL!I15*I12+Channel_PL!I53*I17+Channel_PL!I87*I22</f>
        <v>-3589.26365921139</v>
      </c>
      <c r="J88" s="57" t="n">
        <f aca="false">Channel_PL!J15*J12+Channel_PL!J53*J17+Channel_PL!J87*J22</f>
        <v>-3601.82431645498</v>
      </c>
      <c r="K88" s="57" t="n">
        <f aca="false">Channel_PL!K15*K12+Channel_PL!K53*K17+Channel_PL!K87*K22</f>
        <v>-3373.47126817015</v>
      </c>
      <c r="L88" s="57" t="n">
        <f aca="false">Channel_PL!L15*L12+Channel_PL!L53*L17+Channel_PL!L87*L22</f>
        <v>-3870.52694183812</v>
      </c>
      <c r="M88" s="57" t="n">
        <f aca="false">Channel_PL!M15*M12+Channel_PL!M53*M17+Channel_PL!M87*M22</f>
        <v>-4100.8331092025</v>
      </c>
      <c r="N88" s="57" t="n">
        <f aca="false">Channel_PL!N15*N12+Channel_PL!N53*N17+Channel_PL!N87*N22</f>
        <v>-4757.51692672799</v>
      </c>
      <c r="O88" s="57" t="n">
        <f aca="false">Channel_PL!O15*O12+Channel_PL!O53*O17+Channel_PL!O87*O22</f>
        <v>-6883.10436067794</v>
      </c>
      <c r="P88" s="57" t="n">
        <f aca="false">Channel_PL!P15*P12+Channel_PL!P53*P17+Channel_PL!P87*P22</f>
        <v>-6166.11261977122</v>
      </c>
      <c r="Q88" s="57" t="n">
        <f aca="false">Channel_PL!Q15*Q12+Channel_PL!Q53*Q17+Channel_PL!Q87*Q22</f>
        <v>-3941.63759616854</v>
      </c>
      <c r="R88" s="57" t="n">
        <f aca="false">Channel_PL!R15*R12+Channel_PL!R53*R17+Channel_PL!R87*R22</f>
        <v>-3761.45182834773</v>
      </c>
      <c r="S88" s="57" t="n">
        <f aca="false">Channel_PL!S15*S12+Channel_PL!S53*S17+Channel_PL!S87*S22</f>
        <v>-4341.47531064569</v>
      </c>
      <c r="T88" s="57" t="n">
        <f aca="false">Channel_PL!T15*T12+Channel_PL!T53*T17+Channel_PL!T87*T22</f>
        <v>-4603.09297071138</v>
      </c>
      <c r="U88" s="57" t="n">
        <f aca="false">Channel_PL!U15*U12+Channel_PL!U53*U17+Channel_PL!U87*U22</f>
        <v>-4977.46415847734</v>
      </c>
      <c r="V88" s="57" t="n">
        <f aca="false">Channel_PL!V15*V12+Channel_PL!V53*V17+Channel_PL!V87*V22</f>
        <v>-4951.82021486718</v>
      </c>
      <c r="W88" s="57" t="n">
        <f aca="false">Channel_PL!W15*W12+Channel_PL!W53*W17+Channel_PL!W87*W22</f>
        <v>-4814.90291067286</v>
      </c>
      <c r="X88" s="57" t="n">
        <f aca="false">Channel_PL!X15*X12+Channel_PL!X53*X17+Channel_PL!X87*X22</f>
        <v>-4832.55336093461</v>
      </c>
      <c r="Y88" s="57" t="n">
        <f aca="false">Channel_PL!Y15*Y12+Channel_PL!Y53*Y17+Channel_PL!Y87*Y22</f>
        <v>-5581.15361954764</v>
      </c>
      <c r="Z88" s="57" t="n">
        <f aca="false">Channel_PL!Z15*Z12+Channel_PL!Z53*Z17+Channel_PL!Z87*Z22</f>
        <v>-6482.5827605751</v>
      </c>
      <c r="AA88" s="57" t="n">
        <f aca="false">Channel_PL!AA15*AA12+Channel_PL!AA53*AA17+Channel_PL!AA87*AA22</f>
        <v>-9390.21428927518</v>
      </c>
      <c r="AB88" s="57" t="n">
        <f aca="false">Channel_PL!AB15*AB12+Channel_PL!AB53*AB17+Channel_PL!AB87*AB22</f>
        <v>-8422.35626556967</v>
      </c>
    </row>
    <row r="89" customFormat="false" ht="15" hidden="false" customHeight="true" outlineLevel="0" collapsed="false">
      <c r="A89" s="28" t="s">
        <v>738</v>
      </c>
      <c r="B89" s="55" t="s">
        <v>736</v>
      </c>
      <c r="C89" s="56" t="n">
        <f aca="false">SUM(E89:P89)</f>
        <v>11135.6048141851</v>
      </c>
      <c r="D89" s="56" t="n">
        <f aca="false">SUM(Q89:AB89)</f>
        <v>13038.414684951</v>
      </c>
      <c r="E89" s="57" t="n">
        <f aca="false">Channel_PL!E17*E12</f>
        <v>678.391739362269</v>
      </c>
      <c r="F89" s="57" t="n">
        <f aca="false">Channel_PL!F17*F12</f>
        <v>694.374152733718</v>
      </c>
      <c r="G89" s="57" t="n">
        <f aca="false">Channel_PL!G17*G12</f>
        <v>827.149828278168</v>
      </c>
      <c r="H89" s="57" t="n">
        <f aca="false">Channel_PL!H17*H12</f>
        <v>770.068498125552</v>
      </c>
      <c r="I89" s="57" t="n">
        <f aca="false">Channel_PL!I17*I12</f>
        <v>898.63051421441</v>
      </c>
      <c r="J89" s="57" t="n">
        <f aca="false">Channel_PL!J17*J12</f>
        <v>910.83769194348</v>
      </c>
      <c r="K89" s="57" t="n">
        <f aca="false">Channel_PL!K17*K12</f>
        <v>836.249982586788</v>
      </c>
      <c r="L89" s="57" t="n">
        <f aca="false">Channel_PL!L17*L12</f>
        <v>841.192667903548</v>
      </c>
      <c r="M89" s="57" t="n">
        <f aca="false">Channel_PL!M17*M12</f>
        <v>888.653563935111</v>
      </c>
      <c r="N89" s="57" t="n">
        <f aca="false">Channel_PL!N17*N12</f>
        <v>1022.14372680637</v>
      </c>
      <c r="O89" s="57" t="n">
        <f aca="false">Channel_PL!O17*O12</f>
        <v>1466.04629399012</v>
      </c>
      <c r="P89" s="57" t="n">
        <f aca="false">Channel_PL!P17*P12</f>
        <v>1301.86615430556</v>
      </c>
      <c r="Q89" s="57" t="n">
        <f aca="false">Channel_PL!Q17*Q12</f>
        <v>824.864007541397</v>
      </c>
      <c r="R89" s="57" t="n">
        <f aca="false">Channel_PL!R17*R12</f>
        <v>780.136400412697</v>
      </c>
      <c r="S89" s="57" t="n">
        <f aca="false">Channel_PL!S17*S12</f>
        <v>892.318130261218</v>
      </c>
      <c r="T89" s="57" t="n">
        <f aca="false">Channel_PL!T17*T12</f>
        <v>937.468769718527</v>
      </c>
      <c r="U89" s="57" t="n">
        <f aca="false">Channel_PL!U17*U12</f>
        <v>1004.37660590695</v>
      </c>
      <c r="V89" s="57" t="n">
        <f aca="false">Channel_PL!V17*V12</f>
        <v>989.898738177101</v>
      </c>
      <c r="W89" s="57" t="n">
        <f aca="false">Channel_PL!W17*W12</f>
        <v>953.46845093497</v>
      </c>
      <c r="X89" s="57" t="n">
        <f aca="false">Channel_PL!X17*X12</f>
        <v>947.857700372792</v>
      </c>
      <c r="Y89" s="57" t="n">
        <f aca="false">Channel_PL!Y17*Y12</f>
        <v>1084.15734800084</v>
      </c>
      <c r="Z89" s="57" t="n">
        <f aca="false">Channel_PL!Z17*Z12</f>
        <v>1247.01534670377</v>
      </c>
      <c r="AA89" s="57" t="n">
        <f aca="false">Channel_PL!AA17*AA12</f>
        <v>1788.57647866795</v>
      </c>
      <c r="AB89" s="57" t="n">
        <f aca="false">Channel_PL!AB17*AB12</f>
        <v>1588.27670825278</v>
      </c>
    </row>
    <row r="90" customFormat="false" ht="15" hidden="false" customHeight="true" outlineLevel="0" collapsed="false">
      <c r="A90" s="70" t="s">
        <v>312</v>
      </c>
      <c r="B90" s="71"/>
      <c r="C90" s="72" t="n">
        <f aca="false">SUM(E90:P90)</f>
        <v>600811.326922288</v>
      </c>
      <c r="D90" s="72" t="n">
        <f aca="false">SUM(Q90:AB90)</f>
        <v>797889.66977235</v>
      </c>
      <c r="E90" s="72" t="n">
        <f aca="false">E86+E87+E88+E89</f>
        <v>36488.0581788751</v>
      </c>
      <c r="F90" s="72" t="n">
        <f aca="false">F86+F87+F88+F89</f>
        <v>34409.1210228855</v>
      </c>
      <c r="G90" s="72" t="n">
        <f aca="false">G86+G87+G88+G89</f>
        <v>40095.3379713011</v>
      </c>
      <c r="H90" s="72" t="n">
        <f aca="false">H86+H87+H88+H89</f>
        <v>41639.7257668757</v>
      </c>
      <c r="I90" s="72" t="n">
        <f aca="false">I86+I87+I88+I89</f>
        <v>47202.0268582303</v>
      </c>
      <c r="J90" s="72" t="n">
        <f aca="false">J86+J87+J88+J89</f>
        <v>45246.3274268214</v>
      </c>
      <c r="K90" s="72" t="n">
        <f aca="false">K86+K87+K88+K89</f>
        <v>44531.0850638947</v>
      </c>
      <c r="L90" s="72" t="n">
        <f aca="false">L86+L87+L88+L89</f>
        <v>44650.2888368368</v>
      </c>
      <c r="M90" s="72" t="n">
        <f aca="false">M86+M87+M88+M89</f>
        <v>49966.7055653661</v>
      </c>
      <c r="N90" s="72" t="n">
        <f aca="false">N86+N87+N88+N89</f>
        <v>57919.1410470641</v>
      </c>
      <c r="O90" s="72" t="n">
        <f aca="false">O86+O87+O88+O89</f>
        <v>83724.9019800902</v>
      </c>
      <c r="P90" s="72" t="n">
        <f aca="false">P86+P87+P88+P89</f>
        <v>74938.6072040467</v>
      </c>
      <c r="Q90" s="72" t="n">
        <f aca="false">Q86+Q87+Q88+Q89</f>
        <v>47861.9129001297</v>
      </c>
      <c r="R90" s="72" t="n">
        <f aca="false">R86+R87+R88+R89</f>
        <v>45633.4563615623</v>
      </c>
      <c r="S90" s="72" t="n">
        <f aca="false">S86+S87+S88+S89</f>
        <v>52622.9244797103</v>
      </c>
      <c r="T90" s="72" t="n">
        <f aca="false">T86+T87+T88+T89</f>
        <v>55743.2703252087</v>
      </c>
      <c r="U90" s="72" t="n">
        <f aca="false">U86+U87+U88+U89</f>
        <v>60221.4415188398</v>
      </c>
      <c r="V90" s="72" t="n">
        <f aca="false">V86+V87+V88+V89</f>
        <v>59855.4121693172</v>
      </c>
      <c r="W90" s="72" t="n">
        <f aca="false">W86+W87+W88+W89</f>
        <v>58145.6030041559</v>
      </c>
      <c r="X90" s="72" t="n">
        <f aca="false">X86+X87+X88+X89</f>
        <v>58303.1500294809</v>
      </c>
      <c r="Y90" s="72" t="n">
        <f aca="false">Y86+Y87+Y88+Y89</f>
        <v>67269.8690242339</v>
      </c>
      <c r="Z90" s="72" t="n">
        <f aca="false">Z86+Z87+Z88+Z89</f>
        <v>78058.6699816646</v>
      </c>
      <c r="AA90" s="72" t="n">
        <f aca="false">AA86+AA87+AA88+AA89</f>
        <v>112958.855395653</v>
      </c>
      <c r="AB90" s="72" t="n">
        <f aca="false">AB86+AB87+AB88+AB89</f>
        <v>101215.104582394</v>
      </c>
    </row>
    <row r="91" customFormat="false" ht="15" hidden="false" customHeight="true" outlineLevel="0" collapsed="false">
      <c r="A91" s="28" t="s">
        <v>659</v>
      </c>
      <c r="B91" s="55" t="s">
        <v>68</v>
      </c>
      <c r="C91" s="56" t="n">
        <f aca="false">SUM(E91:P91)</f>
        <v>-247457.281802048</v>
      </c>
      <c r="D91" s="56" t="n">
        <f aca="false">SUM(Q91:AB91)</f>
        <v>-332554.34554138</v>
      </c>
      <c r="E91" s="57" t="n">
        <f aca="false">-(Volume_Price!E56+Volume_Price!E96+Volume_Price!E136)</f>
        <v>-14559.18</v>
      </c>
      <c r="F91" s="57" t="n">
        <f aca="false">-(Volume_Price!F56+Volume_Price!F96+Volume_Price!F136)</f>
        <v>-13933.44</v>
      </c>
      <c r="G91" s="57" t="n">
        <f aca="false">-(Volume_Price!G56+Volume_Price!G96+Volume_Price!G136)</f>
        <v>-16241.04</v>
      </c>
      <c r="H91" s="57" t="n">
        <f aca="false">-(Volume_Price!H56+Volume_Price!H96+Volume_Price!H136)</f>
        <v>-16976.13</v>
      </c>
      <c r="I91" s="57" t="n">
        <f aca="false">-(Volume_Price!I56+Volume_Price!I96+Volume_Price!I136)</f>
        <v>-19604.2</v>
      </c>
      <c r="J91" s="57" t="n">
        <f aca="false">-(Volume_Price!J56+Volume_Price!J96+Volume_Price!J136)</f>
        <v>-18603.78</v>
      </c>
      <c r="K91" s="57" t="n">
        <f aca="false">-(Volume_Price!K56+Volume_Price!K96+Volume_Price!K136)</f>
        <v>-18424.26</v>
      </c>
      <c r="L91" s="57" t="n">
        <f aca="false">-(Volume_Price!L56+Volume_Price!L96+Volume_Price!L136)</f>
        <v>-18532.62</v>
      </c>
      <c r="M91" s="57" t="n">
        <f aca="false">-(Volume_Price!M56+Volume_Price!M96+Volume_Price!M136)</f>
        <v>-20711.1323275413</v>
      </c>
      <c r="N91" s="57" t="n">
        <f aca="false">-(Volume_Price!N56+Volume_Price!N96+Volume_Price!N136)</f>
        <v>-24020.0308482958</v>
      </c>
      <c r="O91" s="57" t="n">
        <f aca="false">-(Volume_Price!O56+Volume_Price!O96+Volume_Price!O136)</f>
        <v>-34740.4004282507</v>
      </c>
      <c r="P91" s="57" t="n">
        <f aca="false">-(Volume_Price!P56+Volume_Price!P96+Volume_Price!P136)</f>
        <v>-31111.0681979605</v>
      </c>
      <c r="Q91" s="57" t="n">
        <f aca="false">-(Volume_Price!Q56+Volume_Price!Q96+Volume_Price!Q136)</f>
        <v>-19880.5734815882</v>
      </c>
      <c r="R91" s="57" t="n">
        <f aca="false">-(Volume_Price!R56+Volume_Price!R96+Volume_Price!R136)</f>
        <v>-18964.9714950129</v>
      </c>
      <c r="S91" s="57" t="n">
        <f aca="false">-(Volume_Price!S56+Volume_Price!S96+Volume_Price!S136)</f>
        <v>-21881.3551654232</v>
      </c>
      <c r="T91" s="57" t="n">
        <f aca="false">-(Volume_Price!T56+Volume_Price!T96+Volume_Price!T136)</f>
        <v>-23191.1627663611</v>
      </c>
      <c r="U91" s="57" t="n">
        <f aca="false">-(Volume_Price!U56+Volume_Price!U96+Volume_Price!U136)</f>
        <v>-25067.5862730912</v>
      </c>
      <c r="V91" s="57" t="n">
        <f aca="false">-(Volume_Price!V56+Volume_Price!V96+Volume_Price!V136)</f>
        <v>-24928.5227783571</v>
      </c>
      <c r="W91" s="57" t="n">
        <f aca="false">-(Volume_Price!W56+Volume_Price!W96+Volume_Price!W136)</f>
        <v>-24229.3747496587</v>
      </c>
      <c r="X91" s="57" t="n">
        <f aca="false">-(Volume_Price!X56+Volume_Price!X96+Volume_Price!X136)</f>
        <v>-24308.0449480204</v>
      </c>
      <c r="Y91" s="57" t="n">
        <f aca="false">-(Volume_Price!Y56+Volume_Price!Y96+Volume_Price!Y136)</f>
        <v>-28061.5565451154</v>
      </c>
      <c r="Z91" s="57" t="n">
        <f aca="false">-(Volume_Price!Z56+Volume_Price!Z96+Volume_Price!Z136)</f>
        <v>-32579.6171740864</v>
      </c>
      <c r="AA91" s="57" t="n">
        <f aca="false">-(Volume_Price!AA56+Volume_Price!AA96+Volume_Price!AA136)</f>
        <v>-47171.4544445467</v>
      </c>
      <c r="AB91" s="57" t="n">
        <f aca="false">-(Volume_Price!AB56+Volume_Price!AB96+Volume_Price!AB136)</f>
        <v>-42290.1257201183</v>
      </c>
    </row>
    <row r="92" customFormat="false" ht="15" hidden="false" customHeight="true" outlineLevel="0" collapsed="false">
      <c r="A92" s="28" t="s">
        <v>739</v>
      </c>
      <c r="B92" s="55" t="s">
        <v>736</v>
      </c>
      <c r="C92" s="56" t="n">
        <f aca="false">SUM(E92:P92)</f>
        <v>10980.2284100893</v>
      </c>
      <c r="D92" s="56" t="n">
        <f aca="false">SUM(Q92:AB92)</f>
        <v>15192.5492842139</v>
      </c>
      <c r="E92" s="57" t="n">
        <f aca="false">Channel_PL!E21*E12+Channel_PL!E58*E17+Channel_PL!E92*E22</f>
        <v>607.733102119513</v>
      </c>
      <c r="F92" s="57" t="n">
        <f aca="false">Channel_PL!F21*F12+Channel_PL!F58*F17+Channel_PL!F92*F22</f>
        <v>595.462653794244</v>
      </c>
      <c r="G92" s="57" t="n">
        <f aca="false">Channel_PL!G21*G12+Channel_PL!G58*G17+Channel_PL!G92*G22</f>
        <v>746.667721288128</v>
      </c>
      <c r="H92" s="57" t="n">
        <f aca="false">Channel_PL!H21*H12+Channel_PL!H58*H17+Channel_PL!H92*H22</f>
        <v>674.273923064214</v>
      </c>
      <c r="I92" s="57" t="n">
        <f aca="false">Channel_PL!I21*I12+Channel_PL!I58*I17+Channel_PL!I92*I22</f>
        <v>824.41661988101</v>
      </c>
      <c r="J92" s="57" t="n">
        <f aca="false">Channel_PL!J21*J12+Channel_PL!J58*J17+Channel_PL!J92*J22</f>
        <v>901.108005785492</v>
      </c>
      <c r="K92" s="57" t="n">
        <f aca="false">Channel_PL!K21*K12+Channel_PL!K58*K17+Channel_PL!K92*K22</f>
        <v>778.843680938678</v>
      </c>
      <c r="L92" s="57" t="n">
        <f aca="false">Channel_PL!L21*L12+Channel_PL!L58*L17+Channel_PL!L92*L22</f>
        <v>841.181391365305</v>
      </c>
      <c r="M92" s="57" t="n">
        <f aca="false">Channel_PL!M21*M12+Channel_PL!M58*M17+Channel_PL!M92*M22</f>
        <v>937.039550132647</v>
      </c>
      <c r="N92" s="57" t="n">
        <f aca="false">Channel_PL!N21*N12+Channel_PL!N58*N17+Channel_PL!N92*N22</f>
        <v>1087.68949590606</v>
      </c>
      <c r="O92" s="57" t="n">
        <f aca="false">Channel_PL!O21*O12+Channel_PL!O58*O17+Channel_PL!O92*O22</f>
        <v>1574.52173260356</v>
      </c>
      <c r="P92" s="57" t="n">
        <f aca="false">Channel_PL!P21*P12+Channel_PL!P58*P17+Channel_PL!P92*P22</f>
        <v>1411.29053321046</v>
      </c>
      <c r="Q92" s="57" t="n">
        <f aca="false">Channel_PL!Q21*Q12+Channel_PL!Q58*Q17+Channel_PL!Q92*Q22</f>
        <v>902.658148498408</v>
      </c>
      <c r="R92" s="57" t="n">
        <f aca="false">Channel_PL!R21*R12+Channel_PL!R58*R17+Channel_PL!R92*R22</f>
        <v>861.875903957216</v>
      </c>
      <c r="S92" s="57" t="n">
        <f aca="false">Channel_PL!S21*S12+Channel_PL!S58*S17+Channel_PL!S92*S22</f>
        <v>995.337073599937</v>
      </c>
      <c r="T92" s="57" t="n">
        <f aca="false">Channel_PL!T21*T12+Channel_PL!T58*T17+Channel_PL!T92*T22</f>
        <v>1055.91073257593</v>
      </c>
      <c r="U92" s="57" t="n">
        <f aca="false">Channel_PL!U21*U12+Channel_PL!U58*U17+Channel_PL!U92*U22</f>
        <v>1142.43427673287</v>
      </c>
      <c r="V92" s="57" t="n">
        <f aca="false">Channel_PL!V21*V12+Channel_PL!V58*V17+Channel_PL!V92*V22</f>
        <v>1137.19411153605</v>
      </c>
      <c r="W92" s="57" t="n">
        <f aca="false">Channel_PL!W21*W12+Channel_PL!W58*W17+Channel_PL!W92*W22</f>
        <v>1106.38162487145</v>
      </c>
      <c r="X92" s="57" t="n">
        <f aca="false">Channel_PL!X21*X12+Channel_PL!X58*X17+Channel_PL!X92*X22</f>
        <v>1111.07355611776</v>
      </c>
      <c r="Y92" s="57" t="n">
        <f aca="false">Channel_PL!Y21*Y12+Channel_PL!Y58*Y17+Channel_PL!Y92*Y22</f>
        <v>1283.92578588659</v>
      </c>
      <c r="Z92" s="57" t="n">
        <f aca="false">Channel_PL!Z21*Z12+Channel_PL!Z58*Z17+Channel_PL!Z92*Z22</f>
        <v>1492.15821938457</v>
      </c>
      <c r="AA92" s="57" t="n">
        <f aca="false">Channel_PL!AA21*AA12+Channel_PL!AA58*AA17+Channel_PL!AA92*AA22</f>
        <v>2162.68989148489</v>
      </c>
      <c r="AB92" s="57" t="n">
        <f aca="false">Channel_PL!AB21*AB12+Channel_PL!AB58*AB17+Channel_PL!AB92*AB22</f>
        <v>1940.90995956829</v>
      </c>
    </row>
    <row r="93" customFormat="false" ht="15" hidden="false" customHeight="true" outlineLevel="0" collapsed="false">
      <c r="A93" s="70" t="s">
        <v>662</v>
      </c>
      <c r="B93" s="71"/>
      <c r="C93" s="72" t="n">
        <f aca="false">SUM(E93:P93)</f>
        <v>-236477.053391959</v>
      </c>
      <c r="D93" s="72" t="n">
        <f aca="false">SUM(Q93:AB93)</f>
        <v>-317361.796257166</v>
      </c>
      <c r="E93" s="72" t="n">
        <f aca="false">E91+E92</f>
        <v>-13951.4468978805</v>
      </c>
      <c r="F93" s="72" t="n">
        <f aca="false">F91+F92</f>
        <v>-13337.9773462058</v>
      </c>
      <c r="G93" s="72" t="n">
        <f aca="false">G91+G92</f>
        <v>-15494.3722787119</v>
      </c>
      <c r="H93" s="72" t="n">
        <f aca="false">H91+H92</f>
        <v>-16301.8560769358</v>
      </c>
      <c r="I93" s="72" t="n">
        <f aca="false">I91+I92</f>
        <v>-18779.783380119</v>
      </c>
      <c r="J93" s="72" t="n">
        <f aca="false">J91+J92</f>
        <v>-17702.6719942145</v>
      </c>
      <c r="K93" s="72" t="n">
        <f aca="false">K91+K92</f>
        <v>-17645.4163190613</v>
      </c>
      <c r="L93" s="72" t="n">
        <f aca="false">L91+L92</f>
        <v>-17691.4386086347</v>
      </c>
      <c r="M93" s="72" t="n">
        <f aca="false">M91+M92</f>
        <v>-19774.0927774087</v>
      </c>
      <c r="N93" s="72" t="n">
        <f aca="false">N91+N92</f>
        <v>-22932.3413523897</v>
      </c>
      <c r="O93" s="72" t="n">
        <f aca="false">O91+O92</f>
        <v>-33165.8786956471</v>
      </c>
      <c r="P93" s="72" t="n">
        <f aca="false">P91+P92</f>
        <v>-29699.77766475</v>
      </c>
      <c r="Q93" s="72" t="n">
        <f aca="false">Q91+Q92</f>
        <v>-18977.9153330898</v>
      </c>
      <c r="R93" s="72" t="n">
        <f aca="false">R91+R92</f>
        <v>-18103.0955910557</v>
      </c>
      <c r="S93" s="72" t="n">
        <f aca="false">S91+S92</f>
        <v>-20886.0180918233</v>
      </c>
      <c r="T93" s="72" t="n">
        <f aca="false">T91+T92</f>
        <v>-22135.2520337852</v>
      </c>
      <c r="U93" s="72" t="n">
        <f aca="false">U91+U92</f>
        <v>-23925.1519963584</v>
      </c>
      <c r="V93" s="72" t="n">
        <f aca="false">V91+V92</f>
        <v>-23791.3286668211</v>
      </c>
      <c r="W93" s="72" t="n">
        <f aca="false">W91+W92</f>
        <v>-23122.9931247873</v>
      </c>
      <c r="X93" s="72" t="n">
        <f aca="false">X91+X92</f>
        <v>-23196.9713919027</v>
      </c>
      <c r="Y93" s="72" t="n">
        <f aca="false">Y91+Y92</f>
        <v>-26777.6307592288</v>
      </c>
      <c r="Z93" s="72" t="n">
        <f aca="false">Z91+Z92</f>
        <v>-31087.4589547019</v>
      </c>
      <c r="AA93" s="72" t="n">
        <f aca="false">AA91+AA92</f>
        <v>-45008.7645530618</v>
      </c>
      <c r="AB93" s="72" t="n">
        <f aca="false">AB91+AB92</f>
        <v>-40349.21576055</v>
      </c>
    </row>
    <row r="94" customFormat="false" ht="15" hidden="false" customHeight="true" outlineLevel="0" collapsed="false">
      <c r="A94" s="70" t="s">
        <v>319</v>
      </c>
      <c r="B94" s="71"/>
      <c r="C94" s="72" t="n">
        <f aca="false">SUM(E94:P94)</f>
        <v>364334.273530329</v>
      </c>
      <c r="D94" s="72" t="n">
        <f aca="false">SUM(Q94:AB94)</f>
        <v>480527.873515184</v>
      </c>
      <c r="E94" s="72" t="n">
        <f aca="false">E90+E93</f>
        <v>22536.6112809946</v>
      </c>
      <c r="F94" s="72" t="n">
        <f aca="false">F90+F93</f>
        <v>21071.1436766797</v>
      </c>
      <c r="G94" s="72" t="n">
        <f aca="false">G90+G93</f>
        <v>24600.9656925892</v>
      </c>
      <c r="H94" s="72" t="n">
        <f aca="false">H90+H93</f>
        <v>25337.8696899399</v>
      </c>
      <c r="I94" s="72" t="n">
        <f aca="false">I90+I93</f>
        <v>28422.2434781113</v>
      </c>
      <c r="J94" s="72" t="n">
        <f aca="false">J90+J93</f>
        <v>27543.6554326069</v>
      </c>
      <c r="K94" s="72" t="n">
        <f aca="false">K90+K93</f>
        <v>26885.6687448334</v>
      </c>
      <c r="L94" s="72" t="n">
        <f aca="false">L90+L93</f>
        <v>26958.8502282021</v>
      </c>
      <c r="M94" s="72" t="n">
        <f aca="false">M90+M93</f>
        <v>30192.6127879574</v>
      </c>
      <c r="N94" s="72" t="n">
        <f aca="false">N90+N93</f>
        <v>34986.7996946744</v>
      </c>
      <c r="O94" s="72" t="n">
        <f aca="false">O90+O93</f>
        <v>50559.0232844431</v>
      </c>
      <c r="P94" s="72" t="n">
        <f aca="false">P90+P93</f>
        <v>45238.8295392966</v>
      </c>
      <c r="Q94" s="72" t="n">
        <f aca="false">Q90+Q93</f>
        <v>28883.99756704</v>
      </c>
      <c r="R94" s="72" t="n">
        <f aca="false">R90+R93</f>
        <v>27530.3607705066</v>
      </c>
      <c r="S94" s="72" t="n">
        <f aca="false">S90+S93</f>
        <v>31736.9063878871</v>
      </c>
      <c r="T94" s="72" t="n">
        <f aca="false">T90+T93</f>
        <v>33608.0182914236</v>
      </c>
      <c r="U94" s="72" t="n">
        <f aca="false">U90+U93</f>
        <v>36296.2895224815</v>
      </c>
      <c r="V94" s="72" t="n">
        <f aca="false">V90+V93</f>
        <v>36064.0835024961</v>
      </c>
      <c r="W94" s="72" t="n">
        <f aca="false">W90+W93</f>
        <v>35022.6098793686</v>
      </c>
      <c r="X94" s="72" t="n">
        <f aca="false">X90+X93</f>
        <v>35106.1786375782</v>
      </c>
      <c r="Y94" s="72" t="n">
        <f aca="false">Y90+Y93</f>
        <v>40492.2382650051</v>
      </c>
      <c r="Z94" s="72" t="n">
        <f aca="false">Z90+Z93</f>
        <v>46971.2110269627</v>
      </c>
      <c r="AA94" s="72" t="n">
        <f aca="false">AA90+AA93</f>
        <v>67950.0908425912</v>
      </c>
      <c r="AB94" s="72" t="n">
        <f aca="false">AB90+AB93</f>
        <v>60865.8888218439</v>
      </c>
    </row>
    <row r="95" customFormat="false" ht="15" hidden="false" customHeight="true" outlineLevel="0" collapsed="false">
      <c r="A95" s="28" t="s">
        <v>269</v>
      </c>
      <c r="B95" s="55"/>
      <c r="C95" s="59" t="n">
        <f aca="false">IF(C90=0,0,C94/C90)</f>
        <v>0.606403802998631</v>
      </c>
      <c r="D95" s="59" t="n">
        <f aca="false">IF(D90=0,0,D94/D90)</f>
        <v>0.602248520966923</v>
      </c>
      <c r="E95" s="58" t="n">
        <f aca="false">IF(E90=0,0,E94/E90)</f>
        <v>0.617643481341583</v>
      </c>
      <c r="F95" s="58" t="n">
        <f aca="false">IF(F90=0,0,F94/F90)</f>
        <v>0.612370878717457</v>
      </c>
      <c r="G95" s="58" t="n">
        <f aca="false">IF(G90=0,0,G94/G90)</f>
        <v>0.61356174900428</v>
      </c>
      <c r="H95" s="58" t="n">
        <f aca="false">IF(H90=0,0,H94/H90)</f>
        <v>0.608502318958501</v>
      </c>
      <c r="I95" s="58" t="n">
        <f aca="false">IF(I90=0,0,I94/I90)</f>
        <v>0.602140318327359</v>
      </c>
      <c r="J95" s="58" t="n">
        <f aca="false">IF(J90=0,0,J94/J90)</f>
        <v>0.608748974757217</v>
      </c>
      <c r="K95" s="58" t="n">
        <f aca="false">IF(K90=0,0,K94/K90)</f>
        <v>0.603750586949699</v>
      </c>
      <c r="L95" s="58" t="n">
        <f aca="false">IF(L90=0,0,L94/L90)</f>
        <v>0.603777734265425</v>
      </c>
      <c r="M95" s="58" t="n">
        <f aca="false">IF(M90=0,0,M94/M90)</f>
        <v>0.60425462207949</v>
      </c>
      <c r="N95" s="58" t="n">
        <f aca="false">IF(N90=0,0,N94/N90)</f>
        <v>0.604062820376509</v>
      </c>
      <c r="O95" s="58" t="n">
        <f aca="false">IF(O90=0,0,O94/O90)</f>
        <v>0.603870796963919</v>
      </c>
      <c r="P95" s="58" t="n">
        <f aca="false">IF(P90=0,0,P94/P90)</f>
        <v>0.603678547375694</v>
      </c>
      <c r="Q95" s="58" t="n">
        <f aca="false">IF(Q90=0,0,Q94/Q90)</f>
        <v>0.603486066829596</v>
      </c>
      <c r="R95" s="58" t="n">
        <f aca="false">IF(R90=0,0,R94/R90)</f>
        <v>0.603293350220471</v>
      </c>
      <c r="S95" s="58" t="n">
        <f aca="false">IF(S90=0,0,S94/S90)</f>
        <v>0.603100392113779</v>
      </c>
      <c r="T95" s="58" t="n">
        <f aca="false">IF(T90=0,0,T94/T90)</f>
        <v>0.602907186739365</v>
      </c>
      <c r="U95" s="58" t="n">
        <f aca="false">IF(U90=0,0,U94/U90)</f>
        <v>0.602713727985512</v>
      </c>
      <c r="V95" s="58" t="n">
        <f aca="false">IF(V90=0,0,V94/V90)</f>
        <v>0.602520009393288</v>
      </c>
      <c r="W95" s="58" t="n">
        <f aca="false">IF(W90=0,0,W94/W90)</f>
        <v>0.602326024151223</v>
      </c>
      <c r="X95" s="58" t="n">
        <f aca="false">IF(X90=0,0,X94/X90)</f>
        <v>0.60213176509034</v>
      </c>
      <c r="Y95" s="58" t="n">
        <f aca="false">IF(Y90=0,0,Y94/Y90)</f>
        <v>0.601937224679564</v>
      </c>
      <c r="Z95" s="58" t="n">
        <f aca="false">IF(Z90=0,0,Z94/Z90)</f>
        <v>0.601742395021538</v>
      </c>
      <c r="AA95" s="58" t="n">
        <f aca="false">IF(AA90=0,0,AA94/AA90)</f>
        <v>0.601547267848875</v>
      </c>
      <c r="AB95" s="58" t="n">
        <f aca="false">IF(AB90=0,0,AB94/AB90)</f>
        <v>0.601351834520866</v>
      </c>
    </row>
    <row r="96" customFormat="false" ht="15" hidden="false" customHeight="true" outlineLevel="0" collapsed="false">
      <c r="A96" s="28" t="s">
        <v>740</v>
      </c>
      <c r="B96" s="55" t="s">
        <v>736</v>
      </c>
      <c r="C96" s="56" t="n">
        <f aca="false">SUM(E96:P96)</f>
        <v>-143117.981177239</v>
      </c>
      <c r="D96" s="56" t="n">
        <f aca="false">SUM(Q96:AB96)</f>
        <v>-190621.855390682</v>
      </c>
      <c r="E96" s="57" t="n">
        <f aca="false">Channel_PL!E28*E12+Channel_PL!E66*E17+Channel_PL!E99*E22</f>
        <v>-8420.18495409784</v>
      </c>
      <c r="F96" s="57" t="n">
        <f aca="false">Channel_PL!F28*F12+Channel_PL!F66*F17+Channel_PL!F99*F22</f>
        <v>-7844.88090489451</v>
      </c>
      <c r="G96" s="57" t="n">
        <f aca="false">Channel_PL!G28*G12+Channel_PL!G66*G17+Channel_PL!G99*G22</f>
        <v>-9151.72471679293</v>
      </c>
      <c r="H96" s="57" t="n">
        <f aca="false">Channel_PL!H28*H12+Channel_PL!H66*H17+Channel_PL!H99*H22</f>
        <v>-9822.16033366094</v>
      </c>
      <c r="I96" s="57" t="n">
        <f aca="false">Channel_PL!I28*I12+Channel_PL!I66*I17+Channel_PL!I99*I22</f>
        <v>-10868.9473977266</v>
      </c>
      <c r="J96" s="57" t="n">
        <f aca="false">Channel_PL!J28*J12+Channel_PL!J66*J17+Channel_PL!J99*J22</f>
        <v>-10903.5890724915</v>
      </c>
      <c r="K96" s="57" t="n">
        <f aca="false">Channel_PL!K28*K12+Channel_PL!K66*K17+Channel_PL!K99*K22</f>
        <v>-10576.2009110823</v>
      </c>
      <c r="L96" s="57" t="n">
        <f aca="false">Channel_PL!L28*L12+Channel_PL!L66*L17+Channel_PL!L99*L22</f>
        <v>-10478.2464173652</v>
      </c>
      <c r="M96" s="57" t="n">
        <f aca="false">Channel_PL!M28*M12+Channel_PL!M66*M17+Channel_PL!M99*M22</f>
        <v>-11791.757040311</v>
      </c>
      <c r="N96" s="57" t="n">
        <f aca="false">Channel_PL!N28*N12+Channel_PL!N66*N17+Channel_PL!N99*N22</f>
        <v>-14249.5141760102</v>
      </c>
      <c r="O96" s="57" t="n">
        <f aca="false">Channel_PL!O28*O12+Channel_PL!O66*O17+Channel_PL!O99*O22</f>
        <v>-20589.6030478034</v>
      </c>
      <c r="P96" s="57" t="n">
        <f aca="false">Channel_PL!P28*P12+Channel_PL!P66*P17+Channel_PL!P99*P22</f>
        <v>-18421.1722050023</v>
      </c>
      <c r="Q96" s="57" t="n">
        <f aca="false">Channel_PL!Q28*Q12+Channel_PL!Q66*Q17+Channel_PL!Q99*Q22</f>
        <v>-11282.626355442</v>
      </c>
      <c r="R96" s="57" t="n">
        <f aca="false">Channel_PL!R28*R12+Channel_PL!R66*R17+Channel_PL!R99*R22</f>
        <v>-10754.6186980554</v>
      </c>
      <c r="S96" s="57" t="n">
        <f aca="false">Channel_PL!S28*S12+Channel_PL!S66*S17+Channel_PL!S99*S22</f>
        <v>-12398.8819498355</v>
      </c>
      <c r="T96" s="57" t="n">
        <f aca="false">Channel_PL!T28*T12+Channel_PL!T66*T17+Channel_PL!T99*T22</f>
        <v>-13131.0751129506</v>
      </c>
      <c r="U96" s="57" t="n">
        <f aca="false">Channel_PL!U28*U12+Channel_PL!U66*U17+Channel_PL!U99*U22</f>
        <v>-14182.8561636529</v>
      </c>
      <c r="V96" s="57" t="n">
        <f aca="false">Channel_PL!V28*V12+Channel_PL!V66*V17+Channel_PL!V99*V22</f>
        <v>-14093.7027804208</v>
      </c>
      <c r="W96" s="57" t="n">
        <f aca="false">Channel_PL!W28*W12+Channel_PL!W66*W17+Channel_PL!W99*W22</f>
        <v>-13688.3821003319</v>
      </c>
      <c r="X96" s="57" t="n">
        <f aca="false">Channel_PL!X28*X12+Channel_PL!X66*X17+Channel_PL!X99*X22</f>
        <v>-13722.8794832842</v>
      </c>
      <c r="Y96" s="57" t="n">
        <f aca="false">Channel_PL!Y28*Y12+Channel_PL!Y66*Y17+Channel_PL!Y99*Y22</f>
        <v>-15830.5583435551</v>
      </c>
      <c r="Z96" s="57" t="n">
        <f aca="false">Channel_PL!Z28*Z12+Channel_PL!Z66*Z17+Channel_PL!Z99*Z22</f>
        <v>-19115.1918477487</v>
      </c>
      <c r="AA96" s="57" t="n">
        <f aca="false">Channel_PL!AA28*AA12+Channel_PL!AA66*AA17+Channel_PL!AA99*AA22</f>
        <v>-27652.1353888775</v>
      </c>
      <c r="AB96" s="57" t="n">
        <f aca="false">Channel_PL!AB28*AB12+Channel_PL!AB66*AB17+Channel_PL!AB99*AB22</f>
        <v>-24768.9471665275</v>
      </c>
    </row>
    <row r="97" customFormat="false" ht="15" hidden="false" customHeight="true" outlineLevel="0" collapsed="false">
      <c r="A97" s="70" t="s">
        <v>324</v>
      </c>
      <c r="B97" s="71"/>
      <c r="C97" s="72" t="n">
        <f aca="false">SUM(E97:P97)</f>
        <v>221216.29235309</v>
      </c>
      <c r="D97" s="72" t="n">
        <f aca="false">SUM(Q97:AB97)</f>
        <v>289906.018124502</v>
      </c>
      <c r="E97" s="72" t="n">
        <f aca="false">E94+E96</f>
        <v>14116.4263268968</v>
      </c>
      <c r="F97" s="72" t="n">
        <f aca="false">F94+F96</f>
        <v>13226.2627717852</v>
      </c>
      <c r="G97" s="72" t="n">
        <f aca="false">G94+G96</f>
        <v>15449.2409757963</v>
      </c>
      <c r="H97" s="72" t="n">
        <f aca="false">H94+H96</f>
        <v>15515.709356279</v>
      </c>
      <c r="I97" s="72" t="n">
        <f aca="false">I94+I96</f>
        <v>17553.2960803847</v>
      </c>
      <c r="J97" s="72" t="n">
        <f aca="false">J94+J96</f>
        <v>16640.0663601154</v>
      </c>
      <c r="K97" s="72" t="n">
        <f aca="false">K94+K96</f>
        <v>16309.4678337511</v>
      </c>
      <c r="L97" s="72" t="n">
        <f aca="false">L94+L96</f>
        <v>16480.6038108369</v>
      </c>
      <c r="M97" s="72" t="n">
        <f aca="false">M94+M96</f>
        <v>18400.8557476464</v>
      </c>
      <c r="N97" s="72" t="n">
        <f aca="false">N94+N96</f>
        <v>20737.2855186641</v>
      </c>
      <c r="O97" s="72" t="n">
        <f aca="false">O94+O96</f>
        <v>29969.4202366396</v>
      </c>
      <c r="P97" s="72" t="n">
        <f aca="false">P94+P96</f>
        <v>26817.6573342943</v>
      </c>
      <c r="Q97" s="72" t="n">
        <f aca="false">Q94+Q96</f>
        <v>17601.3712115979</v>
      </c>
      <c r="R97" s="72" t="n">
        <f aca="false">R94+R96</f>
        <v>16775.7420724511</v>
      </c>
      <c r="S97" s="72" t="n">
        <f aca="false">S94+S96</f>
        <v>19338.0244380515</v>
      </c>
      <c r="T97" s="72" t="n">
        <f aca="false">T94+T96</f>
        <v>20476.9431784729</v>
      </c>
      <c r="U97" s="72" t="n">
        <f aca="false">U94+U96</f>
        <v>22113.4333588286</v>
      </c>
      <c r="V97" s="72" t="n">
        <f aca="false">V94+V96</f>
        <v>21970.3807220753</v>
      </c>
      <c r="W97" s="72" t="n">
        <f aca="false">W94+W96</f>
        <v>21334.2277790367</v>
      </c>
      <c r="X97" s="72" t="n">
        <f aca="false">X94+X96</f>
        <v>21383.299154294</v>
      </c>
      <c r="Y97" s="72" t="n">
        <f aca="false">Y94+Y96</f>
        <v>24661.67992145</v>
      </c>
      <c r="Z97" s="72" t="n">
        <f aca="false">Z94+Z96</f>
        <v>27856.019179214</v>
      </c>
      <c r="AA97" s="72" t="n">
        <f aca="false">AA94+AA96</f>
        <v>40297.9554537137</v>
      </c>
      <c r="AB97" s="72" t="n">
        <f aca="false">AB94+AB96</f>
        <v>36096.9416553164</v>
      </c>
    </row>
    <row r="98" customFormat="false" ht="15" hidden="false" customHeight="true" outlineLevel="0" collapsed="false">
      <c r="A98" s="28" t="s">
        <v>741</v>
      </c>
      <c r="B98" s="55" t="s">
        <v>736</v>
      </c>
      <c r="C98" s="56" t="n">
        <f aca="false">SUM(E98:P98)</f>
        <v>-81515.7293752534</v>
      </c>
      <c r="D98" s="56" t="n">
        <f aca="false">SUM(Q98:AB98)</f>
        <v>-107087.207292055</v>
      </c>
      <c r="E98" s="57" t="n">
        <f aca="false">Channel_PL!E33*E12+Channel_PL!E69*E17+Channel_PL!E102*E22</f>
        <v>-4542.781892328</v>
      </c>
      <c r="F98" s="57" t="n">
        <f aca="false">Channel_PL!F33*F12+Channel_PL!F69*F17+Channel_PL!F102*F22</f>
        <v>-4536.37374354614</v>
      </c>
      <c r="G98" s="57" t="n">
        <f aca="false">Channel_PL!G33*G12+Channel_PL!G69*G17+Channel_PL!G102*G22</f>
        <v>-5577.70270761664</v>
      </c>
      <c r="H98" s="57" t="n">
        <f aca="false">Channel_PL!H33*H12+Channel_PL!H69*H17+Channel_PL!H102*H22</f>
        <v>-5498.60412714581</v>
      </c>
      <c r="I98" s="57" t="n">
        <f aca="false">Channel_PL!I33*I12+Channel_PL!I69*I17+Channel_PL!I102*I22</f>
        <v>-6373.77637701139</v>
      </c>
      <c r="J98" s="57" t="n">
        <f aca="false">Channel_PL!J33*J12+Channel_PL!J69*J17+Channel_PL!J102*J22</f>
        <v>-6289.75802396804</v>
      </c>
      <c r="K98" s="57" t="n">
        <f aca="false">Channel_PL!K33*K12+Channel_PL!K69*K17+Channel_PL!K102*K22</f>
        <v>-6239.71851597198</v>
      </c>
      <c r="L98" s="57" t="n">
        <f aca="false">Channel_PL!L33*L12+Channel_PL!L69*L17+Channel_PL!L102*L22</f>
        <v>-6393.09012633161</v>
      </c>
      <c r="M98" s="57" t="n">
        <f aca="false">Channel_PL!M33*M12+Channel_PL!M69*M17+Channel_PL!M102*M22</f>
        <v>-6770.77747097395</v>
      </c>
      <c r="N98" s="57" t="n">
        <f aca="false">Channel_PL!N33*N12+Channel_PL!N69*N17+Channel_PL!N102*N22</f>
        <v>-7841.31443811151</v>
      </c>
      <c r="O98" s="57" t="n">
        <f aca="false">Channel_PL!O33*O12+Channel_PL!O69*O17+Channel_PL!O102*O22</f>
        <v>-11324.7450468946</v>
      </c>
      <c r="P98" s="57" t="n">
        <f aca="false">Channel_PL!P33*P12+Channel_PL!P69*P17+Channel_PL!P102*P22</f>
        <v>-10127.0869053537</v>
      </c>
      <c r="Q98" s="57" t="n">
        <f aca="false">Channel_PL!Q33*Q12+Channel_PL!Q69*Q17+Channel_PL!Q102*Q22</f>
        <v>-6462.07838082855</v>
      </c>
      <c r="R98" s="57" t="n">
        <f aca="false">Channel_PL!R33*R12+Channel_PL!R69*R17+Channel_PL!R102*R22</f>
        <v>-6155.55067152016</v>
      </c>
      <c r="S98" s="57" t="n">
        <f aca="false">Channel_PL!S33*S12+Channel_PL!S69*S17+Channel_PL!S102*S22</f>
        <v>-7091.82556115797</v>
      </c>
      <c r="T98" s="57" t="n">
        <f aca="false">Channel_PL!T33*T12+Channel_PL!T69*T17+Channel_PL!T102*T22</f>
        <v>-7505.38860041256</v>
      </c>
      <c r="U98" s="57" t="n">
        <f aca="false">Channel_PL!U33*U12+Channel_PL!U69*U17+Channel_PL!U102*U22</f>
        <v>-8100.79671147537</v>
      </c>
      <c r="V98" s="57" t="n">
        <f aca="false">Channel_PL!V33*V12+Channel_PL!V69*V17+Channel_PL!V102*V22</f>
        <v>-8044.03685632789</v>
      </c>
      <c r="W98" s="57" t="n">
        <f aca="false">Channel_PL!W33*W12+Channel_PL!W69*W17+Channel_PL!W102*W22</f>
        <v>-7806.92048687519</v>
      </c>
      <c r="X98" s="57" t="n">
        <f aca="false">Channel_PL!X33*X12+Channel_PL!X69*X17+Channel_PL!X102*X22</f>
        <v>-7820.69559905916</v>
      </c>
      <c r="Y98" s="57" t="n">
        <f aca="false">Channel_PL!Y33*Y12+Channel_PL!Y69*Y17+Channel_PL!Y102*Y22</f>
        <v>-9014.93683831356</v>
      </c>
      <c r="Z98" s="57" t="n">
        <f aca="false">Channel_PL!Z33*Z12+Channel_PL!Z69*Z17+Channel_PL!Z102*Z22</f>
        <v>-10450.8179032152</v>
      </c>
      <c r="AA98" s="57" t="n">
        <f aca="false">Channel_PL!AA33*AA12+Channel_PL!AA69*AA17+Channel_PL!AA102*AA22</f>
        <v>-15108.966394041</v>
      </c>
      <c r="AB98" s="57" t="n">
        <f aca="false">Channel_PL!AB33*AB12+Channel_PL!AB69*AB17+Channel_PL!AB102*AB22</f>
        <v>-13525.193288828</v>
      </c>
    </row>
    <row r="99" customFormat="false" ht="15" hidden="false" customHeight="true" outlineLevel="0" collapsed="false">
      <c r="A99" s="70" t="s">
        <v>330</v>
      </c>
      <c r="B99" s="71"/>
      <c r="C99" s="72" t="n">
        <f aca="false">SUM(E99:P99)</f>
        <v>139700.562977837</v>
      </c>
      <c r="D99" s="72" t="n">
        <f aca="false">SUM(Q99:AB99)</f>
        <v>182818.810832448</v>
      </c>
      <c r="E99" s="72" t="n">
        <f aca="false">E97+E98</f>
        <v>9573.64443456881</v>
      </c>
      <c r="F99" s="72" t="n">
        <f aca="false">F97+F98</f>
        <v>8689.88902823905</v>
      </c>
      <c r="G99" s="72" t="n">
        <f aca="false">G97+G98</f>
        <v>9871.53826817965</v>
      </c>
      <c r="H99" s="72" t="n">
        <f aca="false">H97+H98</f>
        <v>10017.1052291332</v>
      </c>
      <c r="I99" s="72" t="n">
        <f aca="false">I97+I98</f>
        <v>11179.5197033733</v>
      </c>
      <c r="J99" s="72" t="n">
        <f aca="false">J97+J98</f>
        <v>10350.3083361473</v>
      </c>
      <c r="K99" s="72" t="n">
        <f aca="false">K97+K98</f>
        <v>10069.7493177792</v>
      </c>
      <c r="L99" s="72" t="n">
        <f aca="false">L97+L98</f>
        <v>10087.5136845053</v>
      </c>
      <c r="M99" s="72" t="n">
        <f aca="false">M97+M98</f>
        <v>11630.0782766725</v>
      </c>
      <c r="N99" s="72" t="n">
        <f aca="false">N97+N98</f>
        <v>12895.9710805526</v>
      </c>
      <c r="O99" s="72" t="n">
        <f aca="false">O97+O98</f>
        <v>18644.675189745</v>
      </c>
      <c r="P99" s="72" t="n">
        <f aca="false">P97+P98</f>
        <v>16690.5704289406</v>
      </c>
      <c r="Q99" s="72" t="n">
        <f aca="false">Q97+Q98</f>
        <v>11139.2928307694</v>
      </c>
      <c r="R99" s="72" t="n">
        <f aca="false">R97+R98</f>
        <v>10620.1914009309</v>
      </c>
      <c r="S99" s="72" t="n">
        <f aca="false">S97+S98</f>
        <v>12246.1988768936</v>
      </c>
      <c r="T99" s="72" t="n">
        <f aca="false">T97+T98</f>
        <v>12971.5545780604</v>
      </c>
      <c r="U99" s="72" t="n">
        <f aca="false">U97+U98</f>
        <v>14012.6366473532</v>
      </c>
      <c r="V99" s="72" t="n">
        <f aca="false">V97+V98</f>
        <v>13926.3438657474</v>
      </c>
      <c r="W99" s="72" t="n">
        <f aca="false">W97+W98</f>
        <v>13527.3072921615</v>
      </c>
      <c r="X99" s="72" t="n">
        <f aca="false">X97+X98</f>
        <v>13562.6035552348</v>
      </c>
      <c r="Y99" s="72" t="n">
        <f aca="false">Y97+Y98</f>
        <v>15646.7430831365</v>
      </c>
      <c r="Z99" s="72" t="n">
        <f aca="false">Z97+Z98</f>
        <v>17405.2012759988</v>
      </c>
      <c r="AA99" s="72" t="n">
        <f aca="false">AA97+AA98</f>
        <v>25188.9890596727</v>
      </c>
      <c r="AB99" s="72" t="n">
        <f aca="false">AB97+AB98</f>
        <v>22571.7483664884</v>
      </c>
    </row>
    <row r="100" customFormat="false" ht="15" hidden="false" customHeight="true" outlineLevel="0" collapsed="false">
      <c r="A100" s="28" t="s">
        <v>271</v>
      </c>
      <c r="B100" s="55"/>
      <c r="C100" s="59" t="n">
        <f aca="false">IF(C90=0,0,C99/C90)</f>
        <v>0.232519855598372</v>
      </c>
      <c r="D100" s="59" t="n">
        <f aca="false">IF(D90=0,0,D99/D90)</f>
        <v>0.229127933044438</v>
      </c>
      <c r="E100" s="58" t="n">
        <f aca="false">IF(E90=0,0,E99/E90)</f>
        <v>0.262377471216364</v>
      </c>
      <c r="F100" s="58" t="n">
        <f aca="false">IF(F90=0,0,F99/F90)</f>
        <v>0.252546091556928</v>
      </c>
      <c r="G100" s="58" t="n">
        <f aca="false">IF(G90=0,0,G99/G90)</f>
        <v>0.246201647564247</v>
      </c>
      <c r="H100" s="58" t="n">
        <f aca="false">IF(H90=0,0,H99/H90)</f>
        <v>0.240566071093142</v>
      </c>
      <c r="I100" s="58" t="n">
        <f aca="false">IF(I90=0,0,I99/I90)</f>
        <v>0.236844060466951</v>
      </c>
      <c r="J100" s="58" t="n">
        <f aca="false">IF(J90=0,0,J99/J90)</f>
        <v>0.228754661975324</v>
      </c>
      <c r="K100" s="58" t="n">
        <f aca="false">IF(K90=0,0,K99/K90)</f>
        <v>0.226128541519496</v>
      </c>
      <c r="L100" s="58" t="n">
        <f aca="false">IF(L90=0,0,L99/L90)</f>
        <v>0.225922697193911</v>
      </c>
      <c r="M100" s="58" t="n">
        <f aca="false">IF(M90=0,0,M99/M90)</f>
        <v>0.232756555491898</v>
      </c>
      <c r="N100" s="58" t="n">
        <f aca="false">IF(N90=0,0,N99/N90)</f>
        <v>0.222654736368994</v>
      </c>
      <c r="O100" s="58" t="n">
        <f aca="false">IF(O90=0,0,O99/O90)</f>
        <v>0.222689722517426</v>
      </c>
      <c r="P100" s="58" t="n">
        <f aca="false">IF(P90=0,0,P99/P90)</f>
        <v>0.222723253762839</v>
      </c>
      <c r="Q100" s="58" t="n">
        <f aca="false">IF(Q90=0,0,Q99/Q90)</f>
        <v>0.232738145130409</v>
      </c>
      <c r="R100" s="58" t="n">
        <f aca="false">IF(R90=0,0,R99/R90)</f>
        <v>0.232728183392142</v>
      </c>
      <c r="S100" s="58" t="n">
        <f aca="false">IF(S90=0,0,S99/S90)</f>
        <v>0.232716045297241</v>
      </c>
      <c r="T100" s="58" t="n">
        <f aca="false">IF(T90=0,0,T99/T90)</f>
        <v>0.232701714527758</v>
      </c>
      <c r="U100" s="58" t="n">
        <f aca="false">IF(U90=0,0,U99/U90)</f>
        <v>0.232685174813848</v>
      </c>
      <c r="V100" s="58" t="n">
        <f aca="false">IF(V90=0,0,V99/V90)</f>
        <v>0.232666409953923</v>
      </c>
      <c r="W100" s="58" t="n">
        <f aca="false">IF(W90=0,0,W99/W90)</f>
        <v>0.232645403835517</v>
      </c>
      <c r="X100" s="58" t="n">
        <f aca="false">IF(X90=0,0,X99/X90)</f>
        <v>0.232622140456852</v>
      </c>
      <c r="Y100" s="58" t="n">
        <f aca="false">IF(Y90=0,0,Y99/Y90)</f>
        <v>0.232596603949084</v>
      </c>
      <c r="Z100" s="58" t="n">
        <f aca="false">IF(Z90=0,0,Z99/Z90)</f>
        <v>0.222975888265675</v>
      </c>
      <c r="AA100" s="58" t="n">
        <f aca="false">IF(AA90=0,0,AA99/AA90)</f>
        <v>0.222992601788014</v>
      </c>
      <c r="AB100" s="58" t="n">
        <f aca="false">IF(AB90=0,0,AB99/AB90)</f>
        <v>0.223007706800461</v>
      </c>
    </row>
    <row r="101" customFormat="false" ht="15" hidden="false" customHeight="true" outlineLevel="0" collapsed="false">
      <c r="A101" s="28" t="s">
        <v>742</v>
      </c>
      <c r="B101" s="55"/>
      <c r="C101" s="61" t="n">
        <f aca="false">IF(C85=0,0,C99/C85)</f>
        <v>7.53474056204353</v>
      </c>
      <c r="D101" s="61" t="n">
        <f aca="false">IF(D85=0,0,D99/D85)</f>
        <v>7.58163913703488</v>
      </c>
      <c r="E101" s="62" t="n">
        <f aca="false">IF(E85=0,0,E99/E85)</f>
        <v>8.50234852093145</v>
      </c>
      <c r="F101" s="62" t="n">
        <f aca="false">IF(F85=0,0,F99/F85)</f>
        <v>8.18256970643978</v>
      </c>
      <c r="G101" s="62" t="n">
        <f aca="false">IF(G85=0,0,G99/G85)</f>
        <v>7.98668144674729</v>
      </c>
      <c r="H101" s="62" t="n">
        <f aca="false">IF(H85=0,0,H99/H85)</f>
        <v>7.77122205518476</v>
      </c>
      <c r="I101" s="62" t="n">
        <f aca="false">IF(I85=0,0,I99/I85)</f>
        <v>7.58447741070104</v>
      </c>
      <c r="J101" s="62" t="n">
        <f aca="false">IF(J85=0,0,J99/J85)</f>
        <v>7.37726894949917</v>
      </c>
      <c r="K101" s="62" t="n">
        <f aca="false">IF(K85=0,0,K99/K85)</f>
        <v>7.31281722424049</v>
      </c>
      <c r="L101" s="62" t="n">
        <f aca="false">IF(L85=0,0,L99/L85)</f>
        <v>7.29921395405595</v>
      </c>
      <c r="M101" s="62" t="n">
        <f aca="false">IF(M85=0,0,M99/M85)</f>
        <v>7.54878994771925</v>
      </c>
      <c r="N101" s="62" t="n">
        <f aca="false">IF(N85=0,0,N99/N85)</f>
        <v>7.23517108497652</v>
      </c>
      <c r="O101" s="62" t="n">
        <f aca="false">IF(O85=0,0,O99/O85)</f>
        <v>7.25033520800383</v>
      </c>
      <c r="P101" s="62" t="n">
        <f aca="false">IF(P85=0,0,P99/P85)</f>
        <v>7.26547662032536</v>
      </c>
      <c r="Q101" s="62" t="n">
        <f aca="false">IF(Q85=0,0,Q99/Q85)</f>
        <v>7.60687595523119</v>
      </c>
      <c r="R101" s="62" t="n">
        <f aca="false">IF(R85=0,0,R99/R85)</f>
        <v>7.62127336986635</v>
      </c>
      <c r="S101" s="62" t="n">
        <f aca="false">IF(S85=0,0,S99/S85)</f>
        <v>7.63561902844924</v>
      </c>
      <c r="T101" s="62" t="n">
        <f aca="false">IF(T85=0,0,T99/T85)</f>
        <v>7.64991185281679</v>
      </c>
      <c r="U101" s="62" t="n">
        <f aca="false">IF(U85=0,0,U99/U85)</f>
        <v>7.6641507556881</v>
      </c>
      <c r="V101" s="62" t="n">
        <f aca="false">IF(V85=0,0,V99/V85)</f>
        <v>7.67833464130457</v>
      </c>
      <c r="W101" s="62" t="n">
        <f aca="false">IF(W85=0,0,W99/W85)</f>
        <v>7.69246240610945</v>
      </c>
      <c r="X101" s="62" t="n">
        <f aca="false">IF(X85=0,0,X99/X85)</f>
        <v>7.70653293946726</v>
      </c>
      <c r="Y101" s="62" t="n">
        <f aca="false">IF(Y85=0,0,Y99/Y85)</f>
        <v>7.72054512442331</v>
      </c>
      <c r="Z101" s="62" t="n">
        <f aca="false">IF(Z85=0,0,Z99/Z85)</f>
        <v>7.4154688183718</v>
      </c>
      <c r="AA101" s="62" t="n">
        <f aca="false">IF(AA85=0,0,AA99/AA85)</f>
        <v>7.43030736612367</v>
      </c>
      <c r="AB101" s="62" t="n">
        <f aca="false">IF(AB85=0,0,AB99/AB85)</f>
        <v>7.44511312910071</v>
      </c>
    </row>
    <row r="102" customFormat="false" ht="15" hidden="false" customHeight="true" outlineLevel="0" collapsed="false">
      <c r="A102" s="28" t="s">
        <v>743</v>
      </c>
      <c r="B102" s="55" t="s">
        <v>50</v>
      </c>
      <c r="C102" s="66" t="n">
        <f aca="false">P102</f>
        <v>112.328742229454</v>
      </c>
      <c r="D102" s="66" t="n">
        <f aca="false">AB102</f>
        <v>75</v>
      </c>
      <c r="E102" s="67" t="n">
        <f aca="false">Inventory!E59</f>
        <v>381.067144314838</v>
      </c>
      <c r="F102" s="67" t="n">
        <f aca="false">Inventory!F59</f>
        <v>332.843585013147</v>
      </c>
      <c r="G102" s="67" t="n">
        <f aca="false">Inventory!G59</f>
        <v>286.571691701594</v>
      </c>
      <c r="H102" s="67" t="n">
        <f aca="false">Inventory!H59</f>
        <v>236.510348472118</v>
      </c>
      <c r="I102" s="67" t="n">
        <f aca="false">Inventory!I59</f>
        <v>181.93506925172</v>
      </c>
      <c r="J102" s="67" t="n">
        <f aca="false">Inventory!J59</f>
        <v>260.966145631586</v>
      </c>
      <c r="K102" s="67" t="n">
        <f aca="false">Inventory!K59</f>
        <v>239.069615111435</v>
      </c>
      <c r="L102" s="67" t="n">
        <f aca="false">Inventory!L59</f>
        <v>208.078844224148</v>
      </c>
      <c r="M102" s="67" t="n">
        <f aca="false">Inventory!M59</f>
        <v>151.453058099781</v>
      </c>
      <c r="N102" s="67" t="n">
        <f aca="false">Inventory!N59</f>
        <v>226.878421941447</v>
      </c>
      <c r="O102" s="67" t="n">
        <f aca="false">Inventory!O59</f>
        <v>123.076568915492</v>
      </c>
      <c r="P102" s="67" t="n">
        <f aca="false">Inventory!P59</f>
        <v>112.328742229454</v>
      </c>
      <c r="Q102" s="67" t="n">
        <f aca="false">Inventory!Q59</f>
        <v>262.110290543582</v>
      </c>
      <c r="R102" s="67" t="n">
        <f aca="false">Inventory!R59</f>
        <v>221.362960308357</v>
      </c>
      <c r="S102" s="67" t="n">
        <f aca="false">Inventory!S59</f>
        <v>182.732816530567</v>
      </c>
      <c r="T102" s="67" t="n">
        <f aca="false">Inventory!T59</f>
        <v>138.126532787355</v>
      </c>
      <c r="U102" s="67" t="n">
        <f aca="false">Inventory!U59</f>
        <v>102.36650000255</v>
      </c>
      <c r="V102" s="67" t="n">
        <f aca="false">Inventory!V59</f>
        <v>70.8955300010414</v>
      </c>
      <c r="W102" s="67" t="n">
        <f aca="false">Inventory!W59</f>
        <v>75.2435170093364</v>
      </c>
      <c r="X102" s="67" t="n">
        <f aca="false">Inventory!X59</f>
        <v>89.4671141548776</v>
      </c>
      <c r="Y102" s="67" t="n">
        <f aca="false">Inventory!Y59</f>
        <v>84.2665170694054</v>
      </c>
      <c r="Z102" s="67" t="n">
        <f aca="false">Inventory!Z59</f>
        <v>112.21088633172</v>
      </c>
      <c r="AA102" s="67" t="n">
        <f aca="false">Inventory!AA59</f>
        <v>65.0699590432728</v>
      </c>
      <c r="AB102" s="67" t="n">
        <f aca="false">Inventory!AB59</f>
        <v>75</v>
      </c>
    </row>
    <row r="104" customFormat="false" ht="15" hidden="false" customHeight="true" outlineLevel="0" collapsed="false">
      <c r="A104" s="22" t="s">
        <v>747</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row>
    <row r="105" customFormat="false" ht="15" hidden="false" customHeight="true" outlineLevel="0" collapsed="false">
      <c r="A105" s="28" t="s">
        <v>642</v>
      </c>
      <c r="B105" s="55" t="s">
        <v>68</v>
      </c>
      <c r="C105" s="56" t="n">
        <f aca="false">SUM(E105:P105)</f>
        <v>13388.1341452297</v>
      </c>
      <c r="D105" s="56" t="n">
        <f aca="false">SUM(Q105:AB105)</f>
        <v>17131.2669427254</v>
      </c>
      <c r="E105" s="57" t="n">
        <f aca="false">Volume_Price!E29+Volume_Price!E69+Volume_Price!E109</f>
        <v>848</v>
      </c>
      <c r="F105" s="57" t="n">
        <f aca="false">Volume_Price!F29+Volume_Price!F69+Volume_Price!F109</f>
        <v>774</v>
      </c>
      <c r="G105" s="57" t="n">
        <f aca="false">Volume_Price!G29+Volume_Price!G69+Volume_Price!G109</f>
        <v>919</v>
      </c>
      <c r="H105" s="57" t="n">
        <f aca="false">Volume_Price!H29+Volume_Price!H69+Volume_Price!H109</f>
        <v>958</v>
      </c>
      <c r="I105" s="57" t="n">
        <f aca="false">Volume_Price!I29+Volume_Price!I69+Volume_Price!I109</f>
        <v>1035</v>
      </c>
      <c r="J105" s="57" t="n">
        <f aca="false">Volume_Price!J29+Volume_Price!J69+Volume_Price!J109</f>
        <v>1053</v>
      </c>
      <c r="K105" s="57" t="n">
        <f aca="false">Volume_Price!K29+Volume_Price!K69+Volume_Price!K109</f>
        <v>962</v>
      </c>
      <c r="L105" s="57" t="n">
        <f aca="false">Volume_Price!L29+Volume_Price!L69+Volume_Price!L109</f>
        <v>977</v>
      </c>
      <c r="M105" s="57" t="n">
        <f aca="false">Volume_Price!M29+Volume_Price!M69+Volume_Price!M109</f>
        <v>1103.95629461031</v>
      </c>
      <c r="N105" s="57" t="n">
        <f aca="false">Volume_Price!N29+Volume_Price!N69+Volume_Price!N109</f>
        <v>1276.18766191515</v>
      </c>
      <c r="O105" s="57" t="n">
        <f aca="false">Volume_Price!O29+Volume_Price!O69+Volume_Price!O109</f>
        <v>1839.77540971353</v>
      </c>
      <c r="P105" s="57" t="n">
        <f aca="false">Volume_Price!P29+Volume_Price!P69+Volume_Price!P109</f>
        <v>1642.21477899073</v>
      </c>
      <c r="Q105" s="57" t="n">
        <f aca="false">Volume_Price!Q29+Volume_Price!Q69+Volume_Price!Q109</f>
        <v>1045.98387649274</v>
      </c>
      <c r="R105" s="57" t="n">
        <f aca="false">Volume_Price!R29+Volume_Price!R69+Volume_Price!R109</f>
        <v>994.546978872736</v>
      </c>
      <c r="S105" s="57" t="n">
        <f aca="false">Volume_Price!S29+Volume_Price!S69+Volume_Price!S109</f>
        <v>1143.72154207683</v>
      </c>
      <c r="T105" s="57" t="n">
        <f aca="false">Volume_Price!T29+Volume_Price!T69+Volume_Price!T109</f>
        <v>1208.1963356589</v>
      </c>
      <c r="U105" s="57" t="n">
        <f aca="false">Volume_Price!U29+Volume_Price!U69+Volume_Price!U109</f>
        <v>1301.64428905998</v>
      </c>
      <c r="V105" s="57" t="n">
        <f aca="false">Volume_Price!V29+Volume_Price!V69+Volume_Price!V109</f>
        <v>1290.14057721749</v>
      </c>
      <c r="W105" s="57" t="n">
        <f aca="false">Volume_Price!W29+Volume_Price!W69+Volume_Price!W109</f>
        <v>1249.79635783994</v>
      </c>
      <c r="X105" s="57" t="n">
        <f aca="false">Volume_Price!X29+Volume_Price!X69+Volume_Price!X109</f>
        <v>1249.68190771835</v>
      </c>
      <c r="Y105" s="57" t="n">
        <f aca="false">Volume_Price!Y29+Volume_Price!Y69+Volume_Price!Y109</f>
        <v>1437.83630602279</v>
      </c>
      <c r="Z105" s="57" t="n">
        <f aca="false">Volume_Price!Z29+Volume_Price!Z69+Volume_Price!Z109</f>
        <v>1663.74867209941</v>
      </c>
      <c r="AA105" s="57" t="n">
        <f aca="false">Volume_Price!AA29+Volume_Price!AA69+Volume_Price!AA109</f>
        <v>2400.8270655938</v>
      </c>
      <c r="AB105" s="57" t="n">
        <f aca="false">Volume_Price!AB29+Volume_Price!AB69+Volume_Price!AB109</f>
        <v>2145.14303407243</v>
      </c>
    </row>
    <row r="106" customFormat="false" ht="15" hidden="false" customHeight="true" outlineLevel="0" collapsed="false">
      <c r="A106" s="28" t="s">
        <v>648</v>
      </c>
      <c r="B106" s="55" t="s">
        <v>68</v>
      </c>
      <c r="C106" s="56" t="n">
        <f aca="false">SUM(E106:P106)</f>
        <v>376864.166176997</v>
      </c>
      <c r="D106" s="56" t="n">
        <f aca="false">SUM(Q106:AB106)</f>
        <v>491422.841813887</v>
      </c>
      <c r="E106" s="57" t="n">
        <f aca="false">Volume_Price!E51+Volume_Price!E91+Volume_Price!E131</f>
        <v>23955.2908108108</v>
      </c>
      <c r="F106" s="57" t="n">
        <f aca="false">Volume_Price!F51+Volume_Price!F91+Volume_Price!F131</f>
        <v>21950.2676657061</v>
      </c>
      <c r="G106" s="57" t="n">
        <f aca="false">Volume_Price!G51+Volume_Price!G91+Volume_Price!G131</f>
        <v>25964.7219771863</v>
      </c>
      <c r="H106" s="57" t="n">
        <f aca="false">Volume_Price!H51+Volume_Price!H91+Volume_Price!H131</f>
        <v>27041.7538404453</v>
      </c>
      <c r="I106" s="57" t="n">
        <f aca="false">Volume_Price!I51+Volume_Price!I91+Volume_Price!I131</f>
        <v>28766.5269104205</v>
      </c>
      <c r="J106" s="57" t="n">
        <f aca="false">Volume_Price!J51+Volume_Price!J91+Volume_Price!J131</f>
        <v>29367.9492418773</v>
      </c>
      <c r="K106" s="57" t="n">
        <f aca="false">Volume_Price!K51+Volume_Price!K91+Volume_Price!K131</f>
        <v>27212.5603835861</v>
      </c>
      <c r="L106" s="57" t="n">
        <f aca="false">Volume_Price!L51+Volume_Price!L91+Volume_Price!L131</f>
        <v>27377.9631541219</v>
      </c>
      <c r="M106" s="57" t="n">
        <f aca="false">Volume_Price!M51+Volume_Price!M91+Volume_Price!M131</f>
        <v>31009.0224296191</v>
      </c>
      <c r="N106" s="57" t="n">
        <f aca="false">Volume_Price!N51+Volume_Price!N91+Volume_Price!N131</f>
        <v>35919.8049023407</v>
      </c>
      <c r="O106" s="57" t="n">
        <f aca="false">Volume_Price!O51+Volume_Price!O91+Volume_Price!O131</f>
        <v>51888.0056546125</v>
      </c>
      <c r="P106" s="57" t="n">
        <f aca="false">Volume_Price!P51+Volume_Price!P91+Volume_Price!P131</f>
        <v>46410.2992062709</v>
      </c>
      <c r="Q106" s="57" t="n">
        <f aca="false">Volume_Price!Q51+Volume_Price!Q91+Volume_Price!Q131</f>
        <v>29620.4150930241</v>
      </c>
      <c r="R106" s="57" t="n">
        <f aca="false">Volume_Price!R51+Volume_Price!R91+Volume_Price!R131</f>
        <v>28221.0181690612</v>
      </c>
      <c r="S106" s="57" t="n">
        <f aca="false">Volume_Price!S51+Volume_Price!S91+Volume_Price!S131</f>
        <v>32519.8386706762</v>
      </c>
      <c r="T106" s="57" t="n">
        <f aca="false">Volume_Price!T51+Volume_Price!T91+Volume_Price!T131</f>
        <v>34422.7666343942</v>
      </c>
      <c r="U106" s="57" t="n">
        <f aca="false">Volume_Price!U51+Volume_Price!U91+Volume_Price!U131</f>
        <v>37160.3859676486</v>
      </c>
      <c r="V106" s="57" t="n">
        <f aca="false">Volume_Price!V51+Volume_Price!V91+Volume_Price!V131</f>
        <v>36906.5992385402</v>
      </c>
      <c r="W106" s="57" t="n">
        <f aca="false">Volume_Price!W51+Volume_Price!W91+Volume_Price!W131</f>
        <v>35824.8837553751</v>
      </c>
      <c r="X106" s="57" t="n">
        <f aca="false">Volume_Price!X51+Volume_Price!X91+Volume_Price!X131</f>
        <v>35894.0939307983</v>
      </c>
      <c r="Y106" s="57" t="n">
        <f aca="false">Volume_Price!Y51+Volume_Price!Y91+Volume_Price!Y131</f>
        <v>41381.8938572796</v>
      </c>
      <c r="Z106" s="57" t="n">
        <f aca="false">Volume_Price!Z51+Volume_Price!Z91+Volume_Price!Z131</f>
        <v>47980.5762831999</v>
      </c>
      <c r="AA106" s="57" t="n">
        <f aca="false">Volume_Price!AA51+Volume_Price!AA91+Volume_Price!AA131</f>
        <v>69376.8926541462</v>
      </c>
      <c r="AB106" s="57" t="n">
        <f aca="false">Volume_Price!AB51+Volume_Price!AB91+Volume_Price!AB131</f>
        <v>62113.4775597433</v>
      </c>
    </row>
    <row r="107" customFormat="false" ht="15" hidden="false" customHeight="true" outlineLevel="0" collapsed="false">
      <c r="A107" s="28" t="s">
        <v>735</v>
      </c>
      <c r="B107" s="55" t="s">
        <v>736</v>
      </c>
      <c r="C107" s="56" t="n">
        <f aca="false">SUM(E107:P107)</f>
        <v>-23237.604441018</v>
      </c>
      <c r="D107" s="56" t="n">
        <f aca="false">SUM(Q107:AB107)</f>
        <v>-30020.6068022636</v>
      </c>
      <c r="E107" s="57" t="n">
        <f aca="false">Channel_PL!E14*E13+Channel_PL!E52*E18+Channel_PL!E86*E23</f>
        <v>-1334.84773194448</v>
      </c>
      <c r="F107" s="57" t="n">
        <f aca="false">Channel_PL!F14*F13+Channel_PL!F52*F18+Channel_PL!F86*F23</f>
        <v>-1442.54053145342</v>
      </c>
      <c r="G107" s="57" t="n">
        <f aca="false">Channel_PL!G14*G13+Channel_PL!G52*G18+Channel_PL!G86*G23</f>
        <v>-1684.21793411941</v>
      </c>
      <c r="H107" s="57" t="n">
        <f aca="false">Channel_PL!H14*H13+Channel_PL!H52*H18+Channel_PL!H86*H23</f>
        <v>-1720.33115958568</v>
      </c>
      <c r="I107" s="57" t="n">
        <f aca="false">Channel_PL!I14*I13+Channel_PL!I52*I18+Channel_PL!I86*I23</f>
        <v>-1721.284715032</v>
      </c>
      <c r="J107" s="57" t="n">
        <f aca="false">Channel_PL!J14*J13+Channel_PL!J52*J18+Channel_PL!J86*J23</f>
        <v>-1764.46114511418</v>
      </c>
      <c r="K107" s="57" t="n">
        <f aca="false">Channel_PL!K14*K13+Channel_PL!K52*K18+Channel_PL!K86*K23</f>
        <v>-1730.70469013122</v>
      </c>
      <c r="L107" s="57" t="n">
        <f aca="false">Channel_PL!L14*L13+Channel_PL!L52*L18+Channel_PL!L86*L23</f>
        <v>-1644.00989493155</v>
      </c>
      <c r="M107" s="57" t="n">
        <f aca="false">Channel_PL!M14*M13+Channel_PL!M52*M18+Channel_PL!M86*M23</f>
        <v>-1916.94444061753</v>
      </c>
      <c r="N107" s="57" t="n">
        <f aca="false">Channel_PL!N14*N13+Channel_PL!N52*N18+Channel_PL!N86*N23</f>
        <v>-2218.09482600122</v>
      </c>
      <c r="O107" s="57" t="n">
        <f aca="false">Channel_PL!O14*O13+Channel_PL!O52*O18+Channel_PL!O86*O23</f>
        <v>-3200.61734459875</v>
      </c>
      <c r="P107" s="57" t="n">
        <f aca="false">Channel_PL!P14*P13+Channel_PL!P52*P18+Channel_PL!P86*P23</f>
        <v>-2859.55002748855</v>
      </c>
      <c r="Q107" s="57" t="n">
        <f aca="false">Channel_PL!Q14*Q13+Channel_PL!Q52*Q18+Channel_PL!Q86*Q23</f>
        <v>-1823.00104418691</v>
      </c>
      <c r="R107" s="57" t="n">
        <f aca="false">Channel_PL!R14*R13+Channel_PL!R52*R18+Channel_PL!R86*R23</f>
        <v>-1734.90927260722</v>
      </c>
      <c r="S107" s="57" t="n">
        <f aca="false">Channel_PL!S14*S13+Channel_PL!S52*S18+Channel_PL!S86*S23</f>
        <v>-1996.9014273401</v>
      </c>
      <c r="T107" s="57" t="n">
        <f aca="false">Channel_PL!T14*T13+Channel_PL!T52*T18+Channel_PL!T86*T23</f>
        <v>-2111.31966543029</v>
      </c>
      <c r="U107" s="57" t="n">
        <f aca="false">Channel_PL!U14*U13+Channel_PL!U52*U18+Channel_PL!U86*U23</f>
        <v>-2276.5867891682</v>
      </c>
      <c r="V107" s="57" t="n">
        <f aca="false">Channel_PL!V14*V13+Channel_PL!V52*V18+Channel_PL!V86*V23</f>
        <v>-2258.3933176804</v>
      </c>
      <c r="W107" s="57" t="n">
        <f aca="false">Channel_PL!W14*W13+Channel_PL!W52*W18+Channel_PL!W86*W23</f>
        <v>-2189.61450509635</v>
      </c>
      <c r="X107" s="57" t="n">
        <f aca="false">Channel_PL!X14*X13+Channel_PL!X52*X18+Channel_PL!X86*X23</f>
        <v>-2191.23490098836</v>
      </c>
      <c r="Y107" s="57" t="n">
        <f aca="false">Channel_PL!Y14*Y13+Channel_PL!Y52*Y18+Channel_PL!Y86*Y23</f>
        <v>-2523.21995820852</v>
      </c>
      <c r="Z107" s="57" t="n">
        <f aca="false">Channel_PL!Z14*Z13+Channel_PL!Z52*Z18+Channel_PL!Z86*Z23</f>
        <v>-2922.03048560219</v>
      </c>
      <c r="AA107" s="57" t="n">
        <f aca="false">Channel_PL!AA14*AA13+Channel_PL!AA52*AA18+Channel_PL!AA86*AA23</f>
        <v>-4219.92157280436</v>
      </c>
      <c r="AB107" s="57" t="n">
        <f aca="false">Channel_PL!AB14*AB13+Channel_PL!AB52*AB18+Channel_PL!AB86*AB23</f>
        <v>-3773.47386315076</v>
      </c>
    </row>
    <row r="108" customFormat="false" ht="15" hidden="false" customHeight="true" outlineLevel="0" collapsed="false">
      <c r="A108" s="28" t="s">
        <v>737</v>
      </c>
      <c r="B108" s="55" t="s">
        <v>736</v>
      </c>
      <c r="C108" s="56" t="n">
        <f aca="false">SUM(E108:P108)</f>
        <v>-26468.4116822841</v>
      </c>
      <c r="D108" s="56" t="n">
        <f aca="false">SUM(Q108:AB108)</f>
        <v>-35459.5904077021</v>
      </c>
      <c r="E108" s="57" t="n">
        <f aca="false">Channel_PL!E15*E13+Channel_PL!E53*E18+Channel_PL!E87*E23</f>
        <v>-1661.34706921062</v>
      </c>
      <c r="F108" s="57" t="n">
        <f aca="false">Channel_PL!F15*F13+Channel_PL!F53*F18+Channel_PL!F87*F23</f>
        <v>-1504.06390727362</v>
      </c>
      <c r="G108" s="57" t="n">
        <f aca="false">Channel_PL!G15*G13+Channel_PL!G53*G18+Channel_PL!G87*G23</f>
        <v>-1750.41782001872</v>
      </c>
      <c r="H108" s="57" t="n">
        <f aca="false">Channel_PL!H15*H13+Channel_PL!H53*H18+Channel_PL!H87*H23</f>
        <v>-1810.52127196184</v>
      </c>
      <c r="I108" s="57" t="n">
        <f aca="false">Channel_PL!I15*I13+Channel_PL!I53*I18+Channel_PL!I87*I23</f>
        <v>-1933.60606059681</v>
      </c>
      <c r="J108" s="57" t="n">
        <f aca="false">Channel_PL!J15*J13+Channel_PL!J53*J18+Channel_PL!J87*J23</f>
        <v>-2057.84701633967</v>
      </c>
      <c r="K108" s="57" t="n">
        <f aca="false">Channel_PL!K15*K13+Channel_PL!K53*K18+Channel_PL!K87*K23</f>
        <v>-1828.31624684987</v>
      </c>
      <c r="L108" s="57" t="n">
        <f aca="false">Channel_PL!L15*L13+Channel_PL!L53*L18+Channel_PL!L87*L23</f>
        <v>-2075.73396884164</v>
      </c>
      <c r="M108" s="57" t="n">
        <f aca="false">Channel_PL!M15*M13+Channel_PL!M53*M18+Channel_PL!M87*M23</f>
        <v>-2220.76595940976</v>
      </c>
      <c r="N108" s="57" t="n">
        <f aca="false">Channel_PL!N15*N13+Channel_PL!N53*N18+Channel_PL!N87*N23</f>
        <v>-2574.18373238709</v>
      </c>
      <c r="O108" s="57" t="n">
        <f aca="false">Channel_PL!O15*O13+Channel_PL!O53*O18+Channel_PL!O87*O23</f>
        <v>-3721.06892834789</v>
      </c>
      <c r="P108" s="57" t="n">
        <f aca="false">Channel_PL!P15*P13+Channel_PL!P53*P18+Channel_PL!P87*P23</f>
        <v>-3330.5397010466</v>
      </c>
      <c r="Q108" s="57" t="n">
        <f aca="false">Channel_PL!Q15*Q13+Channel_PL!Q53*Q18+Channel_PL!Q87*Q23</f>
        <v>-2127.13611249198</v>
      </c>
      <c r="R108" s="57" t="n">
        <f aca="false">Channel_PL!R15*R13+Channel_PL!R53*R18+Channel_PL!R87*R23</f>
        <v>-2028.08022853477</v>
      </c>
      <c r="S108" s="57" t="n">
        <f aca="false">Channel_PL!S15*S13+Channel_PL!S53*S18+Channel_PL!S87*S23</f>
        <v>-2338.69507084334</v>
      </c>
      <c r="T108" s="57" t="n">
        <f aca="false">Channel_PL!T15*T13+Channel_PL!T53*T18+Channel_PL!T87*T23</f>
        <v>-2477.35497596747</v>
      </c>
      <c r="U108" s="57" t="n">
        <f aca="false">Channel_PL!U15*U13+Channel_PL!U53*U18+Channel_PL!U87*U23</f>
        <v>-2676.35949857353</v>
      </c>
      <c r="V108" s="57" t="n">
        <f aca="false">Channel_PL!V15*V13+Channel_PL!V53*V18+Channel_PL!V87*V23</f>
        <v>-2660.07922255321</v>
      </c>
      <c r="W108" s="57" t="n">
        <f aca="false">Channel_PL!W15*W13+Channel_PL!W53*W18+Channel_PL!W87*W23</f>
        <v>-2584.08152970552</v>
      </c>
      <c r="X108" s="57" t="n">
        <f aca="false">Channel_PL!X15*X13+Channel_PL!X53*X18+Channel_PL!X87*X23</f>
        <v>-2591.07445362591</v>
      </c>
      <c r="Y108" s="57" t="n">
        <f aca="false">Channel_PL!Y15*Y13+Channel_PL!Y53*Y18+Channel_PL!Y87*Y23</f>
        <v>-2989.56054825056</v>
      </c>
      <c r="Z108" s="57" t="n">
        <f aca="false">Channel_PL!Z15*Z13+Channel_PL!Z53*Z18+Channel_PL!Z87*Z23</f>
        <v>-3469.02303586882</v>
      </c>
      <c r="AA108" s="57" t="n">
        <f aca="false">Channel_PL!AA15*AA13+Channel_PL!AA53*AA18+Channel_PL!AA87*AA23</f>
        <v>-5020.02589914314</v>
      </c>
      <c r="AB108" s="57" t="n">
        <f aca="false">Channel_PL!AB15*AB13+Channel_PL!AB53*AB18+Channel_PL!AB87*AB23</f>
        <v>-4498.11983214383</v>
      </c>
    </row>
    <row r="109" customFormat="false" ht="15" hidden="false" customHeight="true" outlineLevel="0" collapsed="false">
      <c r="A109" s="28" t="s">
        <v>738</v>
      </c>
      <c r="B109" s="55" t="s">
        <v>736</v>
      </c>
      <c r="C109" s="56" t="n">
        <f aca="false">SUM(E109:P109)</f>
        <v>7218.96166980797</v>
      </c>
      <c r="D109" s="56" t="n">
        <f aca="false">SUM(Q109:AB109)</f>
        <v>8483.85716802273</v>
      </c>
      <c r="E109" s="57" t="n">
        <f aca="false">Channel_PL!E17*E13</f>
        <v>431.417941772422</v>
      </c>
      <c r="F109" s="57" t="n">
        <f aca="false">Channel_PL!F17*F13</f>
        <v>434.167509142139</v>
      </c>
      <c r="G109" s="57" t="n">
        <f aca="false">Channel_PL!G17*G13</f>
        <v>522.673517702152</v>
      </c>
      <c r="H109" s="57" t="n">
        <f aca="false">Channel_PL!H17*H13</f>
        <v>549.575269150754</v>
      </c>
      <c r="I109" s="57" t="n">
        <f aca="false">Channel_PL!I17*I13</f>
        <v>558.63784966238</v>
      </c>
      <c r="J109" s="57" t="n">
        <f aca="false">Channel_PL!J17*J13</f>
        <v>597.38383136683</v>
      </c>
      <c r="K109" s="57" t="n">
        <f aca="false">Channel_PL!K17*K13</f>
        <v>554.848761109459</v>
      </c>
      <c r="L109" s="57" t="n">
        <f aca="false">Channel_PL!L17*L13</f>
        <v>525.906421543037</v>
      </c>
      <c r="M109" s="57" t="n">
        <f aca="false">Channel_PL!M17*M13</f>
        <v>578.230566403264</v>
      </c>
      <c r="N109" s="57" t="n">
        <f aca="false">Channel_PL!N17*N13</f>
        <v>665.090165710455</v>
      </c>
      <c r="O109" s="57" t="n">
        <f aca="false">Channel_PL!O17*O13</f>
        <v>953.929420137018</v>
      </c>
      <c r="P109" s="57" t="n">
        <f aca="false">Channel_PL!P17*P13</f>
        <v>847.100416108057</v>
      </c>
      <c r="Q109" s="57" t="n">
        <f aca="false">Channel_PL!Q17*Q13</f>
        <v>536.723872657709</v>
      </c>
      <c r="R109" s="57" t="n">
        <f aca="false">Channel_PL!R17*R13</f>
        <v>507.62043949376</v>
      </c>
      <c r="S109" s="57" t="n">
        <f aca="false">Channel_PL!S17*S13</f>
        <v>580.615032463338</v>
      </c>
      <c r="T109" s="57" t="n">
        <f aca="false">Channel_PL!T17*T13</f>
        <v>609.993725000462</v>
      </c>
      <c r="U109" s="57" t="n">
        <f aca="false">Channel_PL!U17*U13</f>
        <v>653.529426184992</v>
      </c>
      <c r="V109" s="57" t="n">
        <f aca="false">Channel_PL!V17*V13</f>
        <v>644.108943336007</v>
      </c>
      <c r="W109" s="57" t="n">
        <f aca="false">Channel_PL!W17*W13</f>
        <v>620.404423958432</v>
      </c>
      <c r="X109" s="57" t="n">
        <f aca="false">Channel_PL!X17*X13</f>
        <v>616.753611530303</v>
      </c>
      <c r="Y109" s="57" t="n">
        <f aca="false">Channel_PL!Y17*Y13</f>
        <v>705.441291011981</v>
      </c>
      <c r="Z109" s="57" t="n">
        <f aca="false">Channel_PL!Z17*Z13</f>
        <v>811.410002166755</v>
      </c>
      <c r="AA109" s="57" t="n">
        <f aca="false">Channel_PL!AA17*AA13</f>
        <v>1163.79389256716</v>
      </c>
      <c r="AB109" s="57" t="n">
        <f aca="false">Channel_PL!AB17*AB13</f>
        <v>1033.46250765183</v>
      </c>
    </row>
    <row r="110" customFormat="false" ht="15" hidden="false" customHeight="true" outlineLevel="0" collapsed="false">
      <c r="A110" s="70" t="s">
        <v>312</v>
      </c>
      <c r="B110" s="71"/>
      <c r="C110" s="72" t="n">
        <f aca="false">SUM(E110:P110)</f>
        <v>334377.111723503</v>
      </c>
      <c r="D110" s="72" t="n">
        <f aca="false">SUM(Q110:AB110)</f>
        <v>434426.501771944</v>
      </c>
      <c r="E110" s="72" t="n">
        <f aca="false">E106+E107+E108+E109</f>
        <v>21390.5139514281</v>
      </c>
      <c r="F110" s="72" t="n">
        <f aca="false">F106+F107+F108+F109</f>
        <v>19437.8307361212</v>
      </c>
      <c r="G110" s="72" t="n">
        <f aca="false">G106+G107+G108+G109</f>
        <v>23052.7597407503</v>
      </c>
      <c r="H110" s="72" t="n">
        <f aca="false">H106+H107+H108+H109</f>
        <v>24060.4766780485</v>
      </c>
      <c r="I110" s="72" t="n">
        <f aca="false">I106+I107+I108+I109</f>
        <v>25670.2739844541</v>
      </c>
      <c r="J110" s="72" t="n">
        <f aca="false">J106+J107+J108+J109</f>
        <v>26143.0249117902</v>
      </c>
      <c r="K110" s="72" t="n">
        <f aca="false">K106+K107+K108+K109</f>
        <v>24208.3882077144</v>
      </c>
      <c r="L110" s="72" t="n">
        <f aca="false">L106+L107+L108+L109</f>
        <v>24184.1257118917</v>
      </c>
      <c r="M110" s="72" t="n">
        <f aca="false">M106+M107+M108+M109</f>
        <v>27449.542595995</v>
      </c>
      <c r="N110" s="72" t="n">
        <f aca="false">N106+N107+N108+N109</f>
        <v>31792.6165096628</v>
      </c>
      <c r="O110" s="72" t="n">
        <f aca="false">O106+O107+O108+O109</f>
        <v>45920.2488018029</v>
      </c>
      <c r="P110" s="72" t="n">
        <f aca="false">P106+P107+P108+P109</f>
        <v>41067.3098938438</v>
      </c>
      <c r="Q110" s="72" t="n">
        <f aca="false">Q106+Q107+Q108+Q109</f>
        <v>26207.001809003</v>
      </c>
      <c r="R110" s="72" t="n">
        <f aca="false">R106+R107+R108+R109</f>
        <v>24965.649107413</v>
      </c>
      <c r="S110" s="72" t="n">
        <f aca="false">S106+S107+S108+S109</f>
        <v>28764.8572049561</v>
      </c>
      <c r="T110" s="72" t="n">
        <f aca="false">T106+T107+T108+T109</f>
        <v>30444.0857179969</v>
      </c>
      <c r="U110" s="72" t="n">
        <f aca="false">U106+U107+U108+U109</f>
        <v>32860.9691060918</v>
      </c>
      <c r="V110" s="72" t="n">
        <f aca="false">V106+V107+V108+V109</f>
        <v>32632.2356416426</v>
      </c>
      <c r="W110" s="72" t="n">
        <f aca="false">W106+W107+W108+W109</f>
        <v>31671.5921445317</v>
      </c>
      <c r="X110" s="72" t="n">
        <f aca="false">X106+X107+X108+X109</f>
        <v>31728.5381877144</v>
      </c>
      <c r="Y110" s="72" t="n">
        <f aca="false">Y106+Y107+Y108+Y109</f>
        <v>36574.5546418325</v>
      </c>
      <c r="Z110" s="72" t="n">
        <f aca="false">Z106+Z107+Z108+Z109</f>
        <v>42400.9327638957</v>
      </c>
      <c r="AA110" s="72" t="n">
        <f aca="false">AA106+AA107+AA108+AA109</f>
        <v>61300.7390747659</v>
      </c>
      <c r="AB110" s="72" t="n">
        <f aca="false">AB106+AB107+AB108+AB109</f>
        <v>54875.3463721005</v>
      </c>
    </row>
    <row r="111" customFormat="false" ht="15" hidden="false" customHeight="true" outlineLevel="0" collapsed="false">
      <c r="A111" s="28" t="s">
        <v>659</v>
      </c>
      <c r="B111" s="55" t="s">
        <v>68</v>
      </c>
      <c r="C111" s="56" t="n">
        <f aca="false">SUM(E111:P111)</f>
        <v>-144107.001564466</v>
      </c>
      <c r="D111" s="56" t="n">
        <f aca="false">SUM(Q111:AB111)</f>
        <v>-190625.725921505</v>
      </c>
      <c r="E111" s="57" t="n">
        <f aca="false">-(Volume_Price!E57+Volume_Price!E97+Volume_Price!E137)</f>
        <v>-8920.96</v>
      </c>
      <c r="F111" s="57" t="n">
        <f aca="false">-(Volume_Price!F57+Volume_Price!F97+Volume_Price!F137)</f>
        <v>-8196.66</v>
      </c>
      <c r="G111" s="57" t="n">
        <f aca="false">-(Volume_Price!G57+Volume_Price!G97+Volume_Price!G137)</f>
        <v>-9695.45</v>
      </c>
      <c r="H111" s="57" t="n">
        <f aca="false">-(Volume_Price!H57+Volume_Price!H97+Volume_Price!H137)</f>
        <v>-10202.7</v>
      </c>
      <c r="I111" s="57" t="n">
        <f aca="false">-(Volume_Price!I57+Volume_Price!I97+Volume_Price!I137)</f>
        <v>-11033.1</v>
      </c>
      <c r="J111" s="57" t="n">
        <f aca="false">-(Volume_Price!J57+Volume_Price!J97+Volume_Price!J137)</f>
        <v>-11267.1</v>
      </c>
      <c r="K111" s="57" t="n">
        <f aca="false">-(Volume_Price!K57+Volume_Price!K97+Volume_Price!K137)</f>
        <v>-10370.36</v>
      </c>
      <c r="L111" s="57" t="n">
        <f aca="false">-(Volume_Price!L57+Volume_Price!L97+Volume_Price!L137)</f>
        <v>-10571.14</v>
      </c>
      <c r="M111" s="57" t="n">
        <f aca="false">-(Volume_Price!M57+Volume_Price!M97+Volume_Price!M137)</f>
        <v>-11974.2662243892</v>
      </c>
      <c r="N111" s="57" t="n">
        <f aca="false">-(Volume_Price!N57+Volume_Price!N97+Volume_Price!N137)</f>
        <v>-13876.5447259252</v>
      </c>
      <c r="O111" s="57" t="n">
        <f aca="false">-(Volume_Price!O57+Volume_Price!O97+Volume_Price!O137)</f>
        <v>-20054.0169077283</v>
      </c>
      <c r="P111" s="57" t="n">
        <f aca="false">-(Volume_Price!P57+Volume_Price!P97+Volume_Price!P137)</f>
        <v>-17944.7037064236</v>
      </c>
      <c r="Q111" s="57" t="n">
        <f aca="false">-(Volume_Price!Q57+Volume_Price!Q97+Volume_Price!Q137)</f>
        <v>-11457.7962340419</v>
      </c>
      <c r="R111" s="57" t="n">
        <f aca="false">-(Volume_Price!R57+Volume_Price!R97+Volume_Price!R137)</f>
        <v>-10921.220499457</v>
      </c>
      <c r="S111" s="57" t="n">
        <f aca="false">-(Volume_Price!S57+Volume_Price!S97+Volume_Price!S137)</f>
        <v>-12590.2960706354</v>
      </c>
      <c r="T111" s="57" t="n">
        <f aca="false">-(Volume_Price!T57+Volume_Price!T97+Volume_Price!T137)</f>
        <v>-13332.8479016186</v>
      </c>
      <c r="U111" s="57" t="n">
        <f aca="false">-(Volume_Price!U57+Volume_Price!U97+Volume_Price!U137)</f>
        <v>-14399.5027980411</v>
      </c>
      <c r="V111" s="57" t="n">
        <f aca="false">-(Volume_Price!V57+Volume_Price!V97+Volume_Price!V137)</f>
        <v>-14307.4416304121</v>
      </c>
      <c r="W111" s="57" t="n">
        <f aca="false">-(Volume_Price!W57+Volume_Price!W97+Volume_Price!W137)</f>
        <v>-13894.2136105454</v>
      </c>
      <c r="X111" s="57" t="n">
        <f aca="false">-(Volume_Price!X57+Volume_Price!X97+Volume_Price!X137)</f>
        <v>-13927.2049887579</v>
      </c>
      <c r="Y111" s="57" t="n">
        <f aca="false">-(Volume_Price!Y57+Volume_Price!Y97+Volume_Price!Y137)</f>
        <v>-16063.6302754462</v>
      </c>
      <c r="Z111" s="57" t="n">
        <f aca="false">-(Volume_Price!Z57+Volume_Price!Z97+Volume_Price!Z137)</f>
        <v>-18633.384459487</v>
      </c>
      <c r="AA111" s="57" t="n">
        <f aca="false">-(Volume_Price!AA57+Volume_Price!AA97+Volume_Price!AA137)</f>
        <v>-26954.7103962271</v>
      </c>
      <c r="AB111" s="57" t="n">
        <f aca="false">-(Volume_Price!AB57+Volume_Price!AB97+Volume_Price!AB137)</f>
        <v>-24143.4770568351</v>
      </c>
    </row>
    <row r="112" customFormat="false" ht="15" hidden="false" customHeight="true" outlineLevel="0" collapsed="false">
      <c r="A112" s="28" t="s">
        <v>739</v>
      </c>
      <c r="B112" s="55" t="s">
        <v>736</v>
      </c>
      <c r="C112" s="56" t="n">
        <f aca="false">SUM(E112:P112)</f>
        <v>6005.91738204438</v>
      </c>
      <c r="D112" s="56" t="n">
        <f aca="false">SUM(Q112:AB112)</f>
        <v>8111.82596203475</v>
      </c>
      <c r="E112" s="57" t="n">
        <f aca="false">Channel_PL!E21*E13+Channel_PL!E58*E18+Channel_PL!E92*E23</f>
        <v>352.331883377454</v>
      </c>
      <c r="F112" s="57" t="n">
        <f aca="false">Channel_PL!F21*F13+Channel_PL!F58*F18+Channel_PL!F92*F23</f>
        <v>327.043900724386</v>
      </c>
      <c r="G112" s="57" t="n">
        <f aca="false">Channel_PL!G21*G13+Channel_PL!G58*G18+Channel_PL!G92*G23</f>
        <v>420.563662272113</v>
      </c>
      <c r="H112" s="57" t="n">
        <f aca="false">Channel_PL!H21*H13+Channel_PL!H58*H18+Channel_PL!H92*H23</f>
        <v>382.196656364295</v>
      </c>
      <c r="I112" s="57" t="n">
        <f aca="false">Channel_PL!I21*I13+Channel_PL!I58*I18+Channel_PL!I92*I23</f>
        <v>442.857887543932</v>
      </c>
      <c r="J112" s="57" t="n">
        <f aca="false">Channel_PL!J21*J13+Channel_PL!J58*J18+Channel_PL!J92*J23</f>
        <v>515.021019653058</v>
      </c>
      <c r="K112" s="57" t="n">
        <f aca="false">Channel_PL!K21*K13+Channel_PL!K58*K18+Channel_PL!K92*K23</f>
        <v>419.416973328366</v>
      </c>
      <c r="L112" s="57" t="n">
        <f aca="false">Channel_PL!L21*L13+Channel_PL!L58*L18+Channel_PL!L92*L23</f>
        <v>449.110659647168</v>
      </c>
      <c r="M112" s="57" t="n">
        <f aca="false">Channel_PL!M21*M13+Channel_PL!M58*M18+Channel_PL!M92*M23</f>
        <v>505.205915283878</v>
      </c>
      <c r="N112" s="57" t="n">
        <f aca="false">Channel_PL!N21*N13+Channel_PL!N58*N18+Channel_PL!N92*N23</f>
        <v>585.910601843675</v>
      </c>
      <c r="O112" s="57" t="n">
        <f aca="false">Channel_PL!O21*O13+Channel_PL!O58*O18+Channel_PL!O92*O23</f>
        <v>847.396961704042</v>
      </c>
      <c r="P112" s="57" t="n">
        <f aca="false">Channel_PL!P21*P13+Channel_PL!P58*P18+Channel_PL!P92*P23</f>
        <v>758.861260302009</v>
      </c>
      <c r="Q112" s="57" t="n">
        <f aca="false">Channel_PL!Q21*Q13+Channel_PL!Q58*Q18+Channel_PL!Q92*Q23</f>
        <v>484.923075840048</v>
      </c>
      <c r="R112" s="57" t="n">
        <f aca="false">Channel_PL!R21*R13+Channel_PL!R58*R18+Channel_PL!R92*R23</f>
        <v>462.587339055423</v>
      </c>
      <c r="S112" s="57" t="n">
        <f aca="false">Channel_PL!S21*S13+Channel_PL!S58*S18+Channel_PL!S92*S23</f>
        <v>533.721261977614</v>
      </c>
      <c r="T112" s="57" t="n">
        <f aca="false">Channel_PL!T21*T13+Channel_PL!T58*T18+Channel_PL!T92*T23</f>
        <v>565.669425086938</v>
      </c>
      <c r="U112" s="57" t="n">
        <f aca="false">Channel_PL!U21*U13+Channel_PL!U58*U18+Channel_PL!U92*U23</f>
        <v>611.439875973176</v>
      </c>
      <c r="V112" s="57" t="n">
        <f aca="false">Channel_PL!V21*V13+Channel_PL!V58*V18+Channel_PL!V92*V23</f>
        <v>608.051022891644</v>
      </c>
      <c r="W112" s="57" t="n">
        <f aca="false">Channel_PL!W21*W13+Channel_PL!W58*W18+Channel_PL!W92*W23</f>
        <v>591.002232192173</v>
      </c>
      <c r="X112" s="57" t="n">
        <f aca="false">Channel_PL!X21*X13+Channel_PL!X58*X18+Channel_PL!X92*X23</f>
        <v>592.927492664015</v>
      </c>
      <c r="Y112" s="57" t="n">
        <f aca="false">Channel_PL!Y21*Y13+Channel_PL!Y58*Y18+Channel_PL!Y92*Y23</f>
        <v>684.493266310388</v>
      </c>
      <c r="Z112" s="57" t="n">
        <f aca="false">Channel_PL!Z21*Z13+Channel_PL!Z58*Z18+Channel_PL!Z92*Z23</f>
        <v>794.713336062844</v>
      </c>
      <c r="AA112" s="57" t="n">
        <f aca="false">Channel_PL!AA21*AA13+Channel_PL!AA58*AA18+Channel_PL!AA92*AA23</f>
        <v>1150.67357819867</v>
      </c>
      <c r="AB112" s="57" t="n">
        <f aca="false">Channel_PL!AB21*AB13+Channel_PL!AB58*AB18+Channel_PL!AB92*AB23</f>
        <v>1031.62405578181</v>
      </c>
    </row>
    <row r="113" customFormat="false" ht="15" hidden="false" customHeight="true" outlineLevel="0" collapsed="false">
      <c r="A113" s="70" t="s">
        <v>662</v>
      </c>
      <c r="B113" s="71"/>
      <c r="C113" s="72" t="n">
        <f aca="false">SUM(E113:P113)</f>
        <v>-138101.084182422</v>
      </c>
      <c r="D113" s="72" t="n">
        <f aca="false">SUM(Q113:AB113)</f>
        <v>-182513.89995947</v>
      </c>
      <c r="E113" s="72" t="n">
        <f aca="false">E111+E112</f>
        <v>-8568.62811662255</v>
      </c>
      <c r="F113" s="72" t="n">
        <f aca="false">F111+F112</f>
        <v>-7869.61609927561</v>
      </c>
      <c r="G113" s="72" t="n">
        <f aca="false">G111+G112</f>
        <v>-9274.88633772789</v>
      </c>
      <c r="H113" s="72" t="n">
        <f aca="false">H111+H112</f>
        <v>-9820.50334363571</v>
      </c>
      <c r="I113" s="72" t="n">
        <f aca="false">I111+I112</f>
        <v>-10590.2421124561</v>
      </c>
      <c r="J113" s="72" t="n">
        <f aca="false">J111+J112</f>
        <v>-10752.0789803469</v>
      </c>
      <c r="K113" s="72" t="n">
        <f aca="false">K111+K112</f>
        <v>-9950.94302667163</v>
      </c>
      <c r="L113" s="72" t="n">
        <f aca="false">L111+L112</f>
        <v>-10122.0293403528</v>
      </c>
      <c r="M113" s="72" t="n">
        <f aca="false">M111+M112</f>
        <v>-11469.0603091053</v>
      </c>
      <c r="N113" s="72" t="n">
        <f aca="false">N111+N112</f>
        <v>-13290.6341240815</v>
      </c>
      <c r="O113" s="72" t="n">
        <f aca="false">O111+O112</f>
        <v>-19206.6199460242</v>
      </c>
      <c r="P113" s="72" t="n">
        <f aca="false">P111+P112</f>
        <v>-17185.8424461216</v>
      </c>
      <c r="Q113" s="72" t="n">
        <f aca="false">Q111+Q112</f>
        <v>-10972.8731582018</v>
      </c>
      <c r="R113" s="72" t="n">
        <f aca="false">R111+R112</f>
        <v>-10458.6331604015</v>
      </c>
      <c r="S113" s="72" t="n">
        <f aca="false">S111+S112</f>
        <v>-12056.5748086578</v>
      </c>
      <c r="T113" s="72" t="n">
        <f aca="false">T111+T112</f>
        <v>-12767.1784765317</v>
      </c>
      <c r="U113" s="72" t="n">
        <f aca="false">U111+U112</f>
        <v>-13788.062922068</v>
      </c>
      <c r="V113" s="72" t="n">
        <f aca="false">V111+V112</f>
        <v>-13699.3906075204</v>
      </c>
      <c r="W113" s="72" t="n">
        <f aca="false">W111+W112</f>
        <v>-13303.2113783532</v>
      </c>
      <c r="X113" s="72" t="n">
        <f aca="false">X111+X112</f>
        <v>-13334.2774960939</v>
      </c>
      <c r="Y113" s="72" t="n">
        <f aca="false">Y111+Y112</f>
        <v>-15379.1370091358</v>
      </c>
      <c r="Z113" s="72" t="n">
        <f aca="false">Z111+Z112</f>
        <v>-17838.6711234241</v>
      </c>
      <c r="AA113" s="72" t="n">
        <f aca="false">AA111+AA112</f>
        <v>-25804.0368180284</v>
      </c>
      <c r="AB113" s="72" t="n">
        <f aca="false">AB111+AB112</f>
        <v>-23111.8530010533</v>
      </c>
    </row>
    <row r="114" customFormat="false" ht="15" hidden="false" customHeight="true" outlineLevel="0" collapsed="false">
      <c r="A114" s="70" t="s">
        <v>319</v>
      </c>
      <c r="B114" s="71"/>
      <c r="C114" s="72" t="n">
        <f aca="false">SUM(E114:P114)</f>
        <v>196276.027541081</v>
      </c>
      <c r="D114" s="72" t="n">
        <f aca="false">SUM(Q114:AB114)</f>
        <v>251912.601812474</v>
      </c>
      <c r="E114" s="72" t="n">
        <f aca="false">E110+E113</f>
        <v>12821.8858348056</v>
      </c>
      <c r="F114" s="72" t="n">
        <f aca="false">F110+F113</f>
        <v>11568.2146368455</v>
      </c>
      <c r="G114" s="72" t="n">
        <f aca="false">G110+G113</f>
        <v>13777.8734030224</v>
      </c>
      <c r="H114" s="72" t="n">
        <f aca="false">H110+H113</f>
        <v>14239.9733344128</v>
      </c>
      <c r="I114" s="72" t="n">
        <f aca="false">I110+I113</f>
        <v>15080.031871998</v>
      </c>
      <c r="J114" s="72" t="n">
        <f aca="false">J110+J113</f>
        <v>15390.9459314433</v>
      </c>
      <c r="K114" s="72" t="n">
        <f aca="false">K110+K113</f>
        <v>14257.4451810428</v>
      </c>
      <c r="L114" s="72" t="n">
        <f aca="false">L110+L113</f>
        <v>14062.0963715389</v>
      </c>
      <c r="M114" s="72" t="n">
        <f aca="false">M110+M113</f>
        <v>15980.4822868897</v>
      </c>
      <c r="N114" s="72" t="n">
        <f aca="false">N110+N113</f>
        <v>18501.9823855814</v>
      </c>
      <c r="O114" s="72" t="n">
        <f aca="false">O110+O113</f>
        <v>26713.6288557787</v>
      </c>
      <c r="P114" s="72" t="n">
        <f aca="false">P110+P113</f>
        <v>23881.4674477222</v>
      </c>
      <c r="Q114" s="72" t="n">
        <f aca="false">Q110+Q113</f>
        <v>15234.1286508012</v>
      </c>
      <c r="R114" s="72" t="n">
        <f aca="false">R110+R113</f>
        <v>14507.0159470115</v>
      </c>
      <c r="S114" s="72" t="n">
        <f aca="false">S110+S113</f>
        <v>16708.2823962982</v>
      </c>
      <c r="T114" s="72" t="n">
        <f aca="false">T110+T113</f>
        <v>17676.9072414652</v>
      </c>
      <c r="U114" s="72" t="n">
        <f aca="false">U110+U113</f>
        <v>19072.9061840239</v>
      </c>
      <c r="V114" s="72" t="n">
        <f aca="false">V110+V113</f>
        <v>18932.8450341222</v>
      </c>
      <c r="W114" s="72" t="n">
        <f aca="false">W110+W113</f>
        <v>18368.3807661785</v>
      </c>
      <c r="X114" s="72" t="n">
        <f aca="false">X110+X113</f>
        <v>18394.2606916205</v>
      </c>
      <c r="Y114" s="72" t="n">
        <f aca="false">Y110+Y113</f>
        <v>21195.4176326967</v>
      </c>
      <c r="Z114" s="72" t="n">
        <f aca="false">Z110+Z113</f>
        <v>24562.2616404715</v>
      </c>
      <c r="AA114" s="72" t="n">
        <f aca="false">AA110+AA113</f>
        <v>35496.7022567375</v>
      </c>
      <c r="AB114" s="72" t="n">
        <f aca="false">AB110+AB113</f>
        <v>31763.4933710472</v>
      </c>
    </row>
    <row r="115" customFormat="false" ht="15" hidden="false" customHeight="true" outlineLevel="0" collapsed="false">
      <c r="A115" s="28" t="s">
        <v>269</v>
      </c>
      <c r="B115" s="55"/>
      <c r="C115" s="59" t="n">
        <f aca="false">IF(C110=0,0,C114/C110)</f>
        <v>0.586990020128477</v>
      </c>
      <c r="D115" s="59" t="n">
        <f aca="false">IF(D110=0,0,D114/D110)</f>
        <v>0.579873927545787</v>
      </c>
      <c r="E115" s="58" t="n">
        <f aca="false">IF(E110=0,0,E114/E110)</f>
        <v>0.599419250230289</v>
      </c>
      <c r="F115" s="58" t="n">
        <f aca="false">IF(F110=0,0,F114/F110)</f>
        <v>0.595139179566392</v>
      </c>
      <c r="G115" s="58" t="n">
        <f aca="false">IF(G110=0,0,G114/G110)</f>
        <v>0.597666984689357</v>
      </c>
      <c r="H115" s="58" t="n">
        <f aca="false">IF(H110=0,0,H114/H110)</f>
        <v>0.591840865206324</v>
      </c>
      <c r="I115" s="58" t="n">
        <f aca="false">IF(I110=0,0,I114/I110)</f>
        <v>0.587451146066087</v>
      </c>
      <c r="J115" s="58" t="n">
        <f aca="false">IF(J110=0,0,J114/J110)</f>
        <v>0.588720929707799</v>
      </c>
      <c r="K115" s="58" t="n">
        <f aca="false">IF(K110=0,0,K114/K110)</f>
        <v>0.588946486594238</v>
      </c>
      <c r="L115" s="58" t="n">
        <f aca="false">IF(L110=0,0,L114/L110)</f>
        <v>0.581459778164498</v>
      </c>
      <c r="M115" s="58" t="n">
        <f aca="false">IF(M110=0,0,M114/M110)</f>
        <v>0.582176633035091</v>
      </c>
      <c r="N115" s="58" t="n">
        <f aca="false">IF(N110=0,0,N114/N110)</f>
        <v>0.581958467619612</v>
      </c>
      <c r="O115" s="58" t="n">
        <f aca="false">IF(O110=0,0,O114/O110)</f>
        <v>0.581739636714029</v>
      </c>
      <c r="P115" s="58" t="n">
        <f aca="false">IF(P110=0,0,P114/P110)</f>
        <v>0.581520131448935</v>
      </c>
      <c r="Q115" s="58" t="n">
        <f aca="false">IF(Q110=0,0,Q114/Q110)</f>
        <v>0.58129994273392</v>
      </c>
      <c r="R115" s="58" t="n">
        <f aca="false">IF(R110=0,0,R114/R110)</f>
        <v>0.581079061257171</v>
      </c>
      <c r="S115" s="58" t="n">
        <f aca="false">IF(S110=0,0,S114/S110)</f>
        <v>0.580857477485391</v>
      </c>
      <c r="T115" s="58" t="n">
        <f aca="false">IF(T110=0,0,T114/T110)</f>
        <v>0.580635181664056</v>
      </c>
      <c r="U115" s="58" t="n">
        <f aca="false">IF(U110=0,0,U114/U110)</f>
        <v>0.58041216381802</v>
      </c>
      <c r="V115" s="58" t="n">
        <f aca="false">IF(V110=0,0,V114/V110)</f>
        <v>0.580188413752493</v>
      </c>
      <c r="W115" s="58" t="n">
        <f aca="false">IF(W110=0,0,W114/W110)</f>
        <v>0.579963921054405</v>
      </c>
      <c r="X115" s="58" t="n">
        <f aca="false">IF(X110=0,0,X114/X110)</f>
        <v>0.579738675094176</v>
      </c>
      <c r="Y115" s="58" t="n">
        <f aca="false">IF(Y110=0,0,Y114/Y110)</f>
        <v>0.579512665027894</v>
      </c>
      <c r="Z115" s="58" t="n">
        <f aca="false">IF(Z110=0,0,Z114/Z110)</f>
        <v>0.579285879799943</v>
      </c>
      <c r="AA115" s="58" t="n">
        <f aca="false">IF(AA110=0,0,AA114/AA110)</f>
        <v>0.579058308146068</v>
      </c>
      <c r="AB115" s="58" t="n">
        <f aca="false">IF(AB110=0,0,AB114/AB110)</f>
        <v>0.578829938596912</v>
      </c>
    </row>
    <row r="116" customFormat="false" ht="15" hidden="false" customHeight="true" outlineLevel="0" collapsed="false">
      <c r="A116" s="28" t="s">
        <v>740</v>
      </c>
      <c r="B116" s="55" t="s">
        <v>736</v>
      </c>
      <c r="C116" s="56" t="n">
        <f aca="false">SUM(E116:P116)</f>
        <v>-77048.7050418106</v>
      </c>
      <c r="D116" s="56" t="n">
        <f aca="false">SUM(Q116:AB116)</f>
        <v>-100137.566251802</v>
      </c>
      <c r="E116" s="57" t="n">
        <f aca="false">Channel_PL!E28*E13+Channel_PL!E66*E18+Channel_PL!E99*E23</f>
        <v>-4851.11831947498</v>
      </c>
      <c r="F116" s="57" t="n">
        <f aca="false">Channel_PL!F28*F13+Channel_PL!F66*F18+Channel_PL!F99*F23</f>
        <v>-4325.95132743774</v>
      </c>
      <c r="G116" s="57" t="n">
        <f aca="false">Channel_PL!G28*G13+Channel_PL!G66*G18+Channel_PL!G99*G23</f>
        <v>-5152.50829776889</v>
      </c>
      <c r="H116" s="57" t="n">
        <f aca="false">Channel_PL!H28*H13+Channel_PL!H66*H18+Channel_PL!H99*H23</f>
        <v>-5422.12943110776</v>
      </c>
      <c r="I116" s="57" t="n">
        <f aca="false">Channel_PL!I28*I13+Channel_PL!I66*I18+Channel_PL!I99*I23</f>
        <v>-5742.38382226644</v>
      </c>
      <c r="J116" s="57" t="n">
        <f aca="false">Channel_PL!J28*J13+Channel_PL!J66*J18+Channel_PL!J99*J23</f>
        <v>-6140.18309778968</v>
      </c>
      <c r="K116" s="57" t="n">
        <f aca="false">Channel_PL!K28*K13+Channel_PL!K66*K18+Channel_PL!K99*K23</f>
        <v>-5523.50287581366</v>
      </c>
      <c r="L116" s="57" t="n">
        <f aca="false">Channel_PL!L28*L13+Channel_PL!L66*L18+Channel_PL!L99*L23</f>
        <v>-5510.470014975</v>
      </c>
      <c r="M116" s="57" t="n">
        <f aca="false">Channel_PL!M28*M13+Channel_PL!M66*M18+Channel_PL!M99*M23</f>
        <v>-6254.99154499742</v>
      </c>
      <c r="N116" s="57" t="n">
        <f aca="false">Channel_PL!N28*N13+Channel_PL!N66*N18+Channel_PL!N99*N23</f>
        <v>-7531.13259039335</v>
      </c>
      <c r="O116" s="57" t="n">
        <f aca="false">Channel_PL!O28*O13+Channel_PL!O66*O18+Channel_PL!O99*O23</f>
        <v>-10873.5559906076</v>
      </c>
      <c r="P116" s="57" t="n">
        <f aca="false">Channel_PL!P28*P13+Channel_PL!P66*P18+Channel_PL!P99*P23</f>
        <v>-9720.7777291781</v>
      </c>
      <c r="Q116" s="57" t="n">
        <f aca="false">Channel_PL!Q28*Q13+Channel_PL!Q66*Q18+Channel_PL!Q99*Q23</f>
        <v>-5965.32606059064</v>
      </c>
      <c r="R116" s="57" t="n">
        <f aca="false">Channel_PL!R28*R13+Channel_PL!R66*R18+Channel_PL!R99*R23</f>
        <v>-5681.38767218259</v>
      </c>
      <c r="S116" s="57" t="n">
        <f aca="false">Channel_PL!S28*S13+Channel_PL!S66*S18+Channel_PL!S99*S23</f>
        <v>-6544.46174304444</v>
      </c>
      <c r="T116" s="57" t="n">
        <f aca="false">Channel_PL!T28*T13+Channel_PL!T66*T18+Channel_PL!T99*T23</f>
        <v>-6925.0077407493</v>
      </c>
      <c r="U116" s="57" t="n">
        <f aca="false">Channel_PL!U28*U13+Channel_PL!U66*U18+Channel_PL!U99*U23</f>
        <v>-7473.23794308015</v>
      </c>
      <c r="V116" s="57" t="n">
        <f aca="false">Channel_PL!V28*V13+Channel_PL!V66*V18+Channel_PL!V99*V23</f>
        <v>-7419.79518348861</v>
      </c>
      <c r="W116" s="57" t="n">
        <f aca="false">Channel_PL!W28*W13+Channel_PL!W66*W18+Channel_PL!W99*W23</f>
        <v>-7200.07779250496</v>
      </c>
      <c r="X116" s="57" t="n">
        <f aca="false">Channel_PL!X28*X13+Channel_PL!X66*X18+Channel_PL!X99*X23</f>
        <v>-7211.82442124596</v>
      </c>
      <c r="Y116" s="57" t="n">
        <f aca="false">Channel_PL!Y28*Y13+Channel_PL!Y66*Y18+Channel_PL!Y99*Y23</f>
        <v>-8312.03811198438</v>
      </c>
      <c r="Z116" s="57" t="n">
        <f aca="false">Channel_PL!Z28*Z13+Channel_PL!Z66*Z18+Channel_PL!Z99*Z23</f>
        <v>-10004.1963825925</v>
      </c>
      <c r="AA116" s="57" t="n">
        <f aca="false">Channel_PL!AA28*AA13+Channel_PL!AA66*AA18+Channel_PL!AA99*AA23</f>
        <v>-14459.5888863598</v>
      </c>
      <c r="AB116" s="57" t="n">
        <f aca="false">Channel_PL!AB28*AB13+Channel_PL!AB66*AB18+Channel_PL!AB99*AB23</f>
        <v>-12940.6243139786</v>
      </c>
    </row>
    <row r="117" customFormat="false" ht="15" hidden="false" customHeight="true" outlineLevel="0" collapsed="false">
      <c r="A117" s="70" t="s">
        <v>324</v>
      </c>
      <c r="B117" s="71"/>
      <c r="C117" s="72" t="n">
        <f aca="false">SUM(E117:P117)</f>
        <v>119227.322499271</v>
      </c>
      <c r="D117" s="72" t="n">
        <f aca="false">SUM(Q117:AB117)</f>
        <v>151775.035560672</v>
      </c>
      <c r="E117" s="72" t="n">
        <f aca="false">E114+E116</f>
        <v>7970.7675153306</v>
      </c>
      <c r="F117" s="72" t="n">
        <f aca="false">F114+F116</f>
        <v>7242.26330940779</v>
      </c>
      <c r="G117" s="72" t="n">
        <f aca="false">G114+G116</f>
        <v>8625.36510525355</v>
      </c>
      <c r="H117" s="72" t="n">
        <f aca="false">H114+H116</f>
        <v>8817.84390330503</v>
      </c>
      <c r="I117" s="72" t="n">
        <f aca="false">I114+I116</f>
        <v>9337.64804973155</v>
      </c>
      <c r="J117" s="72" t="n">
        <f aca="false">J114+J116</f>
        <v>9250.76283365363</v>
      </c>
      <c r="K117" s="72" t="n">
        <f aca="false">K114+K116</f>
        <v>8733.94230522916</v>
      </c>
      <c r="L117" s="72" t="n">
        <f aca="false">L114+L116</f>
        <v>8551.62635656388</v>
      </c>
      <c r="M117" s="72" t="n">
        <f aca="false">M114+M116</f>
        <v>9725.49074189227</v>
      </c>
      <c r="N117" s="72" t="n">
        <f aca="false">N114+N116</f>
        <v>10970.849795188</v>
      </c>
      <c r="O117" s="72" t="n">
        <f aca="false">O114+O116</f>
        <v>15840.0728651711</v>
      </c>
      <c r="P117" s="72" t="n">
        <f aca="false">P114+P116</f>
        <v>14160.6897185441</v>
      </c>
      <c r="Q117" s="72" t="n">
        <f aca="false">Q114+Q116</f>
        <v>9268.80259021053</v>
      </c>
      <c r="R117" s="72" t="n">
        <f aca="false">R114+R116</f>
        <v>8825.62827482888</v>
      </c>
      <c r="S117" s="72" t="n">
        <f aca="false">S114+S116</f>
        <v>10163.8206532538</v>
      </c>
      <c r="T117" s="72" t="n">
        <f aca="false">T114+T116</f>
        <v>10751.8995007159</v>
      </c>
      <c r="U117" s="72" t="n">
        <f aca="false">U114+U116</f>
        <v>11599.6682409437</v>
      </c>
      <c r="V117" s="72" t="n">
        <f aca="false">V114+V116</f>
        <v>11513.0498506336</v>
      </c>
      <c r="W117" s="72" t="n">
        <f aca="false">W114+W116</f>
        <v>11168.3029736735</v>
      </c>
      <c r="X117" s="72" t="n">
        <f aca="false">X114+X116</f>
        <v>11182.4362703745</v>
      </c>
      <c r="Y117" s="72" t="n">
        <f aca="false">Y114+Y116</f>
        <v>12883.3795207123</v>
      </c>
      <c r="Z117" s="72" t="n">
        <f aca="false">Z114+Z116</f>
        <v>14558.065257879</v>
      </c>
      <c r="AA117" s="72" t="n">
        <f aca="false">AA114+AA116</f>
        <v>21037.1133703777</v>
      </c>
      <c r="AB117" s="72" t="n">
        <f aca="false">AB114+AB116</f>
        <v>18822.8690570687</v>
      </c>
    </row>
    <row r="118" customFormat="false" ht="15" hidden="false" customHeight="true" outlineLevel="0" collapsed="false">
      <c r="A118" s="28" t="s">
        <v>741</v>
      </c>
      <c r="B118" s="55" t="s">
        <v>736</v>
      </c>
      <c r="C118" s="56" t="n">
        <f aca="false">SUM(E118:P118)</f>
        <v>-47147.6495720939</v>
      </c>
      <c r="D118" s="56" t="n">
        <f aca="false">SUM(Q118:AB118)</f>
        <v>-60946.3611714014</v>
      </c>
      <c r="E118" s="57" t="n">
        <f aca="false">Channel_PL!E33*E13+Channel_PL!E69*E18+Channel_PL!E102*E23</f>
        <v>-2704.02431132273</v>
      </c>
      <c r="F118" s="57" t="n">
        <f aca="false">Channel_PL!F33*F13+Channel_PL!F69*F18+Channel_PL!F102*F23</f>
        <v>-2623.61694042404</v>
      </c>
      <c r="G118" s="57" t="n">
        <f aca="false">Channel_PL!G33*G13+Channel_PL!G69*G18+Channel_PL!G102*G23</f>
        <v>-3290.22383262456</v>
      </c>
      <c r="H118" s="57" t="n">
        <f aca="false">Channel_PL!H33*H13+Channel_PL!H69*H18+Channel_PL!H102*H23</f>
        <v>-3344.11622804461</v>
      </c>
      <c r="I118" s="57" t="n">
        <f aca="false">Channel_PL!I33*I13+Channel_PL!I69*I18+Channel_PL!I102*I23</f>
        <v>-3575.57715364431</v>
      </c>
      <c r="J118" s="57" t="n">
        <f aca="false">Channel_PL!J33*J13+Channel_PL!J69*J18+Channel_PL!J102*J23</f>
        <v>-3734.3460737599</v>
      </c>
      <c r="K118" s="57" t="n">
        <f aca="false">Channel_PL!K33*K13+Channel_PL!K69*K18+Channel_PL!K102*K23</f>
        <v>-3586.21601296327</v>
      </c>
      <c r="L118" s="57" t="n">
        <f aca="false">Channel_PL!L33*L13+Channel_PL!L69*L18+Channel_PL!L102*L23</f>
        <v>-3597.67948361477</v>
      </c>
      <c r="M118" s="57" t="n">
        <f aca="false">Channel_PL!M33*M13+Channel_PL!M69*M18+Channel_PL!M102*M23</f>
        <v>-3890.41402156168</v>
      </c>
      <c r="N118" s="57" t="n">
        <f aca="false">Channel_PL!N33*N13+Channel_PL!N69*N18+Channel_PL!N102*N23</f>
        <v>-4501.69380965728</v>
      </c>
      <c r="O118" s="57" t="n">
        <f aca="false">Channel_PL!O33*O13+Channel_PL!O69*O18+Channel_PL!O102*O23</f>
        <v>-6495.90856016305</v>
      </c>
      <c r="P118" s="57" t="n">
        <f aca="false">Channel_PL!P33*P13+Channel_PL!P69*P18+Channel_PL!P102*P23</f>
        <v>-5803.8331443137</v>
      </c>
      <c r="Q118" s="57" t="n">
        <f aca="false">Channel_PL!Q33*Q13+Channel_PL!Q69*Q18+Channel_PL!Q102*Q23</f>
        <v>-3700.1214776211</v>
      </c>
      <c r="R118" s="57" t="n">
        <f aca="false">Channel_PL!R33*R13+Channel_PL!R69*R18+Channel_PL!R102*R23</f>
        <v>-3521.42515530313</v>
      </c>
      <c r="S118" s="57" t="n">
        <f aca="false">Channel_PL!S33*S13+Channel_PL!S69*S18+Channel_PL!S102*S23</f>
        <v>-4053.32794036641</v>
      </c>
      <c r="T118" s="57" t="n">
        <f aca="false">Channel_PL!T33*T13+Channel_PL!T69*T18+Channel_PL!T102*T23</f>
        <v>-4285.71541510987</v>
      </c>
      <c r="U118" s="57" t="n">
        <f aca="false">Channel_PL!U33*U13+Channel_PL!U69*U18+Channel_PL!U102*U23</f>
        <v>-4621.34698337555</v>
      </c>
      <c r="V118" s="57" t="n">
        <f aca="false">Channel_PL!V33*V13+Channel_PL!V69*V18+Channel_PL!V102*V23</f>
        <v>-4584.58251552973</v>
      </c>
      <c r="W118" s="57" t="n">
        <f aca="false">Channel_PL!W33*W13+Channel_PL!W69*W18+Channel_PL!W102*W23</f>
        <v>-4445.1308290401</v>
      </c>
      <c r="X118" s="57" t="n">
        <f aca="false">Channel_PL!X33*X13+Channel_PL!X69*X18+Channel_PL!X102*X23</f>
        <v>-4448.59970593878</v>
      </c>
      <c r="Y118" s="57" t="n">
        <f aca="false">Channel_PL!Y33*Y13+Channel_PL!Y69*Y18+Channel_PL!Y102*Y23</f>
        <v>-5122.80530781292</v>
      </c>
      <c r="Z118" s="57" t="n">
        <f aca="false">Channel_PL!Z33*Z13+Channel_PL!Z69*Z18+Channel_PL!Z102*Z23</f>
        <v>-5932.75861756885</v>
      </c>
      <c r="AA118" s="57" t="n">
        <f aca="false">Channel_PL!AA33*AA13+Channel_PL!AA69*AA18+Channel_PL!AA102*AA23</f>
        <v>-8568.3336447667</v>
      </c>
      <c r="AB118" s="57" t="n">
        <f aca="false">Channel_PL!AB33*AB13+Channel_PL!AB69*AB18+Channel_PL!AB102*AB23</f>
        <v>-7662.21357896828</v>
      </c>
    </row>
    <row r="119" customFormat="false" ht="15" hidden="false" customHeight="true" outlineLevel="0" collapsed="false">
      <c r="A119" s="70" t="s">
        <v>330</v>
      </c>
      <c r="B119" s="71"/>
      <c r="C119" s="72" t="n">
        <f aca="false">SUM(E119:P119)</f>
        <v>72079.6729271768</v>
      </c>
      <c r="D119" s="72" t="n">
        <f aca="false">SUM(Q119:AB119)</f>
        <v>90828.6743892707</v>
      </c>
      <c r="E119" s="72" t="n">
        <f aca="false">E117+E118</f>
        <v>5266.74320400787</v>
      </c>
      <c r="F119" s="72" t="n">
        <f aca="false">F117+F118</f>
        <v>4618.64636898375</v>
      </c>
      <c r="G119" s="72" t="n">
        <f aca="false">G117+G118</f>
        <v>5335.14127262899</v>
      </c>
      <c r="H119" s="72" t="n">
        <f aca="false">H117+H118</f>
        <v>5473.72767526043</v>
      </c>
      <c r="I119" s="72" t="n">
        <f aca="false">I117+I118</f>
        <v>5762.07089608724</v>
      </c>
      <c r="J119" s="72" t="n">
        <f aca="false">J117+J118</f>
        <v>5516.41675989372</v>
      </c>
      <c r="K119" s="72" t="n">
        <f aca="false">K117+K118</f>
        <v>5147.72629226588</v>
      </c>
      <c r="L119" s="72" t="n">
        <f aca="false">L117+L118</f>
        <v>4953.94687294911</v>
      </c>
      <c r="M119" s="72" t="n">
        <f aca="false">M117+M118</f>
        <v>5835.07672033059</v>
      </c>
      <c r="N119" s="72" t="n">
        <f aca="false">N117+N118</f>
        <v>6469.15598553072</v>
      </c>
      <c r="O119" s="72" t="n">
        <f aca="false">O117+O118</f>
        <v>9344.16430500807</v>
      </c>
      <c r="P119" s="72" t="n">
        <f aca="false">P117+P118</f>
        <v>8356.85657423043</v>
      </c>
      <c r="Q119" s="72" t="n">
        <f aca="false">Q117+Q118</f>
        <v>5568.68111258943</v>
      </c>
      <c r="R119" s="72" t="n">
        <f aca="false">R117+R118</f>
        <v>5304.20311952575</v>
      </c>
      <c r="S119" s="72" t="n">
        <f aca="false">S117+S118</f>
        <v>6110.4927128874</v>
      </c>
      <c r="T119" s="72" t="n">
        <f aca="false">T117+T118</f>
        <v>6466.18408560604</v>
      </c>
      <c r="U119" s="72" t="n">
        <f aca="false">U117+U118</f>
        <v>6978.32125756816</v>
      </c>
      <c r="V119" s="72" t="n">
        <f aca="false">V117+V118</f>
        <v>6928.46733510383</v>
      </c>
      <c r="W119" s="72" t="n">
        <f aca="false">W117+W118</f>
        <v>6723.1721446334</v>
      </c>
      <c r="X119" s="72" t="n">
        <f aca="false">X117+X118</f>
        <v>6733.83656443575</v>
      </c>
      <c r="Y119" s="72" t="n">
        <f aca="false">Y117+Y118</f>
        <v>7760.57421289938</v>
      </c>
      <c r="Z119" s="72" t="n">
        <f aca="false">Z117+Z118</f>
        <v>8625.30664031018</v>
      </c>
      <c r="AA119" s="72" t="n">
        <f aca="false">AA117+AA118</f>
        <v>12468.779725611</v>
      </c>
      <c r="AB119" s="72" t="n">
        <f aca="false">AB117+AB118</f>
        <v>11160.6554781004</v>
      </c>
    </row>
    <row r="120" customFormat="false" ht="15" hidden="false" customHeight="true" outlineLevel="0" collapsed="false">
      <c r="A120" s="28" t="s">
        <v>271</v>
      </c>
      <c r="B120" s="55"/>
      <c r="C120" s="59" t="n">
        <f aca="false">IF(C110=0,0,C119/C110)</f>
        <v>0.215564015597992</v>
      </c>
      <c r="D120" s="59" t="n">
        <f aca="false">IF(D110=0,0,D119/D110)</f>
        <v>0.209077194919734</v>
      </c>
      <c r="E120" s="58" t="n">
        <f aca="false">IF(E110=0,0,E119/E110)</f>
        <v>0.246218637661871</v>
      </c>
      <c r="F120" s="58" t="n">
        <f aca="false">IF(F110=0,0,F119/F110)</f>
        <v>0.237611204237979</v>
      </c>
      <c r="G120" s="58" t="n">
        <f aca="false">IF(G110=0,0,G119/G110)</f>
        <v>0.231431782251999</v>
      </c>
      <c r="H120" s="58" t="n">
        <f aca="false">IF(H110=0,0,H119/H110)</f>
        <v>0.227498721180963</v>
      </c>
      <c r="I120" s="58" t="n">
        <f aca="false">IF(I110=0,0,I119/I110)</f>
        <v>0.224464721318392</v>
      </c>
      <c r="J120" s="58" t="n">
        <f aca="false">IF(J110=0,0,J119/J110)</f>
        <v>0.211009123026382</v>
      </c>
      <c r="K120" s="58" t="n">
        <f aca="false">IF(K110=0,0,K119/K110)</f>
        <v>0.212642256398774</v>
      </c>
      <c r="L120" s="58" t="n">
        <f aca="false">IF(L110=0,0,L119/L110)</f>
        <v>0.204842917704202</v>
      </c>
      <c r="M120" s="58" t="n">
        <f aca="false">IF(M110=0,0,M119/M110)</f>
        <v>0.212574643090116</v>
      </c>
      <c r="N120" s="58" t="n">
        <f aca="false">IF(N110=0,0,N119/N110)</f>
        <v>0.203479823171035</v>
      </c>
      <c r="O120" s="58" t="n">
        <f aca="false">IF(O110=0,0,O119/O110)</f>
        <v>0.203486796104668</v>
      </c>
      <c r="P120" s="58" t="n">
        <f aca="false">IF(P110=0,0,P119/P110)</f>
        <v>0.20349169682242</v>
      </c>
      <c r="Q120" s="58" t="n">
        <f aca="false">IF(Q110=0,0,Q119/Q110)</f>
        <v>0.212488294280058</v>
      </c>
      <c r="R120" s="58" t="n">
        <f aca="false">IF(R110=0,0,R119/R110)</f>
        <v>0.212460052478699</v>
      </c>
      <c r="S120" s="58" t="n">
        <f aca="false">IF(S110=0,0,S119/S110)</f>
        <v>0.212429099485833</v>
      </c>
      <c r="T120" s="58" t="n">
        <f aca="false">IF(T110=0,0,T119/T110)</f>
        <v>0.21239541057341</v>
      </c>
      <c r="U120" s="58" t="n">
        <f aca="false">IF(U110=0,0,U119/U110)</f>
        <v>0.212358961022684</v>
      </c>
      <c r="V120" s="58" t="n">
        <f aca="false">IF(V110=0,0,V119/V110)</f>
        <v>0.212319726150245</v>
      </c>
      <c r="W120" s="58" t="n">
        <f aca="false">IF(W110=0,0,W119/W110)</f>
        <v>0.21227768133514</v>
      </c>
      <c r="X120" s="58" t="n">
        <f aca="false">IF(X110=0,0,X119/X110)</f>
        <v>0.212232802047059</v>
      </c>
      <c r="Y120" s="58" t="n">
        <f aca="false">IF(Y110=0,0,Y119/Y110)</f>
        <v>0.212185063875615</v>
      </c>
      <c r="Z120" s="58" t="n">
        <f aca="false">IF(Z110=0,0,Z119/Z110)</f>
        <v>0.203422568280258</v>
      </c>
      <c r="AA120" s="58" t="n">
        <f aca="false">IF(AA110=0,0,AA119/AA110)</f>
        <v>0.203403415909934</v>
      </c>
      <c r="AB120" s="58" t="n">
        <f aca="false">IF(AB110=0,0,AB119/AB110)</f>
        <v>0.203381959585674</v>
      </c>
    </row>
    <row r="121" customFormat="false" ht="15" hidden="false" customHeight="true" outlineLevel="0" collapsed="false">
      <c r="A121" s="28" t="s">
        <v>742</v>
      </c>
      <c r="B121" s="55"/>
      <c r="C121" s="61" t="n">
        <f aca="false">IF(C105=0,0,C119/C105)</f>
        <v>5.38384752836222</v>
      </c>
      <c r="D121" s="61" t="n">
        <f aca="false">IF(D105=0,0,D119/D105)</f>
        <v>5.30192394368357</v>
      </c>
      <c r="E121" s="62" t="n">
        <f aca="false">IF(E105=0,0,E119/E105)</f>
        <v>6.21078208019796</v>
      </c>
      <c r="F121" s="62" t="n">
        <f aca="false">IF(F105=0,0,F119/F105)</f>
        <v>5.96724337078004</v>
      </c>
      <c r="G121" s="62" t="n">
        <f aca="false">IF(G105=0,0,G119/G105)</f>
        <v>5.80537679284983</v>
      </c>
      <c r="H121" s="62" t="n">
        <f aca="false">IF(H105=0,0,H119/H105)</f>
        <v>5.71370321008395</v>
      </c>
      <c r="I121" s="62" t="n">
        <f aca="false">IF(I105=0,0,I119/I105)</f>
        <v>5.56721825708912</v>
      </c>
      <c r="J121" s="62" t="n">
        <f aca="false">IF(J105=0,0,J119/J105)</f>
        <v>5.23876235507476</v>
      </c>
      <c r="K121" s="62" t="n">
        <f aca="false">IF(K105=0,0,K119/K105)</f>
        <v>5.35106683187722</v>
      </c>
      <c r="L121" s="62" t="n">
        <f aca="false">IF(L105=0,0,L119/L105)</f>
        <v>5.0705699825477</v>
      </c>
      <c r="M121" s="62" t="n">
        <f aca="false">IF(M105=0,0,M119/M105)</f>
        <v>5.2856048276715</v>
      </c>
      <c r="N121" s="62" t="n">
        <f aca="false">IF(N105=0,0,N119/N105)</f>
        <v>5.06912594329787</v>
      </c>
      <c r="O121" s="62" t="n">
        <f aca="false">IF(O105=0,0,O119/O105)</f>
        <v>5.07897010454284</v>
      </c>
      <c r="P121" s="62" t="n">
        <f aca="false">IF(P105=0,0,P119/P105)</f>
        <v>5.0887719932507</v>
      </c>
      <c r="Q121" s="62" t="n">
        <f aca="false">IF(Q105=0,0,Q119/Q105)</f>
        <v>5.32386897899578</v>
      </c>
      <c r="R121" s="62" t="n">
        <f aca="false">IF(R105=0,0,R119/R105)</f>
        <v>5.33328563879181</v>
      </c>
      <c r="S121" s="62" t="n">
        <f aca="false">IF(S105=0,0,S119/S105)</f>
        <v>5.34264022149277</v>
      </c>
      <c r="T121" s="62" t="n">
        <f aca="false">IF(T105=0,0,T119/T105)</f>
        <v>5.35193154850915</v>
      </c>
      <c r="U121" s="62" t="n">
        <f aca="false">IF(U105=0,0,U119/U105)</f>
        <v>5.36115843339023</v>
      </c>
      <c r="V121" s="62" t="n">
        <f aca="false">IF(V105=0,0,V119/V105)</f>
        <v>5.37031968256263</v>
      </c>
      <c r="W121" s="62" t="n">
        <f aca="false">IF(W105=0,0,W119/W105)</f>
        <v>5.37941409611184</v>
      </c>
      <c r="X121" s="62" t="n">
        <f aca="false">IF(X105=0,0,X119/X105)</f>
        <v>5.38844046860716</v>
      </c>
      <c r="Y121" s="62" t="n">
        <f aca="false">IF(Y105=0,0,Y119/Y105)</f>
        <v>5.39739758997042</v>
      </c>
      <c r="Z121" s="62" t="n">
        <f aca="false">IF(Z105=0,0,Z119/Z105)</f>
        <v>5.18426057069441</v>
      </c>
      <c r="AA121" s="62" t="n">
        <f aca="false">IF(AA105=0,0,AA119/AA105)</f>
        <v>5.19353513807837</v>
      </c>
      <c r="AB121" s="62" t="n">
        <f aca="false">IF(AB105=0,0,AB119/AB105)</f>
        <v>5.20275585395932</v>
      </c>
    </row>
    <row r="122" customFormat="false" ht="15" hidden="false" customHeight="true" outlineLevel="0" collapsed="false">
      <c r="A122" s="28" t="s">
        <v>743</v>
      </c>
      <c r="B122" s="55" t="s">
        <v>50</v>
      </c>
      <c r="C122" s="66" t="n">
        <f aca="false">P122</f>
        <v>130.09567737102</v>
      </c>
      <c r="D122" s="66" t="n">
        <f aca="false">AB122</f>
        <v>75</v>
      </c>
      <c r="E122" s="67" t="n">
        <f aca="false">Inventory!E73</f>
        <v>303.820724270112</v>
      </c>
      <c r="F122" s="67" t="n">
        <f aca="false">Inventory!F73</f>
        <v>271.784990710222</v>
      </c>
      <c r="G122" s="67" t="n">
        <f aca="false">Inventory!G73</f>
        <v>362.860202758778</v>
      </c>
      <c r="H122" s="67" t="n">
        <f aca="false">Inventory!H73</f>
        <v>304.820389022724</v>
      </c>
      <c r="I122" s="67" t="n">
        <f aca="false">Inventory!I73</f>
        <v>261.518507373154</v>
      </c>
      <c r="J122" s="67" t="n">
        <f aca="false">Inventory!J73</f>
        <v>219.197606331537</v>
      </c>
      <c r="K122" s="67" t="n">
        <f aca="false">Inventory!K73</f>
        <v>216.344096201209</v>
      </c>
      <c r="L122" s="67" t="n">
        <f aca="false">Inventory!L73</f>
        <v>302.19855681887</v>
      </c>
      <c r="M122" s="67" t="n">
        <f aca="false">Inventory!M73</f>
        <v>229.357075798108</v>
      </c>
      <c r="N122" s="67" t="n">
        <f aca="false">Inventory!N73</f>
        <v>174.728554331915</v>
      </c>
      <c r="O122" s="67" t="n">
        <f aca="false">Inventory!O73</f>
        <v>88.1823986456432</v>
      </c>
      <c r="P122" s="67" t="n">
        <f aca="false">Inventory!P73</f>
        <v>130.09567737102</v>
      </c>
      <c r="Q122" s="67" t="n">
        <f aca="false">Inventory!Q73</f>
        <v>173.969208409656</v>
      </c>
      <c r="R122" s="67" t="n">
        <f aca="false">Inventory!R73</f>
        <v>137.955667865984</v>
      </c>
      <c r="S122" s="67" t="n">
        <f aca="false">Inventory!S73</f>
        <v>102.709715134466</v>
      </c>
      <c r="T122" s="67" t="n">
        <f aca="false">Inventory!T73</f>
        <v>78.3872441053464</v>
      </c>
      <c r="U122" s="67" t="n">
        <f aca="false">Inventory!U73</f>
        <v>77.0045148022595</v>
      </c>
      <c r="V122" s="67" t="n">
        <f aca="false">Inventory!V73</f>
        <v>70.4843684784698</v>
      </c>
      <c r="W122" s="67" t="n">
        <f aca="false">Inventory!W73</f>
        <v>75.1780851680633</v>
      </c>
      <c r="X122" s="67" t="n">
        <f aca="false">Inventory!X73</f>
        <v>89.38845571326</v>
      </c>
      <c r="Y122" s="67" t="n">
        <f aca="false">Inventory!Y73</f>
        <v>84.1916205999307</v>
      </c>
      <c r="Z122" s="67" t="n">
        <f aca="false">Inventory!Z73</f>
        <v>112.11007105282</v>
      </c>
      <c r="AA122" s="67" t="n">
        <f aca="false">Inventory!AA73</f>
        <v>65.0108688041102</v>
      </c>
      <c r="AB122" s="67" t="n">
        <f aca="false">Inventory!AB73</f>
        <v>75</v>
      </c>
    </row>
    <row r="124" customFormat="false" ht="15" hidden="false" customHeight="true" outlineLevel="0" collapsed="false">
      <c r="A124" s="22" t="s">
        <v>748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row>
    <row r="125" customFormat="false" ht="15" hidden="false" customHeight="true" outlineLevel="0" collapsed="false">
      <c r="A125" s="70" t="s">
        <v>266</v>
      </c>
      <c r="B125" s="71" t="s">
        <v>749</v>
      </c>
      <c r="C125" s="72" t="n">
        <f aca="false">SUM(E125:P125)</f>
        <v>4310576.95442636</v>
      </c>
      <c r="D125" s="72" t="n">
        <f aca="false">SUM(Q125:AB125)</f>
        <v>5617560.00790804</v>
      </c>
      <c r="E125" s="72" t="n">
        <f aca="false">E30+E50+E70+E90+E110</f>
        <v>267554.218648649</v>
      </c>
      <c r="F125" s="72" t="n">
        <f aca="false">F30+F50+F70+F90+F110</f>
        <v>250861.990739673</v>
      </c>
      <c r="G125" s="72" t="n">
        <f aca="false">G30+G50+G70+G90+G110</f>
        <v>294377.593003802</v>
      </c>
      <c r="H125" s="72" t="n">
        <f aca="false">H30+H50+H70+H90+H110</f>
        <v>310998.58025974</v>
      </c>
      <c r="I125" s="72" t="n">
        <f aca="false">I30+I50+I70+I90+I110</f>
        <v>348897.519634369</v>
      </c>
      <c r="J125" s="72" t="n">
        <f aca="false">J30+J50+J70+J90+J110</f>
        <v>331947.176425993</v>
      </c>
      <c r="K125" s="72" t="n">
        <f aca="false">K30+K50+K70+K90+K110</f>
        <v>306561.177823372</v>
      </c>
      <c r="L125" s="72" t="n">
        <f aca="false">L30+L50+L70+L90+L110</f>
        <v>314532.059820789</v>
      </c>
      <c r="M125" s="72" t="n">
        <f aca="false">M30+M50+M70+M90+M110</f>
        <v>353616.131334753</v>
      </c>
      <c r="N125" s="72" t="n">
        <f aca="false">N30+N50+N70+N90+N110</f>
        <v>409699.57900897</v>
      </c>
      <c r="O125" s="72" t="n">
        <f aca="false">O30+O50+O70+O90+O110</f>
        <v>591954.784545272</v>
      </c>
      <c r="P125" s="72" t="n">
        <f aca="false">P30+P50+P70+P90+P110</f>
        <v>529576.143180981</v>
      </c>
      <c r="Q125" s="72" t="n">
        <f aca="false">Q30+Q50+Q70+Q90+Q110</f>
        <v>338064.974761139</v>
      </c>
      <c r="R125" s="72" t="n">
        <f aca="false">R30+R50+R70+R90+R110</f>
        <v>322165.656199566</v>
      </c>
      <c r="S125" s="72" t="n">
        <f aca="false">S30+S50+S70+S90+S110</f>
        <v>371325.716853015</v>
      </c>
      <c r="T125" s="72" t="n">
        <f aca="false">T30+T50+T70+T90+T110</f>
        <v>393147.105578335</v>
      </c>
      <c r="U125" s="72" t="n">
        <f aca="false">U30+U50+U70+U90+U110</f>
        <v>424516.716270466</v>
      </c>
      <c r="V125" s="72" t="n">
        <f aca="false">V30+V50+V70+V90+V110</f>
        <v>421722.243147865</v>
      </c>
      <c r="W125" s="72" t="n">
        <f aca="false">W30+W50+W70+W90+W110</f>
        <v>409465.974581056</v>
      </c>
      <c r="X125" s="72" t="n">
        <f aca="false">X30+X50+X70+X90+X110</f>
        <v>410363.993188089</v>
      </c>
      <c r="Y125" s="72" t="n">
        <f aca="false">Y30+Y50+Y70+Y90+Y110</f>
        <v>473230.286432452</v>
      </c>
      <c r="Z125" s="72" t="n">
        <f aca="false">Z30+Z50+Z70+Z90+Z110</f>
        <v>548840.636119645</v>
      </c>
      <c r="AA125" s="72" t="n">
        <f aca="false">AA30+AA50+AA70+AA90+AA110</f>
        <v>793810.80441979</v>
      </c>
      <c r="AB125" s="72" t="n">
        <f aca="false">AB30+AB50+AB70+AB90+AB110</f>
        <v>710905.900356618</v>
      </c>
    </row>
    <row r="126" customFormat="false" ht="15" hidden="false" customHeight="true" outlineLevel="0" collapsed="false">
      <c r="A126" s="28" t="s">
        <v>750</v>
      </c>
      <c r="B126" s="55" t="s">
        <v>749</v>
      </c>
      <c r="C126" s="56" t="n">
        <f aca="false">SUM(E126:P126)</f>
        <v>-1608572.69371351</v>
      </c>
      <c r="D126" s="56" t="n">
        <f aca="false">SUM(Q126:AB126)</f>
        <v>-2125891.93768336</v>
      </c>
      <c r="E126" s="69" t="n">
        <f aca="false">E33+E53+E73+E93+E113</f>
        <v>-97407.83</v>
      </c>
      <c r="F126" s="69" t="n">
        <f aca="false">F33+F53+F73+F93+F113</f>
        <v>-91911.62</v>
      </c>
      <c r="G126" s="69" t="n">
        <f aca="false">G33+G53+G73+G93+G113</f>
        <v>-108572.99</v>
      </c>
      <c r="H126" s="69" t="n">
        <f aca="false">H33+H53+H73+H93+H113</f>
        <v>-115233.18</v>
      </c>
      <c r="I126" s="69" t="n">
        <f aca="false">I33+I53+I73+I93+I113</f>
        <v>-129172.82</v>
      </c>
      <c r="J126" s="69" t="n">
        <f aca="false">J33+J53+J73+J93+J113</f>
        <v>-123340.48</v>
      </c>
      <c r="K126" s="69" t="n">
        <f aca="false">K33+K53+K73+K93+K113</f>
        <v>-114986.83</v>
      </c>
      <c r="L126" s="69" t="n">
        <f aca="false">L33+L53+L73+L93+L113</f>
        <v>-118481.12</v>
      </c>
      <c r="M126" s="69" t="n">
        <f aca="false">M33+M53+M73+M93+M113</f>
        <v>-132968.140779815</v>
      </c>
      <c r="N126" s="69" t="n">
        <f aca="false">N33+N53+N73+N93+N113</f>
        <v>-154148.951780835</v>
      </c>
      <c r="O126" s="69" t="n">
        <f aca="false">O33+O53+O73+O93+O113</f>
        <v>-222856.112596505</v>
      </c>
      <c r="P126" s="69" t="n">
        <f aca="false">P33+P53+P73+P93+P113</f>
        <v>-199492.618556352</v>
      </c>
      <c r="Q126" s="69" t="n">
        <f aca="false">Q33+Q53+Q73+Q93+Q113</f>
        <v>-127427.295089955</v>
      </c>
      <c r="R126" s="69" t="n">
        <f aca="false">R33+R53+R73+R93+R113</f>
        <v>-121508.561489256</v>
      </c>
      <c r="S126" s="69" t="n">
        <f aca="false">S33+S53+S73+S93+S113</f>
        <v>-140135.936473707</v>
      </c>
      <c r="T126" s="69" t="n">
        <f aca="false">T33+T53+T73+T93+T113</f>
        <v>-148462.903585924</v>
      </c>
      <c r="U126" s="69" t="n">
        <f aca="false">U33+U53+U73+U93+U113</f>
        <v>-160408.574473758</v>
      </c>
      <c r="V126" s="69" t="n">
        <f aca="false">V33+V53+V73+V93+V113</f>
        <v>-159452.291771294</v>
      </c>
      <c r="W126" s="69" t="n">
        <f aca="false">W33+W53+W73+W93+W113</f>
        <v>-154915.591284627</v>
      </c>
      <c r="X126" s="69" t="n">
        <f aca="false">X33+X53+X73+X93+X113</f>
        <v>-155353.55846155</v>
      </c>
      <c r="Y126" s="69" t="n">
        <f aca="false">Y33+Y53+Y73+Y93+Y113</f>
        <v>-179267.165783383</v>
      </c>
      <c r="Z126" s="69" t="n">
        <f aca="false">Z33+Z53+Z73+Z93+Z113</f>
        <v>-208042.649091579</v>
      </c>
      <c r="AA126" s="69" t="n">
        <f aca="false">AA33+AA53+AA73+AA93+AA113</f>
        <v>-301094.392680183</v>
      </c>
      <c r="AB126" s="69" t="n">
        <f aca="false">AB33+AB53+AB73+AB93+AB113</f>
        <v>-269823.017498147</v>
      </c>
    </row>
    <row r="127" customFormat="false" ht="15" hidden="false" customHeight="true" outlineLevel="0" collapsed="false">
      <c r="A127" s="70" t="s">
        <v>751</v>
      </c>
      <c r="B127" s="71" t="s">
        <v>749</v>
      </c>
      <c r="C127" s="72" t="n">
        <f aca="false">SUM(E127:P127)</f>
        <v>2702004.26071286</v>
      </c>
      <c r="D127" s="72" t="n">
        <f aca="false">SUM(Q127:AB127)</f>
        <v>3491668.07022467</v>
      </c>
      <c r="E127" s="72" t="n">
        <f aca="false">E34+E54+E74+E94+E114</f>
        <v>170146.388648649</v>
      </c>
      <c r="F127" s="72" t="n">
        <f aca="false">F34+F54+F74+F94+F114</f>
        <v>158950.370739673</v>
      </c>
      <c r="G127" s="72" t="n">
        <f aca="false">G34+G54+G74+G94+G114</f>
        <v>185804.603003802</v>
      </c>
      <c r="H127" s="72" t="n">
        <f aca="false">H34+H54+H74+H94+H114</f>
        <v>195765.40025974</v>
      </c>
      <c r="I127" s="72" t="n">
        <f aca="false">I34+I54+I74+I94+I114</f>
        <v>219724.699634369</v>
      </c>
      <c r="J127" s="72" t="n">
        <f aca="false">J34+J54+J74+J94+J114</f>
        <v>208606.696425993</v>
      </c>
      <c r="K127" s="72" t="n">
        <f aca="false">K34+K54+K74+K94+K114</f>
        <v>191574.347823372</v>
      </c>
      <c r="L127" s="72" t="n">
        <f aca="false">L34+L54+L74+L94+L114</f>
        <v>196050.939820788</v>
      </c>
      <c r="M127" s="72" t="n">
        <f aca="false">M34+M54+M74+M94+M114</f>
        <v>220647.990554938</v>
      </c>
      <c r="N127" s="72" t="n">
        <f aca="false">N34+N54+N74+N94+N114</f>
        <v>255550.627228135</v>
      </c>
      <c r="O127" s="72" t="n">
        <f aca="false">O34+O54+O74+O94+O114</f>
        <v>369098.671948767</v>
      </c>
      <c r="P127" s="72" t="n">
        <f aca="false">P34+P54+P74+P94+P114</f>
        <v>330083.524624628</v>
      </c>
      <c r="Q127" s="72" t="n">
        <f aca="false">Q34+Q54+Q74+Q94+Q114</f>
        <v>210637.679671184</v>
      </c>
      <c r="R127" s="72" t="n">
        <f aca="false">R34+R54+R74+R94+R114</f>
        <v>200657.09471031</v>
      </c>
      <c r="S127" s="72" t="n">
        <f aca="false">S34+S54+S74+S94+S114</f>
        <v>231189.780379307</v>
      </c>
      <c r="T127" s="72" t="n">
        <f aca="false">T34+T54+T74+T94+T114</f>
        <v>244684.201992411</v>
      </c>
      <c r="U127" s="72" t="n">
        <f aca="false">U34+U54+U74+U94+U114</f>
        <v>264108.141796708</v>
      </c>
      <c r="V127" s="72" t="n">
        <f aca="false">V34+V54+V74+V94+V114</f>
        <v>262269.951376572</v>
      </c>
      <c r="W127" s="72" t="n">
        <f aca="false">W34+W54+W74+W94+W114</f>
        <v>254550.383296429</v>
      </c>
      <c r="X127" s="72" t="n">
        <f aca="false">X34+X54+X74+X94+X114</f>
        <v>255010.43472654</v>
      </c>
      <c r="Y127" s="72" t="n">
        <f aca="false">Y34+Y54+Y74+Y94+Y114</f>
        <v>293963.120649069</v>
      </c>
      <c r="Z127" s="72" t="n">
        <f aca="false">Z34+Z54+Z74+Z94+Z114</f>
        <v>340797.987028066</v>
      </c>
      <c r="AA127" s="72" t="n">
        <f aca="false">AA34+AA54+AA74+AA94+AA114</f>
        <v>492716.411739607</v>
      </c>
      <c r="AB127" s="72" t="n">
        <f aca="false">AB34+AB54+AB74+AB94+AB114</f>
        <v>441082.882858472</v>
      </c>
    </row>
    <row r="128" customFormat="false" ht="15" hidden="false" customHeight="true" outlineLevel="0" collapsed="false">
      <c r="A128" s="28" t="s">
        <v>462</v>
      </c>
      <c r="B128" s="55" t="s">
        <v>749</v>
      </c>
      <c r="C128" s="56" t="n">
        <f aca="false">SUM(E128:P128)</f>
        <v>-993286.388285036</v>
      </c>
      <c r="D128" s="56" t="n">
        <f aca="false">SUM(Q128:AB128)</f>
        <v>-1297134.49316072</v>
      </c>
      <c r="E128" s="69" t="n">
        <f aca="false">E36+E56+E76+E96+E116</f>
        <v>-59941.0424710425</v>
      </c>
      <c r="F128" s="69" t="n">
        <f aca="false">F36+F56+F76+F96+F116</f>
        <v>-55402.2737752161</v>
      </c>
      <c r="G128" s="69" t="n">
        <f aca="false">G36+G56+G76+G96+G116</f>
        <v>-65738.4676806083</v>
      </c>
      <c r="H128" s="69" t="n">
        <f aca="false">H36+H56+H76+H96+H116</f>
        <v>-71098.0760667904</v>
      </c>
      <c r="I128" s="69" t="n">
        <f aca="false">I36+I56+I76+I96+I116</f>
        <v>-77914.8409506399</v>
      </c>
      <c r="J128" s="69" t="n">
        <f aca="false">J36+J56+J76+J96+J116</f>
        <v>-77649.4873646209</v>
      </c>
      <c r="K128" s="69" t="n">
        <f aca="false">K36+K56+K76+K96+K116</f>
        <v>-70356.5049063336</v>
      </c>
      <c r="L128" s="69" t="n">
        <f aca="false">L36+L56+L76+L96+L116</f>
        <v>-71599.1433691756</v>
      </c>
      <c r="M128" s="69" t="n">
        <f aca="false">M36+M56+M76+M96+M116</f>
        <v>-80704.313456102</v>
      </c>
      <c r="N128" s="69" t="n">
        <f aca="false">N36+N56+N76+N96+N116</f>
        <v>-97129.6458050145</v>
      </c>
      <c r="O128" s="69" t="n">
        <f aca="false">O36+O56+O76+O96+O116</f>
        <v>-140289.123074195</v>
      </c>
      <c r="P128" s="69" t="n">
        <f aca="false">P36+P56+P76+P96+P116</f>
        <v>-125463.469365297</v>
      </c>
      <c r="Q128" s="69" t="n">
        <f aca="false">Q36+Q56+Q76+Q96+Q116</f>
        <v>-77085.9491846932</v>
      </c>
      <c r="R128" s="69" t="n">
        <f aca="false">R36+R56+R76+R96+R116</f>
        <v>-73446.4579861044</v>
      </c>
      <c r="S128" s="69" t="n">
        <f aca="false">S36+S56+S76+S96+S116</f>
        <v>-84638.6759998807</v>
      </c>
      <c r="T128" s="69" t="n">
        <f aca="false">T36+T56+T76+T96+T116</f>
        <v>-89597.6892326551</v>
      </c>
      <c r="U128" s="69" t="n">
        <f aca="false">U36+U56+U76+U96+U116</f>
        <v>-96731.9885503396</v>
      </c>
      <c r="V128" s="69" t="n">
        <f aca="false">V36+V56+V76+V96+V116</f>
        <v>-96081.8025350849</v>
      </c>
      <c r="W128" s="69" t="n">
        <f aca="false">W36+W56+W76+W96+W116</f>
        <v>-93277.6312517041</v>
      </c>
      <c r="X128" s="69" t="n">
        <f aca="false">X36+X56+X76+X96+X116</f>
        <v>-93471.6160020597</v>
      </c>
      <c r="Y128" s="69" t="n">
        <f aca="false">Y36+Y56+Y76+Y96+Y116</f>
        <v>-107780.35823639</v>
      </c>
      <c r="Z128" s="69" t="n">
        <f aca="false">Z36+Z56+Z76+Z96+Z116</f>
        <v>-129660.090188945</v>
      </c>
      <c r="AA128" s="69" t="n">
        <f aca="false">AA36+AA56+AA76+AA96+AA116</f>
        <v>-187490.02940174</v>
      </c>
      <c r="AB128" s="69" t="n">
        <f aca="false">AB36+AB56+AB76+AB96+AB116</f>
        <v>-167872.204591125</v>
      </c>
    </row>
    <row r="129" customFormat="false" ht="15" hidden="false" customHeight="true" outlineLevel="0" collapsed="false">
      <c r="A129" s="28" t="s">
        <v>752</v>
      </c>
      <c r="B129" s="55" t="s">
        <v>749</v>
      </c>
      <c r="C129" s="56" t="n">
        <f aca="false">SUM(E129:P129)</f>
        <v>1708717.87242782</v>
      </c>
      <c r="D129" s="56" t="n">
        <f aca="false">SUM(Q129:AB129)</f>
        <v>2194533.57706395</v>
      </c>
      <c r="E129" s="69" t="n">
        <f aca="false">E37+E57+E77+E97+E117</f>
        <v>110205.346177606</v>
      </c>
      <c r="F129" s="69" t="n">
        <f aca="false">F37+F57+F77+F97+F117</f>
        <v>103548.096964457</v>
      </c>
      <c r="G129" s="69" t="n">
        <f aca="false">G37+G57+G77+G97+G117</f>
        <v>120066.135323194</v>
      </c>
      <c r="H129" s="69" t="n">
        <f aca="false">H37+H57+H77+H97+H117</f>
        <v>124667.32419295</v>
      </c>
      <c r="I129" s="69" t="n">
        <f aca="false">I37+I57+I77+I97+I117</f>
        <v>141809.858683729</v>
      </c>
      <c r="J129" s="69" t="n">
        <f aca="false">J37+J57+J77+J97+J117</f>
        <v>130957.209061372</v>
      </c>
      <c r="K129" s="69" t="n">
        <f aca="false">K37+K57+K77+K97+K117</f>
        <v>121217.842917038</v>
      </c>
      <c r="L129" s="69" t="n">
        <f aca="false">L37+L57+L77+L97+L117</f>
        <v>124451.796451613</v>
      </c>
      <c r="M129" s="69" t="n">
        <f aca="false">M37+M57+M77+M97+M117</f>
        <v>139943.677098836</v>
      </c>
      <c r="N129" s="69" t="n">
        <f aca="false">N37+N57+N77+N97+N117</f>
        <v>158420.98142312</v>
      </c>
      <c r="O129" s="69" t="n">
        <f aca="false">O37+O57+O77+O97+O117</f>
        <v>228809.548874572</v>
      </c>
      <c r="P129" s="69" t="n">
        <f aca="false">P37+P57+P77+P97+P117</f>
        <v>204620.055259331</v>
      </c>
      <c r="Q129" s="69" t="n">
        <f aca="false">Q37+Q57+Q77+Q97+Q117</f>
        <v>133551.730486491</v>
      </c>
      <c r="R129" s="69" t="n">
        <f aca="false">R37+R57+R77+R97+R117</f>
        <v>127210.636724205</v>
      </c>
      <c r="S129" s="69" t="n">
        <f aca="false">S37+S57+S77+S97+S117</f>
        <v>146551.104379427</v>
      </c>
      <c r="T129" s="69" t="n">
        <f aca="false">T37+T57+T77+T97+T117</f>
        <v>155086.512759756</v>
      </c>
      <c r="U129" s="69" t="n">
        <f aca="false">U37+U57+U77+U97+U117</f>
        <v>167376.153246369</v>
      </c>
      <c r="V129" s="69" t="n">
        <f aca="false">V37+V57+V77+V97+V117</f>
        <v>166188.148841487</v>
      </c>
      <c r="W129" s="69" t="n">
        <f aca="false">W37+W57+W77+W97+W117</f>
        <v>161272.752044725</v>
      </c>
      <c r="X129" s="69" t="n">
        <f aca="false">X37+X57+X77+X97+X117</f>
        <v>161538.81872448</v>
      </c>
      <c r="Y129" s="69" t="n">
        <f aca="false">Y37+Y57+Y77+Y97+Y117</f>
        <v>186182.762412679</v>
      </c>
      <c r="Z129" s="69" t="n">
        <f aca="false">Z37+Z57+Z77+Z97+Z117</f>
        <v>211137.896839121</v>
      </c>
      <c r="AA129" s="69" t="n">
        <f aca="false">AA37+AA57+AA77+AA97+AA117</f>
        <v>305226.382337867</v>
      </c>
      <c r="AB129" s="69" t="n">
        <f aca="false">AB37+AB57+AB77+AB97+AB117</f>
        <v>273210.678267346</v>
      </c>
    </row>
    <row r="130" customFormat="false" ht="15" hidden="false" customHeight="true" outlineLevel="0" collapsed="false">
      <c r="A130" s="28" t="s">
        <v>463</v>
      </c>
      <c r="B130" s="55" t="s">
        <v>749</v>
      </c>
      <c r="C130" s="56" t="n">
        <f aca="false">SUM(E130:P130)</f>
        <v>-608364.551598637</v>
      </c>
      <c r="D130" s="56" t="n">
        <f aca="false">SUM(Q130:AB130)</f>
        <v>-786835.42454957</v>
      </c>
      <c r="E130" s="69" t="n">
        <f aca="false">E38+E58+E78+E98+E118</f>
        <v>-34434.9498069498</v>
      </c>
      <c r="F130" s="69" t="n">
        <f aca="false">F38+F58+F78+F98+F118</f>
        <v>-34265.1277617675</v>
      </c>
      <c r="G130" s="69" t="n">
        <f aca="false">G38+G58+G78+G98+G118</f>
        <v>-42196.680608365</v>
      </c>
      <c r="H130" s="69" t="n">
        <f aca="false">H38+H58+H78+H98+H118</f>
        <v>-42606.0241187384</v>
      </c>
      <c r="I130" s="69" t="n">
        <f aca="false">I38+I58+I78+I98+I118</f>
        <v>-48782.4625228519</v>
      </c>
      <c r="J130" s="69" t="n">
        <f aca="false">J38+J58+J78+J98+J118</f>
        <v>-47673.1263537906</v>
      </c>
      <c r="K130" s="69" t="n">
        <f aca="false">K38+K58+K78+K98+K118</f>
        <v>-45066.052631579</v>
      </c>
      <c r="L130" s="69" t="n">
        <f aca="false">L38+L58+L78+L98+L118</f>
        <v>-46956.0322580645</v>
      </c>
      <c r="M130" s="69" t="n">
        <f aca="false">M38+M58+M78+M98+M118</f>
        <v>-50060.097009229</v>
      </c>
      <c r="N130" s="69" t="n">
        <f aca="false">N38+N58+N78+N98+N118</f>
        <v>-57942.3830657756</v>
      </c>
      <c r="O130" s="69" t="n">
        <f aca="false">O38+O58+O78+O98+O118</f>
        <v>-83634.8803056037</v>
      </c>
      <c r="P130" s="69" t="n">
        <f aca="false">P38+P58+P78+P98+P118</f>
        <v>-74746.7351559215</v>
      </c>
      <c r="Q130" s="69" t="n">
        <f aca="false">Q38+Q58+Q78+Q98+Q118</f>
        <v>-47667.8690281832</v>
      </c>
      <c r="R130" s="69" t="n">
        <f aca="false">R38+R58+R78+R98+R118</f>
        <v>-45379.8828281956</v>
      </c>
      <c r="S130" s="69" t="n">
        <f aca="false">S38+S58+S78+S98+S118</f>
        <v>-52250.9927058451</v>
      </c>
      <c r="T130" s="69" t="n">
        <f aca="false">T38+T58+T78+T98+T118</f>
        <v>-55264.5713013132</v>
      </c>
      <c r="U130" s="69" t="n">
        <f aca="false">U38+U58+U78+U98+U118</f>
        <v>-59612.2532634641</v>
      </c>
      <c r="V130" s="69" t="n">
        <f aca="false">V38+V58+V78+V98+V118</f>
        <v>-59157.9453940256</v>
      </c>
      <c r="W130" s="69" t="n">
        <f aca="false">W38+W58+W78+W98+W118</f>
        <v>-57378.2160560338</v>
      </c>
      <c r="X130" s="69" t="n">
        <f aca="false">X38+X58+X78+X98+X118</f>
        <v>-57443.109015583</v>
      </c>
      <c r="Y130" s="69" t="n">
        <f aca="false">Y38+Y58+Y78+Y98+Y118</f>
        <v>-66172.4957448748</v>
      </c>
      <c r="Z130" s="69" t="n">
        <f aca="false">Z38+Z58+Z78+Z98+Z118</f>
        <v>-76662.7456187416</v>
      </c>
      <c r="AA130" s="69" t="n">
        <f aca="false">AA38+AA58+AA78+AA98+AA118</f>
        <v>-110760.545708337</v>
      </c>
      <c r="AB130" s="69" t="n">
        <f aca="false">AB38+AB58+AB78+AB98+AB118</f>
        <v>-99084.7978849723</v>
      </c>
    </row>
    <row r="131" customFormat="false" ht="15" hidden="false" customHeight="true" outlineLevel="0" collapsed="false">
      <c r="A131" s="70" t="s">
        <v>753</v>
      </c>
      <c r="B131" s="71" t="s">
        <v>749</v>
      </c>
      <c r="C131" s="72" t="n">
        <f aca="false">SUM(E131:P131)</f>
        <v>1100353.32082918</v>
      </c>
      <c r="D131" s="72" t="n">
        <f aca="false">SUM(Q131:AB131)</f>
        <v>1407698.15251438</v>
      </c>
      <c r="E131" s="72" t="n">
        <f aca="false">E39+E59+E79+E99+E119</f>
        <v>75770.3963706563</v>
      </c>
      <c r="F131" s="72" t="n">
        <f aca="false">F39+F59+F79+F99+F119</f>
        <v>69282.9692026897</v>
      </c>
      <c r="G131" s="72" t="n">
        <f aca="false">G39+G59+G79+G99+G119</f>
        <v>77869.4547148288</v>
      </c>
      <c r="H131" s="72" t="n">
        <f aca="false">H39+H59+H79+H99+H119</f>
        <v>82061.3000742115</v>
      </c>
      <c r="I131" s="72" t="n">
        <f aca="false">I39+I59+I79+I99+I119</f>
        <v>93027.3961608775</v>
      </c>
      <c r="J131" s="72" t="n">
        <f aca="false">J39+J59+J79+J99+J119</f>
        <v>83284.0827075812</v>
      </c>
      <c r="K131" s="72" t="n">
        <f aca="false">K39+K59+K79+K99+K119</f>
        <v>76151.7902854594</v>
      </c>
      <c r="L131" s="72" t="n">
        <f aca="false">L39+L59+L79+L99+L119</f>
        <v>77495.7641935484</v>
      </c>
      <c r="M131" s="72" t="n">
        <f aca="false">M39+M59+M79+M99+M119</f>
        <v>89883.580089607</v>
      </c>
      <c r="N131" s="72" t="n">
        <f aca="false">N39+N59+N79+N99+N119</f>
        <v>100478.598357345</v>
      </c>
      <c r="O131" s="72" t="n">
        <f aca="false">O39+O59+O79+O99+O119</f>
        <v>145174.668568968</v>
      </c>
      <c r="P131" s="72" t="n">
        <f aca="false">P39+P59+P79+P99+P119</f>
        <v>129873.32010341</v>
      </c>
      <c r="Q131" s="72" t="n">
        <f aca="false">Q39+Q59+Q79+Q99+Q119</f>
        <v>85883.8614583073</v>
      </c>
      <c r="R131" s="72" t="n">
        <f aca="false">R39+R59+R79+R99+R119</f>
        <v>81830.7538960098</v>
      </c>
      <c r="S131" s="72" t="n">
        <f aca="false">S39+S59+S79+S99+S119</f>
        <v>94300.1116735815</v>
      </c>
      <c r="T131" s="72" t="n">
        <f aca="false">T39+T59+T79+T99+T119</f>
        <v>99821.9414584429</v>
      </c>
      <c r="U131" s="72" t="n">
        <f aca="false">U39+U59+U79+U99+U119</f>
        <v>107763.899982904</v>
      </c>
      <c r="V131" s="72" t="n">
        <f aca="false">V39+V59+V79+V99+V119</f>
        <v>107030.203447461</v>
      </c>
      <c r="W131" s="72" t="n">
        <f aca="false">W39+W59+W79+W99+W119</f>
        <v>103894.535988691</v>
      </c>
      <c r="X131" s="72" t="n">
        <f aca="false">X39+X59+X79+X99+X119</f>
        <v>104095.709708897</v>
      </c>
      <c r="Y131" s="72" t="n">
        <f aca="false">Y39+Y59+Y79+Y99+Y119</f>
        <v>120010.266667804</v>
      </c>
      <c r="Z131" s="72" t="n">
        <f aca="false">Z39+Z59+Z79+Z99+Z119</f>
        <v>134475.151220379</v>
      </c>
      <c r="AA131" s="72" t="n">
        <f aca="false">AA39+AA59+AA79+AA99+AA119</f>
        <v>194465.83662953</v>
      </c>
      <c r="AB131" s="72" t="n">
        <f aca="false">AB39+AB59+AB79+AB99+AB119</f>
        <v>174125.880382374</v>
      </c>
    </row>
    <row r="132" customFormat="false" ht="15" hidden="false" customHeight="true" outlineLevel="0" collapsed="false">
      <c r="A132" s="28" t="s">
        <v>754</v>
      </c>
      <c r="B132" s="55"/>
      <c r="C132" s="56" t="n">
        <f aca="false">SUM(E132:P132)</f>
        <v>0</v>
      </c>
      <c r="D132" s="56" t="n">
        <f aca="false">SUM(Q132:AB132)</f>
        <v>0</v>
      </c>
      <c r="E132" s="57" t="n">
        <f aca="false">E125-Channel_PL!E120</f>
        <v>0</v>
      </c>
      <c r="F132" s="57" t="n">
        <f aca="false">F125-Channel_PL!F120</f>
        <v>0</v>
      </c>
      <c r="G132" s="57" t="n">
        <f aca="false">G125-Channel_PL!G120</f>
        <v>0</v>
      </c>
      <c r="H132" s="57" t="n">
        <f aca="false">H125-Channel_PL!H120</f>
        <v>0</v>
      </c>
      <c r="I132" s="57" t="n">
        <f aca="false">I125-Channel_PL!I120</f>
        <v>0</v>
      </c>
      <c r="J132" s="57" t="n">
        <f aca="false">J125-Channel_PL!J120</f>
        <v>0</v>
      </c>
      <c r="K132" s="57" t="n">
        <f aca="false">K125-Channel_PL!K120</f>
        <v>0</v>
      </c>
      <c r="L132" s="57" t="n">
        <f aca="false">L125-Channel_PL!L120</f>
        <v>0</v>
      </c>
      <c r="M132" s="57" t="n">
        <f aca="false">M125-Channel_PL!M120</f>
        <v>0</v>
      </c>
      <c r="N132" s="57" t="n">
        <f aca="false">N125-Channel_PL!N120</f>
        <v>0</v>
      </c>
      <c r="O132" s="57" t="n">
        <f aca="false">O125-Channel_PL!O120</f>
        <v>0</v>
      </c>
      <c r="P132" s="57" t="n">
        <f aca="false">P125-Channel_PL!P120</f>
        <v>0</v>
      </c>
      <c r="Q132" s="57" t="n">
        <f aca="false">Q125-Channel_PL!Q120</f>
        <v>0</v>
      </c>
      <c r="R132" s="57" t="n">
        <f aca="false">R125-Channel_PL!R120</f>
        <v>0</v>
      </c>
      <c r="S132" s="57" t="n">
        <f aca="false">S125-Channel_PL!S120</f>
        <v>0</v>
      </c>
      <c r="T132" s="57" t="n">
        <f aca="false">T125-Channel_PL!T120</f>
        <v>0</v>
      </c>
      <c r="U132" s="57" t="n">
        <f aca="false">U125-Channel_PL!U120</f>
        <v>0</v>
      </c>
      <c r="V132" s="57" t="n">
        <f aca="false">V125-Channel_PL!V120</f>
        <v>0</v>
      </c>
      <c r="W132" s="57" t="n">
        <f aca="false">W125-Channel_PL!W120</f>
        <v>0</v>
      </c>
      <c r="X132" s="57" t="n">
        <f aca="false">X125-Channel_PL!X120</f>
        <v>0</v>
      </c>
      <c r="Y132" s="57" t="n">
        <f aca="false">Y125-Channel_PL!Y120</f>
        <v>0</v>
      </c>
      <c r="Z132" s="57" t="n">
        <f aca="false">Z125-Channel_PL!Z120</f>
        <v>0</v>
      </c>
      <c r="AA132" s="57" t="n">
        <f aca="false">AA125-Channel_PL!AA120</f>
        <v>0</v>
      </c>
      <c r="AB132" s="57" t="n">
        <f aca="false">AB125-Channel_PL!AB120</f>
        <v>0</v>
      </c>
    </row>
    <row r="133" customFormat="false" ht="15" hidden="false" customHeight="true" outlineLevel="0" collapsed="false">
      <c r="A133" s="28" t="s">
        <v>755</v>
      </c>
      <c r="B133" s="55"/>
      <c r="C133" s="56" t="n">
        <f aca="false">SUM(E133:P133)</f>
        <v>0</v>
      </c>
      <c r="D133" s="56" t="n">
        <f aca="false">SUM(Q133:AB133)</f>
        <v>0</v>
      </c>
      <c r="E133" s="57" t="n">
        <f aca="false">E131-Channel_PL!E135</f>
        <v>0</v>
      </c>
      <c r="F133" s="57" t="n">
        <f aca="false">F131-Channel_PL!F135</f>
        <v>0</v>
      </c>
      <c r="G133" s="57" t="n">
        <f aca="false">G131-Channel_PL!G135</f>
        <v>0</v>
      </c>
      <c r="H133" s="57" t="n">
        <f aca="false">H131-Channel_PL!H135</f>
        <v>0</v>
      </c>
      <c r="I133" s="57" t="n">
        <f aca="false">I131-Channel_PL!I135</f>
        <v>0</v>
      </c>
      <c r="J133" s="57" t="n">
        <f aca="false">J131-Channel_PL!J135</f>
        <v>0</v>
      </c>
      <c r="K133" s="57" t="n">
        <f aca="false">K131-Channel_PL!K135</f>
        <v>0</v>
      </c>
      <c r="L133" s="57" t="n">
        <f aca="false">L131-Channel_PL!L135</f>
        <v>0</v>
      </c>
      <c r="M133" s="57" t="n">
        <f aca="false">M131-Channel_PL!M135</f>
        <v>0</v>
      </c>
      <c r="N133" s="57" t="n">
        <f aca="false">N131-Channel_PL!N135</f>
        <v>0</v>
      </c>
      <c r="O133" s="57" t="n">
        <f aca="false">O131-Channel_PL!O135</f>
        <v>0</v>
      </c>
      <c r="P133" s="57" t="n">
        <f aca="false">P131-Channel_PL!P135</f>
        <v>0</v>
      </c>
      <c r="Q133" s="57" t="n">
        <f aca="false">Q131-Channel_PL!Q135</f>
        <v>0</v>
      </c>
      <c r="R133" s="57" t="n">
        <f aca="false">R131-Channel_PL!R135</f>
        <v>0</v>
      </c>
      <c r="S133" s="57" t="n">
        <f aca="false">S131-Channel_PL!S135</f>
        <v>0</v>
      </c>
      <c r="T133" s="57" t="n">
        <f aca="false">T131-Channel_PL!T135</f>
        <v>0</v>
      </c>
      <c r="U133" s="57" t="n">
        <f aca="false">U131-Channel_PL!U135</f>
        <v>0</v>
      </c>
      <c r="V133" s="57" t="n">
        <f aca="false">V131-Channel_PL!V135</f>
        <v>0</v>
      </c>
      <c r="W133" s="57" t="n">
        <f aca="false">W131-Channel_PL!W135</f>
        <v>0</v>
      </c>
      <c r="X133" s="57" t="n">
        <f aca="false">X131-Channel_PL!X135</f>
        <v>0</v>
      </c>
      <c r="Y133" s="57" t="n">
        <f aca="false">Y131-Channel_PL!Y135</f>
        <v>0</v>
      </c>
      <c r="Z133" s="57" t="n">
        <f aca="false">Z131-Channel_PL!Z135</f>
        <v>0</v>
      </c>
      <c r="AA133" s="57" t="n">
        <f aca="false">AA131-Channel_PL!AA135</f>
        <v>0</v>
      </c>
      <c r="AB133" s="57" t="n">
        <f aca="false">AB131-Channel_PL!AB135</f>
        <v>0</v>
      </c>
    </row>
    <row r="134" customFormat="false" ht="15" hidden="false" customHeight="true" outlineLevel="0" collapsed="false">
      <c r="A134" s="22" t="s">
        <v>756</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row>
    <row r="135" customFormat="false" ht="15" hidden="false" customHeight="true" outlineLevel="0" collapsed="false">
      <c r="A135" s="28" t="s">
        <v>757</v>
      </c>
      <c r="B135" s="55" t="s">
        <v>758</v>
      </c>
      <c r="C135" s="113" t="n">
        <f aca="false">SUMIFS(Product_Contribution!$E$30:$AB$30,Assumptions!$E$63:$AB$63,"A")</f>
        <v>972613.666640946</v>
      </c>
      <c r="D135" s="113" t="n">
        <f aca="false">C30</f>
        <v>1730488.96012946</v>
      </c>
    </row>
    <row r="136" customFormat="false" ht="15" hidden="false" customHeight="true" outlineLevel="0" collapsed="false">
      <c r="A136" s="28" t="s">
        <v>759</v>
      </c>
      <c r="B136" s="55"/>
      <c r="C136" s="113" t="n">
        <f aca="false">SUMIFS(Product_Contribution!$E$39:$AB$39,Assumptions!$E$63:$AB$63,"A")</f>
        <v>243882.586334764</v>
      </c>
      <c r="D136" s="113" t="n">
        <f aca="false">C39</f>
        <v>423225.341950579</v>
      </c>
    </row>
    <row r="137" customFormat="false" ht="15" hidden="false" customHeight="true" outlineLevel="0" collapsed="false">
      <c r="A137" s="28" t="s">
        <v>760</v>
      </c>
      <c r="B137" s="55"/>
      <c r="C137" s="117" t="n">
        <f aca="false">IF(C135=0,0,C136/C135)</f>
        <v>0.250749701242679</v>
      </c>
      <c r="D137" s="117" t="n">
        <f aca="false">IF(D135=0,0,D136/D135)</f>
        <v>0.244569801773781</v>
      </c>
    </row>
    <row r="138" customFormat="false" ht="15" hidden="false" customHeight="true" outlineLevel="0" collapsed="false">
      <c r="A138" s="28" t="s">
        <v>761</v>
      </c>
      <c r="B138" s="55"/>
      <c r="C138" s="118" t="n">
        <f aca="false">INDEX(Inventory!$E$17:$AB$17,Assumptions!$C$10)</f>
        <v>23.4995008621116</v>
      </c>
      <c r="D138" s="118" t="n">
        <f aca="false">INDEX(Inventory!$E$17:$AB$17,12)</f>
        <v>47.9317298750222</v>
      </c>
    </row>
    <row r="139" customFormat="false" ht="15" hidden="false" customHeight="true" outlineLevel="0" collapsed="false">
      <c r="A139" s="28" t="s">
        <v>762</v>
      </c>
      <c r="B139" s="55" t="s">
        <v>758</v>
      </c>
      <c r="C139" s="113" t="n">
        <f aca="false">SUMIFS(Product_Contribution!$E$50:$AB$50,Assumptions!$E$63:$AB$63,"A")</f>
        <v>482631.837059984</v>
      </c>
      <c r="D139" s="113" t="n">
        <f aca="false">C50</f>
        <v>861301.43059566</v>
      </c>
    </row>
    <row r="140" customFormat="false" ht="15" hidden="false" customHeight="true" outlineLevel="0" collapsed="false">
      <c r="A140" s="28" t="s">
        <v>763</v>
      </c>
      <c r="B140" s="55"/>
      <c r="C140" s="113" t="n">
        <f aca="false">SUMIFS(Product_Contribution!$E$59:$AB$59,Assumptions!$E$63:$AB$63,"A")</f>
        <v>144360.104109078</v>
      </c>
      <c r="D140" s="113" t="n">
        <f aca="false">C59</f>
        <v>253214.548381027</v>
      </c>
    </row>
    <row r="141" customFormat="false" ht="15" hidden="false" customHeight="true" outlineLevel="0" collapsed="false">
      <c r="A141" s="28" t="s">
        <v>764</v>
      </c>
      <c r="B141" s="55"/>
      <c r="C141" s="117" t="n">
        <f aca="false">IF(C139=0,0,C140/C139)</f>
        <v>0.299110197513008</v>
      </c>
      <c r="D141" s="117" t="n">
        <f aca="false">IF(D139=0,0,D140/D139)</f>
        <v>0.293990627887276</v>
      </c>
    </row>
    <row r="142" customFormat="false" ht="15" hidden="false" customHeight="true" outlineLevel="0" collapsed="false">
      <c r="A142" s="28" t="s">
        <v>765</v>
      </c>
      <c r="B142" s="55"/>
      <c r="C142" s="118" t="n">
        <f aca="false">INDEX(Inventory!$E$31:$AB$31,Assumptions!$C$10)</f>
        <v>52.4111498388535</v>
      </c>
      <c r="D142" s="118" t="n">
        <f aca="false">INDEX(Inventory!$E$31:$AB$31,12)</f>
        <v>47.8948748064213</v>
      </c>
    </row>
    <row r="143" customFormat="false" ht="15" hidden="false" customHeight="true" outlineLevel="0" collapsed="false">
      <c r="A143" s="28" t="s">
        <v>766</v>
      </c>
      <c r="B143" s="55" t="s">
        <v>758</v>
      </c>
      <c r="C143" s="113" t="n">
        <f aca="false">SUMIFS(Product_Contribution!$E$70:$AB$70,Assumptions!$E$63:$AB$63,"A")</f>
        <v>448075.447607538</v>
      </c>
      <c r="D143" s="113" t="n">
        <f aca="false">C70</f>
        <v>783598.125055453</v>
      </c>
    </row>
    <row r="144" customFormat="false" ht="15" hidden="false" customHeight="true" outlineLevel="0" collapsed="false">
      <c r="A144" s="28" t="s">
        <v>767</v>
      </c>
      <c r="B144" s="55"/>
      <c r="C144" s="113" t="n">
        <f aca="false">SUMIFS(Product_Contribution!$E$79:$AB$79,Assumptions!$E$63:$AB$63,"A")</f>
        <v>124786.775922008</v>
      </c>
      <c r="D144" s="113" t="n">
        <f aca="false">C79</f>
        <v>212133.194592564</v>
      </c>
    </row>
    <row r="145" customFormat="false" ht="15" hidden="false" customHeight="true" outlineLevel="0" collapsed="false">
      <c r="A145" s="28" t="s">
        <v>768</v>
      </c>
      <c r="B145" s="55"/>
      <c r="C145" s="117" t="n">
        <f aca="false">IF(C143=0,0,C144/C143)</f>
        <v>0.278495009240737</v>
      </c>
      <c r="D145" s="117" t="n">
        <f aca="false">IF(D143=0,0,D144/D143)</f>
        <v>0.270716822577328</v>
      </c>
    </row>
    <row r="146" customFormat="false" ht="15" hidden="false" customHeight="true" outlineLevel="0" collapsed="false">
      <c r="A146" s="28" t="s">
        <v>769</v>
      </c>
      <c r="B146" s="55"/>
      <c r="C146" s="118" t="n">
        <f aca="false">INDEX(Inventory!$E$45:$AB$45,Assumptions!$C$10)</f>
        <v>121.586212599992</v>
      </c>
      <c r="D146" s="118" t="n">
        <f aca="false">INDEX(Inventory!$E$45:$AB$45,12)</f>
        <v>47.8621372190154</v>
      </c>
    </row>
    <row r="147" customFormat="false" ht="15" hidden="false" customHeight="true" outlineLevel="0" collapsed="false">
      <c r="A147" s="28" t="s">
        <v>770</v>
      </c>
      <c r="B147" s="55" t="s">
        <v>758</v>
      </c>
      <c r="C147" s="113" t="n">
        <f aca="false">SUMIFS(Product_Contribution!$E$90:$AB$90,Assumptions!$E$63:$AB$63,"A")</f>
        <v>334261.971125721</v>
      </c>
      <c r="D147" s="113" t="n">
        <f aca="false">C90</f>
        <v>600811.326922288</v>
      </c>
    </row>
    <row r="148" customFormat="false" ht="15" hidden="false" customHeight="true" outlineLevel="0" collapsed="false">
      <c r="A148" s="28" t="s">
        <v>771</v>
      </c>
      <c r="B148" s="55"/>
      <c r="C148" s="113" t="n">
        <f aca="false">SUMIFS(Product_Contribution!$E$99:$AB$99,Assumptions!$E$63:$AB$63,"A")</f>
        <v>79839.2680019258</v>
      </c>
      <c r="D148" s="113" t="n">
        <f aca="false">C99</f>
        <v>139700.562977837</v>
      </c>
    </row>
    <row r="149" customFormat="false" ht="15" hidden="false" customHeight="true" outlineLevel="0" collapsed="false">
      <c r="A149" s="28" t="s">
        <v>772</v>
      </c>
      <c r="B149" s="55"/>
      <c r="C149" s="117" t="n">
        <f aca="false">IF(C147=0,0,C148/C147)</f>
        <v>0.238852381959709</v>
      </c>
      <c r="D149" s="117" t="n">
        <f aca="false">IF(D147=0,0,D148/D147)</f>
        <v>0.232519855598372</v>
      </c>
    </row>
    <row r="150" customFormat="false" ht="15" hidden="false" customHeight="true" outlineLevel="0" collapsed="false">
      <c r="A150" s="28" t="s">
        <v>773</v>
      </c>
      <c r="B150" s="55"/>
      <c r="C150" s="118" t="n">
        <f aca="false">INDEX(Inventory!$E$59:$AB$59,Assumptions!$C$10)</f>
        <v>208.078844224148</v>
      </c>
      <c r="D150" s="118" t="n">
        <f aca="false">INDEX(Inventory!$E$59:$AB$59,12)</f>
        <v>112.328742229454</v>
      </c>
    </row>
    <row r="151" customFormat="false" ht="15" hidden="false" customHeight="true" outlineLevel="0" collapsed="false">
      <c r="A151" s="28" t="s">
        <v>774</v>
      </c>
      <c r="B151" s="55" t="s">
        <v>758</v>
      </c>
      <c r="C151" s="113" t="n">
        <f aca="false">SUMIFS(Product_Contribution!$E$110:$AB$110,Assumptions!$E$63:$AB$63,"A")</f>
        <v>188147.393922199</v>
      </c>
      <c r="D151" s="113" t="n">
        <f aca="false">C110</f>
        <v>334377.111723503</v>
      </c>
    </row>
    <row r="152" customFormat="false" ht="15" hidden="false" customHeight="true" outlineLevel="0" collapsed="false">
      <c r="A152" s="28" t="s">
        <v>775</v>
      </c>
      <c r="B152" s="55"/>
      <c r="C152" s="113" t="n">
        <f aca="false">SUMIFS(Product_Contribution!$E$119:$AB$119,Assumptions!$E$63:$AB$63,"A")</f>
        <v>42074.419342077</v>
      </c>
      <c r="D152" s="113" t="n">
        <f aca="false">C119</f>
        <v>72079.6729271768</v>
      </c>
    </row>
    <row r="153" customFormat="false" ht="15" hidden="false" customHeight="true" outlineLevel="0" collapsed="false">
      <c r="A153" s="28" t="s">
        <v>776</v>
      </c>
      <c r="B153" s="55"/>
      <c r="C153" s="117" t="n">
        <f aca="false">IF(C151=0,0,C152/C151)</f>
        <v>0.22362477877039</v>
      </c>
      <c r="D153" s="117" t="n">
        <f aca="false">IF(D151=0,0,D152/D151)</f>
        <v>0.215564015597992</v>
      </c>
    </row>
    <row r="154" customFormat="false" ht="15" hidden="false" customHeight="true" outlineLevel="0" collapsed="false">
      <c r="A154" s="28" t="s">
        <v>777</v>
      </c>
      <c r="B154" s="55"/>
      <c r="C154" s="118" t="n">
        <f aca="false">INDEX(Inventory!$E$73:$AB$73,Assumptions!$C$10)</f>
        <v>302.19855681887</v>
      </c>
      <c r="D154" s="118" t="n">
        <f aca="false">INDEX(Inventory!$E$73:$AB$73,12)</f>
        <v>130.09567737102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778</v>
      </c>
    </row>
    <row r="3" customFormat="false" ht="15" hidden="false" customHeight="true" outlineLevel="0" collapsed="false">
      <c r="A3" s="25" t="s">
        <v>779</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639</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780</v>
      </c>
      <c r="B9" s="55" t="s">
        <v>781</v>
      </c>
      <c r="C9" s="56" t="n">
        <f aca="false">SUM(E9:P9)</f>
        <v>2582919.17324086</v>
      </c>
      <c r="D9" s="56" t="n">
        <f aca="false">SUM(Q9:AB9)</f>
        <v>3133598.27357639</v>
      </c>
      <c r="E9" s="57" t="n">
        <f aca="false">(Channel_PL!E13+Channel_PL!E14+Channel_PL!E17)*(1+Assumptions!$C$20)</f>
        <v>162811.165</v>
      </c>
      <c r="F9" s="57" t="n">
        <f aca="false">(Channel_PL!F13+Channel_PL!F14+Channel_PL!F17)*(1+Assumptions!$C$20)</f>
        <v>162299.7389</v>
      </c>
      <c r="G9" s="57" t="n">
        <f aca="false">(Channel_PL!G13+Channel_PL!G14+Channel_PL!G17)*(1+Assumptions!$C$20)</f>
        <v>184993.5039</v>
      </c>
      <c r="H9" s="57" t="n">
        <f aca="false">(Channel_PL!H13+Channel_PL!H14+Channel_PL!H17)*(1+Assumptions!$C$20)</f>
        <v>184654.6579</v>
      </c>
      <c r="I9" s="57" t="n">
        <f aca="false">(Channel_PL!I13+Channel_PL!I14+Channel_PL!I17)*(1+Assumptions!$C$20)</f>
        <v>212292.8512</v>
      </c>
      <c r="J9" s="57" t="n">
        <f aca="false">(Channel_PL!J13+Channel_PL!J14+Channel_PL!J17)*(1+Assumptions!$C$20)</f>
        <v>198842.17125</v>
      </c>
      <c r="K9" s="57" t="n">
        <f aca="false">(Channel_PL!K13+Channel_PL!K14+Channel_PL!K17)*(1+Assumptions!$C$20)</f>
        <v>185416.27815</v>
      </c>
      <c r="L9" s="57" t="n">
        <f aca="false">(Channel_PL!L13+Channel_PL!L14+Channel_PL!L17)*(1+Assumptions!$C$20)</f>
        <v>189787.80125</v>
      </c>
      <c r="M9" s="57" t="n">
        <f aca="false">(Channel_PL!M13+Channel_PL!M14+Channel_PL!M17)*(1+Assumptions!$C$20)</f>
        <v>208446.79781753</v>
      </c>
      <c r="N9" s="57" t="n">
        <f aca="false">(Channel_PL!N13+Channel_PL!N14+Channel_PL!N17)*(1+Assumptions!$C$20)</f>
        <v>240325.015356859</v>
      </c>
      <c r="O9" s="57" t="n">
        <f aca="false">(Channel_PL!O13+Channel_PL!O14+Channel_PL!O17)*(1+Assumptions!$C$20)</f>
        <v>345508.76805034</v>
      </c>
      <c r="P9" s="57" t="n">
        <f aca="false">(Channel_PL!P13+Channel_PL!P14+Channel_PL!P17)*(1+Assumptions!$C$20)</f>
        <v>307540.424466133</v>
      </c>
      <c r="Q9" s="57" t="n">
        <f aca="false">(Channel_PL!Q13+Channel_PL!Q14+Channel_PL!Q17)*(1+Assumptions!$C$20)</f>
        <v>195318.247067795</v>
      </c>
      <c r="R9" s="57" t="n">
        <f aca="false">(Channel_PL!R13+Channel_PL!R14+Channel_PL!R17)*(1+Assumptions!$C$20)</f>
        <v>185163.637501512</v>
      </c>
      <c r="S9" s="57" t="n">
        <f aca="false">(Channel_PL!S13+Channel_PL!S14+Channel_PL!S17)*(1+Assumptions!$C$20)</f>
        <v>212290.071158706</v>
      </c>
      <c r="T9" s="57" t="n">
        <f aca="false">(Channel_PL!T13+Channel_PL!T14+Channel_PL!T17)*(1+Assumptions!$C$20)</f>
        <v>223558.755876766</v>
      </c>
      <c r="U9" s="57" t="n">
        <f aca="false">(Channel_PL!U13+Channel_PL!U14+Channel_PL!U17)*(1+Assumptions!$C$20)</f>
        <v>240080.274669913</v>
      </c>
      <c r="V9" s="57" t="n">
        <f aca="false">(Channel_PL!V13+Channel_PL!V14+Channel_PL!V17)*(1+Assumptions!$C$20)</f>
        <v>237178.753598015</v>
      </c>
      <c r="W9" s="57" t="n">
        <f aca="false">(Channel_PL!W13+Channel_PL!W14+Channel_PL!W17)*(1+Assumptions!$C$20)</f>
        <v>228990.025502953</v>
      </c>
      <c r="X9" s="57" t="n">
        <f aca="false">(Channel_PL!X13+Channel_PL!X14+Channel_PL!X17)*(1+Assumptions!$C$20)</f>
        <v>228180.597001718</v>
      </c>
      <c r="Y9" s="57" t="n">
        <f aca="false">(Channel_PL!Y13+Channel_PL!Y14+Channel_PL!Y17)*(1+Assumptions!$C$20)</f>
        <v>261609.387011884</v>
      </c>
      <c r="Z9" s="57" t="n">
        <f aca="false">(Channel_PL!Z13+Channel_PL!Z14+Channel_PL!Z17)*(1+Assumptions!$C$20)</f>
        <v>301618.756067913</v>
      </c>
      <c r="AA9" s="57" t="n">
        <f aca="false">(Channel_PL!AA13+Channel_PL!AA14+Channel_PL!AA17)*(1+Assumptions!$C$20)</f>
        <v>433630.385217083</v>
      </c>
      <c r="AB9" s="57" t="n">
        <f aca="false">(Channel_PL!AB13+Channel_PL!AB14+Channel_PL!AB17)*(1+Assumptions!$C$20)</f>
        <v>385979.382902131</v>
      </c>
    </row>
    <row r="10" customFormat="false" ht="15" hidden="false" customHeight="true" outlineLevel="0" collapsed="false">
      <c r="A10" s="28" t="s">
        <v>782</v>
      </c>
      <c r="B10" s="55" t="s">
        <v>781</v>
      </c>
      <c r="C10" s="56" t="n">
        <f aca="false">SUM(E10:P10)</f>
        <v>-171430.054721708</v>
      </c>
      <c r="D10" s="56" t="n">
        <f aca="false">SUM(Q10:AB10)</f>
        <v>-213354.131595239</v>
      </c>
      <c r="E10" s="57" t="n">
        <f aca="false">Channel_PL!E15*(1+Assumptions!$C$20)</f>
        <v>-10356.975</v>
      </c>
      <c r="F10" s="57" t="n">
        <f aca="false">Channel_PL!F15*(1+Assumptions!$C$20)</f>
        <v>-8931.46</v>
      </c>
      <c r="G10" s="57" t="n">
        <f aca="false">Channel_PL!G15*(1+Assumptions!$C$20)</f>
        <v>-11182.4</v>
      </c>
      <c r="H10" s="57" t="n">
        <f aca="false">Channel_PL!H15*(1+Assumptions!$C$20)</f>
        <v>-12252.44</v>
      </c>
      <c r="I10" s="57" t="n">
        <f aca="false">Channel_PL!I15*(1+Assumptions!$C$20)</f>
        <v>-13949.08</v>
      </c>
      <c r="J10" s="57" t="n">
        <f aca="false">Channel_PL!J15*(1+Assumptions!$C$20)</f>
        <v>-13173.06</v>
      </c>
      <c r="K10" s="57" t="n">
        <f aca="false">Channel_PL!K15*(1+Assumptions!$C$20)</f>
        <v>-12693.47</v>
      </c>
      <c r="L10" s="57" t="n">
        <f aca="false">Channel_PL!L15*(1+Assumptions!$C$20)</f>
        <v>-13939.44</v>
      </c>
      <c r="M10" s="57" t="n">
        <f aca="false">Channel_PL!M15*(1+Assumptions!$C$20)</f>
        <v>-14177.1653033022</v>
      </c>
      <c r="N10" s="57" t="n">
        <f aca="false">Channel_PL!N15*(1+Assumptions!$C$20)</f>
        <v>-16347.0222047662</v>
      </c>
      <c r="O10" s="57" t="n">
        <f aca="false">Channel_PL!O15*(1+Assumptions!$C$20)</f>
        <v>-23504.12770517</v>
      </c>
      <c r="P10" s="57" t="n">
        <f aca="false">Channel_PL!P15*(1+Assumptions!$C$20)</f>
        <v>-20923.4145084699</v>
      </c>
      <c r="Q10" s="57" t="n">
        <f aca="false">Channel_PL!Q15*(1+Assumptions!$C$20)</f>
        <v>-13289.7969315076</v>
      </c>
      <c r="R10" s="57" t="n">
        <f aca="false">Channel_PL!R15*(1+Assumptions!$C$20)</f>
        <v>-12600.1670228092</v>
      </c>
      <c r="S10" s="57" t="n">
        <f aca="false">Channel_PL!S15*(1+Assumptions!$C$20)</f>
        <v>-14447.5845832842</v>
      </c>
      <c r="T10" s="57" t="n">
        <f aca="false">Channel_PL!T15*(1+Assumptions!$C$20)</f>
        <v>-15216.0562864548</v>
      </c>
      <c r="U10" s="57" t="n">
        <f aca="false">Channel_PL!U15*(1+Assumptions!$C$20)</f>
        <v>-16342.2426466561</v>
      </c>
      <c r="V10" s="57" t="n">
        <f aca="false">Channel_PL!V15*(1+Assumptions!$C$20)</f>
        <v>-16146.3962158205</v>
      </c>
      <c r="W10" s="57" t="n">
        <f aca="false">Channel_PL!W15*(1+Assumptions!$C$20)</f>
        <v>-15590.5318512049</v>
      </c>
      <c r="X10" s="57" t="n">
        <f aca="false">Channel_PL!X15*(1+Assumptions!$C$20)</f>
        <v>-15537.0124892034</v>
      </c>
      <c r="Y10" s="57" t="n">
        <f aca="false">Channel_PL!Y15*(1+Assumptions!$C$20)</f>
        <v>-17815.0259201296</v>
      </c>
      <c r="Z10" s="57" t="n">
        <f aca="false">Channel_PL!Z15*(1+Assumptions!$C$20)</f>
        <v>-20541.6681025092</v>
      </c>
      <c r="AA10" s="57" t="n">
        <f aca="false">Channel_PL!AA15*(1+Assumptions!$C$20)</f>
        <v>-29535.2868743167</v>
      </c>
      <c r="AB10" s="57" t="n">
        <f aca="false">Channel_PL!AB15*(1+Assumptions!$C$20)</f>
        <v>-26292.3626713433</v>
      </c>
    </row>
    <row r="11" customFormat="false" ht="15" hidden="false" customHeight="true" outlineLevel="0" collapsed="false">
      <c r="A11" s="28" t="s">
        <v>783</v>
      </c>
      <c r="B11" s="55" t="s">
        <v>43</v>
      </c>
      <c r="C11" s="56" t="n">
        <f aca="false">SUM(E11:P11)</f>
        <v>-58491.4722832462</v>
      </c>
      <c r="D11" s="56" t="n">
        <f aca="false">SUM(Q11:AB11)</f>
        <v>-70753.6999934821</v>
      </c>
      <c r="E11" s="57" t="n">
        <f aca="false">Channel_PL!E25</f>
        <v>-3706</v>
      </c>
      <c r="F11" s="57" t="n">
        <f aca="false">Channel_PL!F25</f>
        <v>-3694</v>
      </c>
      <c r="G11" s="57" t="n">
        <f aca="false">Channel_PL!G25</f>
        <v>-4179</v>
      </c>
      <c r="H11" s="57" t="n">
        <f aca="false">Channel_PL!H25</f>
        <v>-4145</v>
      </c>
      <c r="I11" s="57" t="n">
        <f aca="false">Channel_PL!I25</f>
        <v>-4838</v>
      </c>
      <c r="J11" s="57" t="n">
        <f aca="false">Channel_PL!J25</f>
        <v>-4506</v>
      </c>
      <c r="K11" s="57" t="n">
        <f aca="false">Channel_PL!K25</f>
        <v>-4186</v>
      </c>
      <c r="L11" s="57" t="n">
        <f aca="false">Channel_PL!L25</f>
        <v>-4303</v>
      </c>
      <c r="M11" s="57" t="n">
        <f aca="false">Channel_PL!M25</f>
        <v>-4719.30606336758</v>
      </c>
      <c r="N11" s="57" t="n">
        <f aca="false">Channel_PL!N25</f>
        <v>-5439.5949452008</v>
      </c>
      <c r="O11" s="57" t="n">
        <f aca="false">Channel_PL!O25</f>
        <v>-7818.28597410767</v>
      </c>
      <c r="P11" s="57" t="n">
        <f aca="false">Channel_PL!P25</f>
        <v>-6957.28530057016</v>
      </c>
      <c r="Q11" s="57" t="n">
        <f aca="false">Channel_PL!Q25</f>
        <v>-4417.39031626233</v>
      </c>
      <c r="R11" s="57" t="n">
        <f aca="false">Channel_PL!R25</f>
        <v>-4186.62673099261</v>
      </c>
      <c r="S11" s="57" t="n">
        <f aca="false">Channel_PL!S25</f>
        <v>-4798.70475057163</v>
      </c>
      <c r="T11" s="57" t="n">
        <f aca="false">Channel_PL!T25</f>
        <v>-5052.10150883805</v>
      </c>
      <c r="U11" s="57" t="n">
        <f aca="false">Channel_PL!U25</f>
        <v>-5424.04303837823</v>
      </c>
      <c r="V11" s="57" t="n">
        <f aca="false">Channel_PL!V25</f>
        <v>-5357.08972689517</v>
      </c>
      <c r="W11" s="57" t="n">
        <f aca="false">Channel_PL!W25</f>
        <v>-5170.78428682332</v>
      </c>
      <c r="X11" s="57" t="n">
        <f aca="false">Channel_PL!X25</f>
        <v>-5151.16557757041</v>
      </c>
      <c r="Y11" s="57" t="n">
        <f aca="false">Channel_PL!Y25</f>
        <v>-5904.28468794574</v>
      </c>
      <c r="Z11" s="57" t="n">
        <f aca="false">Channel_PL!Z25</f>
        <v>-6805.49477993838</v>
      </c>
      <c r="AA11" s="57" t="n">
        <f aca="false">Channel_PL!AA25</f>
        <v>-9781.5726805518</v>
      </c>
      <c r="AB11" s="57" t="n">
        <f aca="false">Channel_PL!AB25</f>
        <v>-8704.44190871446</v>
      </c>
    </row>
    <row r="12" customFormat="false" ht="15" hidden="false" customHeight="true" outlineLevel="0" collapsed="false">
      <c r="A12" s="70" t="s">
        <v>784</v>
      </c>
      <c r="B12" s="71" t="s">
        <v>785</v>
      </c>
      <c r="C12" s="72" t="n">
        <f aca="false">SUM(E12:P12)</f>
        <v>2352997.64623591</v>
      </c>
      <c r="D12" s="72" t="n">
        <f aca="false">SUM(Q12:AB12)</f>
        <v>2849490.44198766</v>
      </c>
      <c r="E12" s="72" t="n">
        <f aca="false">E9+E10+E11</f>
        <v>148748.19</v>
      </c>
      <c r="F12" s="72" t="n">
        <f aca="false">F9+F10+F11</f>
        <v>149674.2789</v>
      </c>
      <c r="G12" s="72" t="n">
        <f aca="false">G9+G10+G11</f>
        <v>169632.1039</v>
      </c>
      <c r="H12" s="72" t="n">
        <f aca="false">H9+H10+H11</f>
        <v>168257.2179</v>
      </c>
      <c r="I12" s="72" t="n">
        <f aca="false">I9+I10+I11</f>
        <v>193505.7712</v>
      </c>
      <c r="J12" s="72" t="n">
        <f aca="false">J9+J10+J11</f>
        <v>181163.11125</v>
      </c>
      <c r="K12" s="72" t="n">
        <f aca="false">K9+K10+K11</f>
        <v>168536.80815</v>
      </c>
      <c r="L12" s="72" t="n">
        <f aca="false">L9+L10+L11</f>
        <v>171545.36125</v>
      </c>
      <c r="M12" s="72" t="n">
        <f aca="false">M9+M10+M11</f>
        <v>189550.326450861</v>
      </c>
      <c r="N12" s="72" t="n">
        <f aca="false">N9+N10+N11</f>
        <v>218538.398206892</v>
      </c>
      <c r="O12" s="72" t="n">
        <f aca="false">O9+O10+O11</f>
        <v>314186.354371062</v>
      </c>
      <c r="P12" s="72" t="n">
        <f aca="false">P9+P10+P11</f>
        <v>279659.724657093</v>
      </c>
      <c r="Q12" s="72" t="n">
        <f aca="false">Q9+Q10+Q11</f>
        <v>177611.059820025</v>
      </c>
      <c r="R12" s="72" t="n">
        <f aca="false">R9+R10+R11</f>
        <v>168376.84374771</v>
      </c>
      <c r="S12" s="72" t="n">
        <f aca="false">S9+S10+S11</f>
        <v>193043.78182485</v>
      </c>
      <c r="T12" s="72" t="n">
        <f aca="false">T9+T10+T11</f>
        <v>203290.598081473</v>
      </c>
      <c r="U12" s="72" t="n">
        <f aca="false">U9+U10+U11</f>
        <v>218313.988984879</v>
      </c>
      <c r="V12" s="72" t="n">
        <f aca="false">V9+V10+V11</f>
        <v>215675.267655299</v>
      </c>
      <c r="W12" s="72" t="n">
        <f aca="false">W9+W10+W11</f>
        <v>208228.709364924</v>
      </c>
      <c r="X12" s="72" t="n">
        <f aca="false">X9+X10+X11</f>
        <v>207492.418934944</v>
      </c>
      <c r="Y12" s="72" t="n">
        <f aca="false">Y9+Y10+Y11</f>
        <v>237890.076403808</v>
      </c>
      <c r="Z12" s="72" t="n">
        <f aca="false">Z9+Z10+Z11</f>
        <v>274271.593185466</v>
      </c>
      <c r="AA12" s="72" t="n">
        <f aca="false">AA9+AA10+AA11</f>
        <v>394313.525662215</v>
      </c>
      <c r="AB12" s="72" t="n">
        <f aca="false">AB9+AB10+AB11</f>
        <v>350982.578322073</v>
      </c>
    </row>
    <row r="13" customFormat="false" ht="15" hidden="false" customHeight="true" outlineLevel="0" collapsed="false">
      <c r="A13" s="28" t="s">
        <v>786</v>
      </c>
      <c r="B13" s="55" t="s">
        <v>787</v>
      </c>
      <c r="E13" s="57" t="n">
        <f aca="false">Inputs_Actuals!$C$113</f>
        <v>14900</v>
      </c>
      <c r="F13" s="69" t="n">
        <f aca="false">E16</f>
        <v>13982.19</v>
      </c>
      <c r="G13" s="69" t="n">
        <f aca="false">F16</f>
        <v>16831.4689</v>
      </c>
      <c r="H13" s="69" t="n">
        <f aca="false">G16</f>
        <v>17500.5728</v>
      </c>
      <c r="I13" s="69" t="n">
        <f aca="false">H16</f>
        <v>16124.7907</v>
      </c>
      <c r="J13" s="69" t="n">
        <f aca="false">I16</f>
        <v>21227.5619000001</v>
      </c>
      <c r="K13" s="69" t="n">
        <f aca="false">J16</f>
        <v>19926.6731500001</v>
      </c>
      <c r="L13" s="69" t="n">
        <f aca="false">K16</f>
        <v>16708.4813000001</v>
      </c>
      <c r="M13" s="69" t="n">
        <f aca="false">L16</f>
        <v>16197.8425500001</v>
      </c>
      <c r="N13" s="69" t="n">
        <f aca="false">M16</f>
        <v>18955.0326450861</v>
      </c>
      <c r="O13" s="69" t="n">
        <f aca="false">N16</f>
        <v>21148.8772458283</v>
      </c>
      <c r="P13" s="69" t="n">
        <f aca="false">O16</f>
        <v>31418.6354371062</v>
      </c>
      <c r="Q13" s="69" t="n">
        <f aca="false">P16</f>
        <v>27063.8443216541</v>
      </c>
      <c r="R13" s="69" t="n">
        <f aca="false">Q16</f>
        <v>17188.1670793572</v>
      </c>
      <c r="S13" s="69" t="n">
        <f aca="false">R16</f>
        <v>18040.3761158261</v>
      </c>
      <c r="T13" s="69" t="n">
        <f aca="false">S16</f>
        <v>18681.6563056306</v>
      </c>
      <c r="U13" s="69" t="n">
        <f aca="false">T16</f>
        <v>20329.0598081473</v>
      </c>
      <c r="V13" s="69" t="n">
        <f aca="false">U16</f>
        <v>21127.1602243431</v>
      </c>
      <c r="W13" s="69" t="n">
        <f aca="false">V16</f>
        <v>21567.5267655299</v>
      </c>
      <c r="X13" s="69" t="n">
        <f aca="false">W16</f>
        <v>20151.165422412</v>
      </c>
      <c r="Y13" s="69" t="n">
        <f aca="false">X16</f>
        <v>20079.9115098333</v>
      </c>
      <c r="Z13" s="69" t="n">
        <f aca="false">Y16</f>
        <v>23789.0076403809</v>
      </c>
      <c r="AA13" s="69" t="n">
        <f aca="false">Z16</f>
        <v>26542.4122437547</v>
      </c>
      <c r="AB13" s="69" t="n">
        <f aca="false">AA16</f>
        <v>39431.3525662215</v>
      </c>
    </row>
    <row r="14" customFormat="false" ht="15" hidden="false" customHeight="true" outlineLevel="0" collapsed="false">
      <c r="A14" s="28" t="s">
        <v>788</v>
      </c>
      <c r="B14" s="55" t="s">
        <v>789</v>
      </c>
      <c r="E14" s="57" t="n">
        <f aca="false">E12*Assumptions!$F$113/Assumptions!E$67</f>
        <v>14394.9861290323</v>
      </c>
      <c r="F14" s="57" t="n">
        <f aca="false">F12*Assumptions!$F$113/Assumptions!F$67</f>
        <v>16036.5298821429</v>
      </c>
      <c r="G14" s="57" t="n">
        <f aca="false">G12*Assumptions!$F$113/Assumptions!G$67</f>
        <v>16416.0100548387</v>
      </c>
      <c r="H14" s="57" t="n">
        <f aca="false">H12*Assumptions!$F$113/Assumptions!H$67</f>
        <v>16825.72179</v>
      </c>
      <c r="I14" s="57" t="n">
        <f aca="false">I12*Assumptions!$F$113/Assumptions!I$67</f>
        <v>18726.3649548387</v>
      </c>
      <c r="J14" s="57" t="n">
        <f aca="false">J12*Assumptions!$F$113/Assumptions!J$67</f>
        <v>18116.311125</v>
      </c>
      <c r="K14" s="57" t="n">
        <f aca="false">K12*Assumptions!$F$113/Assumptions!K$67</f>
        <v>16310.0136919355</v>
      </c>
      <c r="L14" s="57" t="n">
        <f aca="false">L12*Assumptions!$F$113/Assumptions!L$67</f>
        <v>16601.1639919355</v>
      </c>
      <c r="M14" s="57" t="n">
        <f aca="false">M12*Assumptions!$F$113/Assumptions!M$67</f>
        <v>18955.0326450861</v>
      </c>
      <c r="N14" s="57" t="n">
        <f aca="false">N12*Assumptions!$F$113/Assumptions!N$67</f>
        <v>21148.8772458283</v>
      </c>
      <c r="O14" s="57" t="n">
        <f aca="false">O12*Assumptions!$F$113/Assumptions!O$67</f>
        <v>31418.6354371062</v>
      </c>
      <c r="P14" s="57" t="n">
        <f aca="false">P12*Assumptions!$F$113/Assumptions!P$67</f>
        <v>27063.8443216541</v>
      </c>
      <c r="Q14" s="57" t="n">
        <f aca="false">Q12*Assumptions!$F$113/Assumptions!Q$67</f>
        <v>17188.1670793572</v>
      </c>
      <c r="R14" s="57" t="n">
        <f aca="false">R12*Assumptions!$F$113/Assumptions!R$67</f>
        <v>18040.3761158261</v>
      </c>
      <c r="S14" s="57" t="n">
        <f aca="false">S12*Assumptions!$F$113/Assumptions!S$67</f>
        <v>18681.6563056306</v>
      </c>
      <c r="T14" s="57" t="n">
        <f aca="false">T12*Assumptions!$F$113/Assumptions!T$67</f>
        <v>20329.0598081473</v>
      </c>
      <c r="U14" s="57" t="n">
        <f aca="false">U12*Assumptions!$F$113/Assumptions!U$67</f>
        <v>21127.1602243431</v>
      </c>
      <c r="V14" s="57" t="n">
        <f aca="false">V12*Assumptions!$F$113/Assumptions!V$67</f>
        <v>21567.5267655299</v>
      </c>
      <c r="W14" s="57" t="n">
        <f aca="false">W12*Assumptions!$F$113/Assumptions!W$67</f>
        <v>20151.165422412</v>
      </c>
      <c r="X14" s="57" t="n">
        <f aca="false">X12*Assumptions!$F$113/Assumptions!X$67</f>
        <v>20079.9115098333</v>
      </c>
      <c r="Y14" s="57" t="n">
        <f aca="false">Y12*Assumptions!$F$113/Assumptions!Y$67</f>
        <v>23789.0076403808</v>
      </c>
      <c r="Z14" s="57" t="n">
        <f aca="false">Z12*Assumptions!$F$113/Assumptions!Z$67</f>
        <v>26542.4122437547</v>
      </c>
      <c r="AA14" s="57" t="n">
        <f aca="false">AA12*Assumptions!$F$113/Assumptions!AA$67</f>
        <v>39431.3525662215</v>
      </c>
      <c r="AB14" s="57" t="n">
        <f aca="false">AB12*Assumptions!$F$113/Assumptions!AB$67</f>
        <v>33966.0559666522</v>
      </c>
    </row>
    <row r="15" customFormat="false" ht="15" hidden="false" customHeight="true" outlineLevel="0" collapsed="false">
      <c r="A15" s="28" t="s">
        <v>790</v>
      </c>
      <c r="B15" s="55" t="s">
        <v>791</v>
      </c>
      <c r="C15" s="56" t="n">
        <f aca="false">SUM(E15:P15)</f>
        <v>-2340833.80191425</v>
      </c>
      <c r="D15" s="56" t="n">
        <f aca="false">SUM(Q15:AB15)</f>
        <v>-2842588.23034267</v>
      </c>
      <c r="E15" s="57" t="n">
        <f aca="false">-IF(E$5="A",Inputs_Actuals!E105,(E13+E12-E14))</f>
        <v>-149666</v>
      </c>
      <c r="F15" s="57" t="n">
        <f aca="false">-IF(F$5="A",Inputs_Actuals!F105,(F13+F12-F14))</f>
        <v>-146825</v>
      </c>
      <c r="G15" s="57" t="n">
        <f aca="false">-IF(G$5="A",Inputs_Actuals!G105,(G13+G12-G14))</f>
        <v>-168963</v>
      </c>
      <c r="H15" s="57" t="n">
        <f aca="false">-IF(H$5="A",Inputs_Actuals!H105,(H13+H12-H14))</f>
        <v>-169633</v>
      </c>
      <c r="I15" s="57" t="n">
        <f aca="false">-IF(I$5="A",Inputs_Actuals!I105,(I13+I12-I14))</f>
        <v>-188403</v>
      </c>
      <c r="J15" s="57" t="n">
        <f aca="false">-IF(J$5="A",Inputs_Actuals!J105,(J13+J12-J14))</f>
        <v>-182464</v>
      </c>
      <c r="K15" s="57" t="n">
        <f aca="false">-IF(K$5="A",Inputs_Actuals!K105,(K13+K12-K14))</f>
        <v>-171755</v>
      </c>
      <c r="L15" s="57" t="n">
        <f aca="false">-IF(L$5="A",Inputs_Actuals!L105,(L13+L12-L14))</f>
        <v>-172056</v>
      </c>
      <c r="M15" s="57" t="n">
        <f aca="false">-IF(M$5="A",Inputs_Actuals!M105,(M13+M12-M14))</f>
        <v>-186793.136355775</v>
      </c>
      <c r="N15" s="57" t="n">
        <f aca="false">-IF(N$5="A",Inputs_Actuals!N105,(N13+N12-N14))</f>
        <v>-216344.55360615</v>
      </c>
      <c r="O15" s="57" t="n">
        <f aca="false">-IF(O$5="A",Inputs_Actuals!O105,(O13+O12-O14))</f>
        <v>-303916.596179784</v>
      </c>
      <c r="P15" s="57" t="n">
        <f aca="false">-IF(P$5="A",Inputs_Actuals!P105,(P13+P12-P14))</f>
        <v>-284014.515772545</v>
      </c>
      <c r="Q15" s="57" t="n">
        <f aca="false">-IF(Q$5="A",Inputs_Actuals!Q105,(Q13+Q12-Q14))</f>
        <v>-187486.737062322</v>
      </c>
      <c r="R15" s="57" t="n">
        <f aca="false">-IF(R$5="A",Inputs_Actuals!R105,(R13+R12-R14))</f>
        <v>-167524.634711241</v>
      </c>
      <c r="S15" s="57" t="n">
        <f aca="false">-IF(S$5="A",Inputs_Actuals!S105,(S13+S12-S14))</f>
        <v>-192402.501635045</v>
      </c>
      <c r="T15" s="57" t="n">
        <f aca="false">-IF(T$5="A",Inputs_Actuals!T105,(T13+T12-T14))</f>
        <v>-201643.194578956</v>
      </c>
      <c r="U15" s="57" t="n">
        <f aca="false">-IF(U$5="A",Inputs_Actuals!U105,(U13+U12-U14))</f>
        <v>-217515.888568683</v>
      </c>
      <c r="V15" s="57" t="n">
        <f aca="false">-IF(V$5="A",Inputs_Actuals!V105,(V13+V12-V14))</f>
        <v>-215234.901114112</v>
      </c>
      <c r="W15" s="57" t="n">
        <f aca="false">-IF(W$5="A",Inputs_Actuals!W105,(W13+W12-W14))</f>
        <v>-209645.070708042</v>
      </c>
      <c r="X15" s="57" t="n">
        <f aca="false">-IF(X$5="A",Inputs_Actuals!X105,(X13+X12-X14))</f>
        <v>-207563.672847523</v>
      </c>
      <c r="Y15" s="57" t="n">
        <f aca="false">-IF(Y$5="A",Inputs_Actuals!Y105,(Y13+Y12-Y14))</f>
        <v>-234180.980273261</v>
      </c>
      <c r="Z15" s="57" t="n">
        <f aca="false">-IF(Z$5="A",Inputs_Actuals!Z105,(Z13+Z12-Z14))</f>
        <v>-271518.188582092</v>
      </c>
      <c r="AA15" s="57" t="n">
        <f aca="false">-IF(AA$5="A",Inputs_Actuals!AA105,(AA13+AA12-AA14))</f>
        <v>-381424.585339748</v>
      </c>
      <c r="AB15" s="57" t="n">
        <f aca="false">-IF(AB$5="A",Inputs_Actuals!AB105,(AB13+AB12-AB14))</f>
        <v>-356447.874921642</v>
      </c>
    </row>
    <row r="16" customFormat="false" ht="15" hidden="false" customHeight="true" outlineLevel="0" collapsed="false">
      <c r="A16" s="70" t="s">
        <v>792</v>
      </c>
      <c r="B16" s="71" t="s">
        <v>793</v>
      </c>
      <c r="C16" s="72" t="n">
        <f aca="false">P16</f>
        <v>27063.8443216541</v>
      </c>
      <c r="D16" s="72" t="n">
        <f aca="false">AB16</f>
        <v>33966.0559666522</v>
      </c>
      <c r="E16" s="72" t="n">
        <f aca="false">E13+E12+E15</f>
        <v>13982.19</v>
      </c>
      <c r="F16" s="72" t="n">
        <f aca="false">F13+F12+F15</f>
        <v>16831.4689</v>
      </c>
      <c r="G16" s="72" t="n">
        <f aca="false">G13+G12+G15</f>
        <v>17500.5728</v>
      </c>
      <c r="H16" s="72" t="n">
        <f aca="false">H13+H12+H15</f>
        <v>16124.7907</v>
      </c>
      <c r="I16" s="72" t="n">
        <f aca="false">I13+I12+I15</f>
        <v>21227.5619000001</v>
      </c>
      <c r="J16" s="72" t="n">
        <f aca="false">J13+J12+J15</f>
        <v>19926.6731500001</v>
      </c>
      <c r="K16" s="72" t="n">
        <f aca="false">K13+K12+K15</f>
        <v>16708.4813000001</v>
      </c>
      <c r="L16" s="72" t="n">
        <f aca="false">L13+L12+L15</f>
        <v>16197.8425500001</v>
      </c>
      <c r="M16" s="72" t="n">
        <f aca="false">M13+M12+M15</f>
        <v>18955.0326450861</v>
      </c>
      <c r="N16" s="72" t="n">
        <f aca="false">N13+N12+N15</f>
        <v>21148.8772458283</v>
      </c>
      <c r="O16" s="72" t="n">
        <f aca="false">O13+O12+O15</f>
        <v>31418.6354371062</v>
      </c>
      <c r="P16" s="72" t="n">
        <f aca="false">P13+P12+P15</f>
        <v>27063.8443216541</v>
      </c>
      <c r="Q16" s="72" t="n">
        <f aca="false">Q13+Q12+Q15</f>
        <v>17188.1670793572</v>
      </c>
      <c r="R16" s="72" t="n">
        <f aca="false">R13+R12+R15</f>
        <v>18040.3761158261</v>
      </c>
      <c r="S16" s="72" t="n">
        <f aca="false">S13+S12+S15</f>
        <v>18681.6563056306</v>
      </c>
      <c r="T16" s="72" t="n">
        <f aca="false">T13+T12+T15</f>
        <v>20329.0598081473</v>
      </c>
      <c r="U16" s="72" t="n">
        <f aca="false">U13+U12+U15</f>
        <v>21127.1602243431</v>
      </c>
      <c r="V16" s="72" t="n">
        <f aca="false">V13+V12+V15</f>
        <v>21567.5267655299</v>
      </c>
      <c r="W16" s="72" t="n">
        <f aca="false">W13+W12+W15</f>
        <v>20151.165422412</v>
      </c>
      <c r="X16" s="72" t="n">
        <f aca="false">X13+X12+X15</f>
        <v>20079.9115098333</v>
      </c>
      <c r="Y16" s="72" t="n">
        <f aca="false">Y13+Y12+Y15</f>
        <v>23789.0076403809</v>
      </c>
      <c r="Z16" s="72" t="n">
        <f aca="false">Z13+Z12+Z15</f>
        <v>26542.4122437547</v>
      </c>
      <c r="AA16" s="72" t="n">
        <f aca="false">AA13+AA12+AA15</f>
        <v>39431.3525662215</v>
      </c>
      <c r="AB16" s="72" t="n">
        <f aca="false">AB13+AB12+AB15</f>
        <v>33966.0559666522</v>
      </c>
    </row>
    <row r="17" customFormat="false" ht="15" hidden="false" customHeight="true" outlineLevel="0" collapsed="false">
      <c r="A17" s="28" t="s">
        <v>794</v>
      </c>
      <c r="B17" s="55" t="s">
        <v>315</v>
      </c>
      <c r="E17" s="67" t="n">
        <f aca="false">IF(E12=0,0,E16/E12*Assumptions!E$67)</f>
        <v>2.91397085235121</v>
      </c>
      <c r="F17" s="67" t="n">
        <f aca="false">IF(F12=0,0,F16/F12*Assumptions!F$67)</f>
        <v>3.14871153990909</v>
      </c>
      <c r="G17" s="67" t="n">
        <f aca="false">IF(G12=0,0,G16/G12*Assumptions!G$67)</f>
        <v>3.19820213466091</v>
      </c>
      <c r="H17" s="67" t="n">
        <f aca="false">IF(H12=0,0,H16/H12*Assumptions!H$67)</f>
        <v>2.87502507789891</v>
      </c>
      <c r="I17" s="67" t="n">
        <f aca="false">IF(I12=0,0,I16/I12*Assumptions!I$67)</f>
        <v>3.40069660361635</v>
      </c>
      <c r="J17" s="67" t="n">
        <f aca="false">IF(J12=0,0,J16/J12*Assumptions!J$67)</f>
        <v>3.29978984339176</v>
      </c>
      <c r="K17" s="67" t="n">
        <f aca="false">IF(K12=0,0,K16/K12*Assumptions!K$67)</f>
        <v>3.07329257024382</v>
      </c>
      <c r="L17" s="67" t="n">
        <f aca="false">IF(L12=0,0,L16/L12*Assumptions!L$67)</f>
        <v>2.92711569343005</v>
      </c>
      <c r="M17" s="67" t="n">
        <f aca="false">IF(M12=0,0,M16/M12*Assumptions!M$67)</f>
        <v>3</v>
      </c>
      <c r="N17" s="67" t="n">
        <f aca="false">IF(N12=0,0,N16/N12*Assumptions!N$67)</f>
        <v>3</v>
      </c>
      <c r="O17" s="67" t="n">
        <f aca="false">IF(O12=0,0,O16/O12*Assumptions!O$67)</f>
        <v>3</v>
      </c>
      <c r="P17" s="67" t="n">
        <f aca="false">IF(P12=0,0,P16/P12*Assumptions!P$67)</f>
        <v>3</v>
      </c>
      <c r="Q17" s="67" t="n">
        <f aca="false">IF(Q12=0,0,Q16/Q12*Assumptions!Q$67)</f>
        <v>3</v>
      </c>
      <c r="R17" s="67" t="n">
        <f aca="false">IF(R12=0,0,R16/R12*Assumptions!R$67)</f>
        <v>3</v>
      </c>
      <c r="S17" s="67" t="n">
        <f aca="false">IF(S12=0,0,S16/S12*Assumptions!S$67)</f>
        <v>3</v>
      </c>
      <c r="T17" s="67" t="n">
        <f aca="false">IF(T12=0,0,T16/T12*Assumptions!T$67)</f>
        <v>3</v>
      </c>
      <c r="U17" s="67" t="n">
        <f aca="false">IF(U12=0,0,U16/U12*Assumptions!U$67)</f>
        <v>3</v>
      </c>
      <c r="V17" s="67" t="n">
        <f aca="false">IF(V12=0,0,V16/V12*Assumptions!V$67)</f>
        <v>3</v>
      </c>
      <c r="W17" s="67" t="n">
        <f aca="false">IF(W12=0,0,W16/W12*Assumptions!W$67)</f>
        <v>3</v>
      </c>
      <c r="X17" s="67" t="n">
        <f aca="false">IF(X12=0,0,X16/X12*Assumptions!X$67)</f>
        <v>3</v>
      </c>
      <c r="Y17" s="67" t="n">
        <f aca="false">IF(Y12=0,0,Y16/Y12*Assumptions!Y$67)</f>
        <v>3</v>
      </c>
      <c r="Z17" s="67" t="n">
        <f aca="false">IF(Z12=0,0,Z16/Z12*Assumptions!Z$67)</f>
        <v>3</v>
      </c>
      <c r="AA17" s="67" t="n">
        <f aca="false">IF(AA12=0,0,AA16/AA12*Assumptions!AA$67)</f>
        <v>3</v>
      </c>
      <c r="AB17" s="67" t="n">
        <f aca="false">IF(AB12=0,0,AB16/AB12*Assumptions!AB$67)</f>
        <v>3</v>
      </c>
    </row>
    <row r="19" customFormat="false" ht="15" hidden="false" customHeight="true" outlineLevel="0" collapsed="false">
      <c r="A19" s="22" t="s">
        <v>692</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row>
    <row r="20" customFormat="false" ht="15" hidden="false" customHeight="true" outlineLevel="0" collapsed="false">
      <c r="A20" s="28" t="s">
        <v>795</v>
      </c>
      <c r="B20" s="55" t="s">
        <v>781</v>
      </c>
      <c r="C20" s="56" t="n">
        <f aca="false">SUM(E20:P20)</f>
        <v>2378016.2034318</v>
      </c>
      <c r="D20" s="56" t="n">
        <f aca="false">SUM(Q20:AB20)</f>
        <v>2975656.37423516</v>
      </c>
      <c r="E20" s="57" t="n">
        <f aca="false">(Channel_PL!E51+Channel_PL!E52)*(1+Assumptions!$C$21)</f>
        <v>165850.25935</v>
      </c>
      <c r="F20" s="57" t="n">
        <f aca="false">(Channel_PL!F51+Channel_PL!F52)*(1+Assumptions!$C$21)</f>
        <v>142773.6779</v>
      </c>
      <c r="G20" s="57" t="n">
        <f aca="false">(Channel_PL!G51+Channel_PL!G52)*(1+Assumptions!$C$21)</f>
        <v>167243.5647</v>
      </c>
      <c r="H20" s="57" t="n">
        <f aca="false">(Channel_PL!H51+Channel_PL!H52)*(1+Assumptions!$C$21)</f>
        <v>181563.9293</v>
      </c>
      <c r="I20" s="57" t="n">
        <f aca="false">(Channel_PL!I51+Channel_PL!I52)*(1+Assumptions!$C$21)</f>
        <v>197977.0174</v>
      </c>
      <c r="J20" s="57" t="n">
        <f aca="false">(Channel_PL!J51+Channel_PL!J52)*(1+Assumptions!$C$21)</f>
        <v>182466.5948</v>
      </c>
      <c r="K20" s="57" t="n">
        <f aca="false">(Channel_PL!K51+Channel_PL!K52)*(1+Assumptions!$C$21)</f>
        <v>162413.64755</v>
      </c>
      <c r="L20" s="57" t="n">
        <f aca="false">(Channel_PL!L51+Channel_PL!L52)*(1+Assumptions!$C$21)</f>
        <v>160807.0813</v>
      </c>
      <c r="M20" s="57" t="n">
        <f aca="false">(Channel_PL!M51+Channel_PL!M52)*(1+Assumptions!$C$21)</f>
        <v>191320.947889041</v>
      </c>
      <c r="N20" s="57" t="n">
        <f aca="false">(Channel_PL!N51+Channel_PL!N52)*(1+Assumptions!$C$21)</f>
        <v>221307.533063983</v>
      </c>
      <c r="O20" s="57" t="n">
        <f aca="false">(Channel_PL!O51+Channel_PL!O52)*(1+Assumptions!$C$21)</f>
        <v>319217.069609466</v>
      </c>
      <c r="P20" s="57" t="n">
        <f aca="false">(Channel_PL!P51+Channel_PL!P52)*(1+Assumptions!$C$21)</f>
        <v>285074.88056931</v>
      </c>
      <c r="Q20" s="57" t="n">
        <f aca="false">(Channel_PL!Q51+Channel_PL!Q52)*(1+Assumptions!$C$21)</f>
        <v>181647.389550209</v>
      </c>
      <c r="R20" s="57" t="n">
        <f aca="false">(Channel_PL!R51+Channel_PL!R52)*(1+Assumptions!$C$21)</f>
        <v>172771.276452477</v>
      </c>
      <c r="S20" s="57" t="n">
        <f aca="false">(Channel_PL!S51+Channel_PL!S52)*(1+Assumptions!$C$21)</f>
        <v>198735.251815355</v>
      </c>
      <c r="T20" s="57" t="n">
        <f aca="false">(Channel_PL!T51+Channel_PL!T52)*(1+Assumptions!$C$21)</f>
        <v>209974.324929807</v>
      </c>
      <c r="U20" s="57" t="n">
        <f aca="false">(Channel_PL!U51+Channel_PL!U52)*(1+Assumptions!$C$21)</f>
        <v>226235.193789314</v>
      </c>
      <c r="V20" s="57" t="n">
        <f aca="false">(Channel_PL!V51+Channel_PL!V52)*(1+Assumptions!$C$21)</f>
        <v>224237.653744124</v>
      </c>
      <c r="W20" s="57" t="n">
        <f aca="false">(Channel_PL!W51+Channel_PL!W52)*(1+Assumptions!$C$21)</f>
        <v>217209.236936561</v>
      </c>
      <c r="X20" s="57" t="n">
        <f aca="false">(Channel_PL!X51+Channel_PL!X52)*(1+Assumptions!$C$21)</f>
        <v>217154.73213163</v>
      </c>
      <c r="Y20" s="57" t="n">
        <f aca="false">(Channel_PL!Y51+Channel_PL!Y52)*(1+Assumptions!$C$21)</f>
        <v>249788.629563932</v>
      </c>
      <c r="Z20" s="57" t="n">
        <f aca="false">(Channel_PL!Z51+Channel_PL!Z52)*(1+Assumptions!$C$21)</f>
        <v>288939.115168336</v>
      </c>
      <c r="AA20" s="57" t="n">
        <f aca="false">(Channel_PL!AA51+Channel_PL!AA52)*(1+Assumptions!$C$21)</f>
        <v>416769.806082119</v>
      </c>
      <c r="AB20" s="57" t="n">
        <f aca="false">(Channel_PL!AB51+Channel_PL!AB52)*(1+Assumptions!$C$21)</f>
        <v>372193.764071291</v>
      </c>
    </row>
    <row r="21" customFormat="false" ht="15" hidden="false" customHeight="true" outlineLevel="0" collapsed="false">
      <c r="A21" s="28" t="s">
        <v>782</v>
      </c>
      <c r="B21" s="55" t="s">
        <v>781</v>
      </c>
      <c r="C21" s="56" t="n">
        <f aca="false">SUM(E21:P21)</f>
        <v>-182629.853682172</v>
      </c>
      <c r="D21" s="56" t="n">
        <f aca="false">SUM(Q21:AB21)</f>
        <v>-232473.154237122</v>
      </c>
      <c r="E21" s="57" t="n">
        <f aca="false">Channel_PL!E53*(1+Assumptions!$C$21)</f>
        <v>-12815.175</v>
      </c>
      <c r="F21" s="57" t="n">
        <f aca="false">Channel_PL!F53*(1+Assumptions!$C$21)</f>
        <v>-12335.585</v>
      </c>
      <c r="G21" s="57" t="n">
        <f aca="false">Channel_PL!G53*(1+Assumptions!$C$21)</f>
        <v>-13094.735</v>
      </c>
      <c r="H21" s="57" t="n">
        <f aca="false">Channel_PL!H53*(1+Assumptions!$C$21)</f>
        <v>-12464.52</v>
      </c>
      <c r="I21" s="57" t="n">
        <f aca="false">Channel_PL!I53*(1+Assumptions!$C$21)</f>
        <v>-14123.805</v>
      </c>
      <c r="J21" s="57" t="n">
        <f aca="false">Channel_PL!J53*(1+Assumptions!$C$21)</f>
        <v>-14228.64</v>
      </c>
      <c r="K21" s="57" t="n">
        <f aca="false">Channel_PL!K53*(1+Assumptions!$C$21)</f>
        <v>-10912.48</v>
      </c>
      <c r="L21" s="57" t="n">
        <f aca="false">Channel_PL!L53*(1+Assumptions!$C$21)</f>
        <v>-13208.005</v>
      </c>
      <c r="M21" s="57" t="n">
        <f aca="false">Channel_PL!M53*(1+Assumptions!$C$21)</f>
        <v>-14946.9490538313</v>
      </c>
      <c r="N21" s="57" t="n">
        <f aca="false">Channel_PL!N53*(1+Assumptions!$C$21)</f>
        <v>-17289.6510206237</v>
      </c>
      <c r="O21" s="57" t="n">
        <f aca="false">Channel_PL!O53*(1+Assumptions!$C$21)</f>
        <v>-24938.8335632395</v>
      </c>
      <c r="P21" s="57" t="n">
        <f aca="false">Channel_PL!P53*(1+Assumptions!$C$21)</f>
        <v>-22271.4750444773</v>
      </c>
      <c r="Q21" s="57" t="n">
        <f aca="false">Channel_PL!Q53*(1+Assumptions!$C$21)</f>
        <v>-14191.2023086101</v>
      </c>
      <c r="R21" s="57" t="n">
        <f aca="false">Channel_PL!R53*(1+Assumptions!$C$21)</f>
        <v>-13497.7559728498</v>
      </c>
      <c r="S21" s="57" t="n">
        <f aca="false">Channel_PL!S53*(1+Assumptions!$C$21)</f>
        <v>-15526.1915480746</v>
      </c>
      <c r="T21" s="57" t="n">
        <f aca="false">Channel_PL!T53*(1+Assumptions!$C$21)</f>
        <v>-16404.2441351412</v>
      </c>
      <c r="U21" s="57" t="n">
        <f aca="false">Channel_PL!U53*(1+Assumptions!$C$21)</f>
        <v>-17674.6245147902</v>
      </c>
      <c r="V21" s="57" t="n">
        <f aca="false">Channel_PL!V53*(1+Assumptions!$C$21)</f>
        <v>-17518.5666987597</v>
      </c>
      <c r="W21" s="57" t="n">
        <f aca="false">Channel_PL!W53*(1+Assumptions!$C$21)</f>
        <v>-16969.4716356688</v>
      </c>
      <c r="X21" s="57" t="n">
        <f aca="false">Channel_PL!X53*(1+Assumptions!$C$21)</f>
        <v>-16965.2134477836</v>
      </c>
      <c r="Y21" s="57" t="n">
        <f aca="false">Channel_PL!Y53*(1+Assumptions!$C$21)</f>
        <v>-19514.7366846822</v>
      </c>
      <c r="Z21" s="57" t="n">
        <f aca="false">Channel_PL!Z53*(1+Assumptions!$C$21)</f>
        <v>-22573.3683725263</v>
      </c>
      <c r="AA21" s="57" t="n">
        <f aca="false">Channel_PL!AA53*(1+Assumptions!$C$21)</f>
        <v>-32560.1411001656</v>
      </c>
      <c r="AB21" s="57" t="n">
        <f aca="false">Channel_PL!AB53*(1+Assumptions!$C$21)</f>
        <v>-29077.6378180696</v>
      </c>
    </row>
    <row r="22" customFormat="false" ht="15" hidden="false" customHeight="true" outlineLevel="0" collapsed="false">
      <c r="A22" s="28" t="s">
        <v>783</v>
      </c>
      <c r="B22" s="55" t="s">
        <v>43</v>
      </c>
      <c r="C22" s="56" t="n">
        <f aca="false">SUM(E22:P22)</f>
        <v>-687894.692553811</v>
      </c>
      <c r="D22" s="56" t="n">
        <f aca="false">SUM(Q22:AB22)</f>
        <v>-857610.727136102</v>
      </c>
      <c r="E22" s="57" t="n">
        <f aca="false">Channel_PL!E62+Channel_PL!E63+Channel_PL!E64+Channel_PL!E69</f>
        <v>-45624</v>
      </c>
      <c r="F22" s="57" t="n">
        <f aca="false">Channel_PL!F62+Channel_PL!F63+Channel_PL!F64+Channel_PL!F69</f>
        <v>-38937</v>
      </c>
      <c r="G22" s="57" t="n">
        <f aca="false">Channel_PL!G62+Channel_PL!G63+Channel_PL!G64+Channel_PL!G69</f>
        <v>-46270</v>
      </c>
      <c r="H22" s="57" t="n">
        <f aca="false">Channel_PL!H62+Channel_PL!H63+Channel_PL!H64+Channel_PL!H69</f>
        <v>-51807</v>
      </c>
      <c r="I22" s="57" t="n">
        <f aca="false">Channel_PL!I62+Channel_PL!I63+Channel_PL!I64+Channel_PL!I69</f>
        <v>-56333</v>
      </c>
      <c r="J22" s="57" t="n">
        <f aca="false">Channel_PL!J62+Channel_PL!J63+Channel_PL!J64+Channel_PL!J69</f>
        <v>-54341</v>
      </c>
      <c r="K22" s="57" t="n">
        <f aca="false">Channel_PL!K62+Channel_PL!K63+Channel_PL!K64+Channel_PL!K69</f>
        <v>-47084</v>
      </c>
      <c r="L22" s="57" t="n">
        <f aca="false">Channel_PL!L62+Channel_PL!L63+Channel_PL!L64+Channel_PL!L69</f>
        <v>-45409</v>
      </c>
      <c r="M22" s="57" t="n">
        <f aca="false">Channel_PL!M62+Channel_PL!M63+Channel_PL!M64+Channel_PL!M69</f>
        <v>-54328.5724741456</v>
      </c>
      <c r="N22" s="57" t="n">
        <f aca="false">Channel_PL!N62+Channel_PL!N63+Channel_PL!N64+Channel_PL!N69</f>
        <v>-66457.6227587112</v>
      </c>
      <c r="O22" s="57" t="n">
        <f aca="false">Channel_PL!O62+Channel_PL!O63+Channel_PL!O64+Channel_PL!O69</f>
        <v>-95801.0216629724</v>
      </c>
      <c r="P22" s="57" t="n">
        <f aca="false">Channel_PL!P62+Channel_PL!P63+Channel_PL!P64+Channel_PL!P69</f>
        <v>-85502.4756579814</v>
      </c>
      <c r="Q22" s="57" t="n">
        <f aca="false">Channel_PL!Q62+Channel_PL!Q63+Channel_PL!Q64+Channel_PL!Q69</f>
        <v>-51468.5769687867</v>
      </c>
      <c r="R22" s="57" t="n">
        <f aca="false">Channel_PL!R62+Channel_PL!R63+Channel_PL!R64+Channel_PL!R69</f>
        <v>-48926.821709477</v>
      </c>
      <c r="S22" s="57" t="n">
        <f aca="false">Channel_PL!S62+Channel_PL!S63+Channel_PL!S64+Channel_PL!S69</f>
        <v>-56248.7787449521</v>
      </c>
      <c r="T22" s="57" t="n">
        <f aca="false">Channel_PL!T62+Channel_PL!T63+Channel_PL!T64+Channel_PL!T69</f>
        <v>-59397.3909536831</v>
      </c>
      <c r="U22" s="57" t="n">
        <f aca="false">Channel_PL!U62+Channel_PL!U63+Channel_PL!U64+Channel_PL!U69</f>
        <v>-63962.37627342</v>
      </c>
      <c r="V22" s="57" t="n">
        <f aca="false">Channel_PL!V62+Channel_PL!V63+Channel_PL!V64+Channel_PL!V69</f>
        <v>-63363.1084944921</v>
      </c>
      <c r="W22" s="57" t="n">
        <f aca="false">Channel_PL!W62+Channel_PL!W63+Channel_PL!W64+Channel_PL!W69</f>
        <v>-61343.7040379664</v>
      </c>
      <c r="X22" s="57" t="n">
        <f aca="false">Channel_PL!X62+Channel_PL!X63+Channel_PL!X64+Channel_PL!X69</f>
        <v>-61294.9982075411</v>
      </c>
      <c r="Y22" s="57" t="n">
        <f aca="false">Channel_PL!Y62+Channel_PL!Y63+Channel_PL!Y64+Channel_PL!Y69</f>
        <v>-70468.1221258838</v>
      </c>
      <c r="Z22" s="57" t="n">
        <f aca="false">Channel_PL!Z62+Channel_PL!Z63+Channel_PL!Z64+Channel_PL!Z69</f>
        <v>-86138.6854366771</v>
      </c>
      <c r="AA22" s="57" t="n">
        <f aca="false">Channel_PL!AA62+Channel_PL!AA63+Channel_PL!AA64+Channel_PL!AA69</f>
        <v>-124172.91446774</v>
      </c>
      <c r="AB22" s="57" t="n">
        <f aca="false">Channel_PL!AB62+Channel_PL!AB63+Channel_PL!AB64+Channel_PL!AB69</f>
        <v>-110825.249715482</v>
      </c>
    </row>
    <row r="23" customFormat="false" ht="15" hidden="false" customHeight="true" outlineLevel="0" collapsed="false">
      <c r="A23" s="70" t="s">
        <v>784</v>
      </c>
      <c r="B23" s="71" t="s">
        <v>785</v>
      </c>
      <c r="C23" s="72" t="n">
        <f aca="false">SUM(E23:P23)</f>
        <v>1507491.65719582</v>
      </c>
      <c r="D23" s="72" t="n">
        <f aca="false">SUM(Q23:AB23)</f>
        <v>1885572.49286193</v>
      </c>
      <c r="E23" s="72" t="n">
        <f aca="false">E20+E21+E22</f>
        <v>107411.08435</v>
      </c>
      <c r="F23" s="72" t="n">
        <f aca="false">F20+F21+F22</f>
        <v>91501.0929</v>
      </c>
      <c r="G23" s="72" t="n">
        <f aca="false">G20+G21+G22</f>
        <v>107878.8297</v>
      </c>
      <c r="H23" s="72" t="n">
        <f aca="false">H20+H21+H22</f>
        <v>117292.4093</v>
      </c>
      <c r="I23" s="72" t="n">
        <f aca="false">I20+I21+I22</f>
        <v>127520.2124</v>
      </c>
      <c r="J23" s="72" t="n">
        <f aca="false">J20+J21+J22</f>
        <v>113896.9548</v>
      </c>
      <c r="K23" s="72" t="n">
        <f aca="false">K20+K21+K22</f>
        <v>104417.16755</v>
      </c>
      <c r="L23" s="72" t="n">
        <f aca="false">L20+L21+L22</f>
        <v>102190.0763</v>
      </c>
      <c r="M23" s="72" t="n">
        <f aca="false">M20+M21+M22</f>
        <v>122045.426361064</v>
      </c>
      <c r="N23" s="72" t="n">
        <f aca="false">N20+N21+N22</f>
        <v>137560.259284648</v>
      </c>
      <c r="O23" s="72" t="n">
        <f aca="false">O20+O21+O22</f>
        <v>198477.214383254</v>
      </c>
      <c r="P23" s="72" t="n">
        <f aca="false">P20+P21+P22</f>
        <v>177300.929866851</v>
      </c>
      <c r="Q23" s="72" t="n">
        <f aca="false">Q20+Q21+Q22</f>
        <v>115987.610272812</v>
      </c>
      <c r="R23" s="72" t="n">
        <f aca="false">R20+R21+R22</f>
        <v>110346.69877015</v>
      </c>
      <c r="S23" s="72" t="n">
        <f aca="false">S20+S21+S22</f>
        <v>126960.281522328</v>
      </c>
      <c r="T23" s="72" t="n">
        <f aca="false">T20+T21+T22</f>
        <v>134172.689840983</v>
      </c>
      <c r="U23" s="72" t="n">
        <f aca="false">U20+U21+U22</f>
        <v>144598.193001104</v>
      </c>
      <c r="V23" s="72" t="n">
        <f aca="false">V20+V21+V22</f>
        <v>143355.978550873</v>
      </c>
      <c r="W23" s="72" t="n">
        <f aca="false">W20+W21+W22</f>
        <v>138896.061262926</v>
      </c>
      <c r="X23" s="72" t="n">
        <f aca="false">X20+X21+X22</f>
        <v>138894.520476306</v>
      </c>
      <c r="Y23" s="72" t="n">
        <f aca="false">Y20+Y21+Y22</f>
        <v>159805.770753366</v>
      </c>
      <c r="Z23" s="72" t="n">
        <f aca="false">Z20+Z21+Z22</f>
        <v>180227.061359133</v>
      </c>
      <c r="AA23" s="72" t="n">
        <f aca="false">AA20+AA21+AA22</f>
        <v>260036.750514213</v>
      </c>
      <c r="AB23" s="72" t="n">
        <f aca="false">AB20+AB21+AB22</f>
        <v>232290.876537739</v>
      </c>
    </row>
    <row r="24" customFormat="false" ht="15" hidden="false" customHeight="true" outlineLevel="0" collapsed="false">
      <c r="A24" s="28" t="s">
        <v>786</v>
      </c>
      <c r="B24" s="55" t="s">
        <v>787</v>
      </c>
      <c r="E24" s="57" t="n">
        <f aca="false">Inputs_Actuals!$C$114</f>
        <v>118600</v>
      </c>
      <c r="F24" s="69" t="n">
        <f aca="false">E27</f>
        <v>65087.08435</v>
      </c>
      <c r="G24" s="69" t="n">
        <f aca="false">F27</f>
        <v>72156.17725</v>
      </c>
      <c r="H24" s="69" t="n">
        <f aca="false">G27</f>
        <v>79788.0069500001</v>
      </c>
      <c r="I24" s="69" t="n">
        <f aca="false">H27</f>
        <v>85470.4162500001</v>
      </c>
      <c r="J24" s="69" t="n">
        <f aca="false">I27</f>
        <v>93069.6286500001</v>
      </c>
      <c r="K24" s="69" t="n">
        <f aca="false">J27</f>
        <v>88954.5834500001</v>
      </c>
      <c r="L24" s="69" t="n">
        <f aca="false">K27</f>
        <v>67025.7510000001</v>
      </c>
      <c r="M24" s="69" t="n">
        <f aca="false">L27</f>
        <v>65494.8273000001</v>
      </c>
      <c r="N24" s="69" t="n">
        <f aca="false">M27</f>
        <v>85431.7984527448</v>
      </c>
      <c r="O24" s="69" t="n">
        <f aca="false">N27</f>
        <v>93185.982096052</v>
      </c>
      <c r="P24" s="69" t="n">
        <f aca="false">O27</f>
        <v>138934.050068278</v>
      </c>
      <c r="Q24" s="69" t="n">
        <f aca="false">P27</f>
        <v>120107.081522706</v>
      </c>
      <c r="R24" s="69" t="n">
        <f aca="false">Q27</f>
        <v>78572.2521202923</v>
      </c>
      <c r="S24" s="69" t="n">
        <f aca="false">R27</f>
        <v>82760.0240776126</v>
      </c>
      <c r="T24" s="69" t="n">
        <f aca="false">S27</f>
        <v>86005.3519989963</v>
      </c>
      <c r="U24" s="69" t="n">
        <f aca="false">T27</f>
        <v>93920.8828886878</v>
      </c>
      <c r="V24" s="69" t="n">
        <f aca="false">U27</f>
        <v>97953.6146136512</v>
      </c>
      <c r="W24" s="69" t="n">
        <f aca="false">V27</f>
        <v>100349.184985611</v>
      </c>
      <c r="X24" s="69" t="n">
        <f aca="false">W27</f>
        <v>94090.8802103692</v>
      </c>
      <c r="Y24" s="69" t="n">
        <f aca="false">X27</f>
        <v>94089.8364516909</v>
      </c>
      <c r="Z24" s="69" t="n">
        <f aca="false">Y27</f>
        <v>111864.039527356</v>
      </c>
      <c r="AA24" s="69" t="n">
        <f aca="false">Z27</f>
        <v>122089.29963038</v>
      </c>
      <c r="AB24" s="69" t="n">
        <f aca="false">AA27</f>
        <v>182025.725359949</v>
      </c>
    </row>
    <row r="25" customFormat="false" ht="15" hidden="false" customHeight="true" outlineLevel="0" collapsed="false">
      <c r="A25" s="28" t="s">
        <v>788</v>
      </c>
      <c r="B25" s="55" t="s">
        <v>789</v>
      </c>
      <c r="E25" s="57" t="n">
        <f aca="false">E23*Assumptions!$F$114/Assumptions!E$67</f>
        <v>72762.3474629032</v>
      </c>
      <c r="F25" s="57" t="n">
        <f aca="false">F23*Assumptions!$F$114/Assumptions!F$67</f>
        <v>68625.819675</v>
      </c>
      <c r="G25" s="57" t="n">
        <f aca="false">G23*Assumptions!$F$114/Assumptions!G$67</f>
        <v>73079.2072161291</v>
      </c>
      <c r="H25" s="57" t="n">
        <f aca="false">H23*Assumptions!$F$114/Assumptions!H$67</f>
        <v>82104.68651</v>
      </c>
      <c r="I25" s="57" t="n">
        <f aca="false">I23*Assumptions!$F$114/Assumptions!I$67</f>
        <v>86384.6600129032</v>
      </c>
      <c r="J25" s="57" t="n">
        <f aca="false">J23*Assumptions!$F$114/Assumptions!J$67</f>
        <v>79727.86836</v>
      </c>
      <c r="K25" s="57" t="n">
        <f aca="false">K23*Assumptions!$F$114/Assumptions!K$67</f>
        <v>70734.2102758065</v>
      </c>
      <c r="L25" s="57" t="n">
        <f aca="false">L23*Assumptions!$F$114/Assumptions!L$67</f>
        <v>69225.5355580645</v>
      </c>
      <c r="M25" s="57" t="n">
        <f aca="false">M23*Assumptions!$F$114/Assumptions!M$67</f>
        <v>85431.7984527448</v>
      </c>
      <c r="N25" s="57" t="n">
        <f aca="false">N23*Assumptions!$F$114/Assumptions!N$67</f>
        <v>93185.982096052</v>
      </c>
      <c r="O25" s="57" t="n">
        <f aca="false">O23*Assumptions!$F$114/Assumptions!O$67</f>
        <v>138934.050068278</v>
      </c>
      <c r="P25" s="57" t="n">
        <f aca="false">P23*Assumptions!$F$114/Assumptions!P$67</f>
        <v>120107.081522706</v>
      </c>
      <c r="Q25" s="57" t="n">
        <f aca="false">Q23*Assumptions!$F$114/Assumptions!Q$67</f>
        <v>78572.2521202923</v>
      </c>
      <c r="R25" s="57" t="n">
        <f aca="false">R23*Assumptions!$F$114/Assumptions!R$67</f>
        <v>82760.0240776126</v>
      </c>
      <c r="S25" s="57" t="n">
        <f aca="false">S23*Assumptions!$F$114/Assumptions!S$67</f>
        <v>86005.3519989963</v>
      </c>
      <c r="T25" s="57" t="n">
        <f aca="false">T23*Assumptions!$F$114/Assumptions!T$67</f>
        <v>93920.8828886878</v>
      </c>
      <c r="U25" s="57" t="n">
        <f aca="false">U23*Assumptions!$F$114/Assumptions!U$67</f>
        <v>97953.6146136512</v>
      </c>
      <c r="V25" s="57" t="n">
        <f aca="false">V23*Assumptions!$F$114/Assumptions!V$67</f>
        <v>100349.184985611</v>
      </c>
      <c r="W25" s="57" t="n">
        <f aca="false">W23*Assumptions!$F$114/Assumptions!W$67</f>
        <v>94090.8802103692</v>
      </c>
      <c r="X25" s="57" t="n">
        <f aca="false">X23*Assumptions!$F$114/Assumptions!X$67</f>
        <v>94089.8364516909</v>
      </c>
      <c r="Y25" s="57" t="n">
        <f aca="false">Y23*Assumptions!$F$114/Assumptions!Y$67</f>
        <v>111864.039527356</v>
      </c>
      <c r="Z25" s="57" t="n">
        <f aca="false">Z23*Assumptions!$F$114/Assumptions!Z$67</f>
        <v>122089.29963038</v>
      </c>
      <c r="AA25" s="57" t="n">
        <f aca="false">AA23*Assumptions!$F$114/Assumptions!AA$67</f>
        <v>182025.725359949</v>
      </c>
      <c r="AB25" s="57" t="n">
        <f aca="false">AB23*Assumptions!$F$114/Assumptions!AB$67</f>
        <v>157358.335719114</v>
      </c>
    </row>
    <row r="26" customFormat="false" ht="15" hidden="false" customHeight="true" outlineLevel="0" collapsed="false">
      <c r="A26" s="28" t="s">
        <v>790</v>
      </c>
      <c r="B26" s="55" t="s">
        <v>791</v>
      </c>
      <c r="C26" s="56" t="n">
        <f aca="false">SUM(E26:P26)</f>
        <v>-1505984.57567311</v>
      </c>
      <c r="D26" s="56" t="n">
        <f aca="false">SUM(Q26:AB26)</f>
        <v>-1848321.23866552</v>
      </c>
      <c r="E26" s="57" t="n">
        <f aca="false">-IF(E$5="A",Inputs_Actuals!E106,(E24+E23-E25))</f>
        <v>-160924</v>
      </c>
      <c r="F26" s="57" t="n">
        <f aca="false">-IF(F$5="A",Inputs_Actuals!F106,(F24+F23-F25))</f>
        <v>-84432</v>
      </c>
      <c r="G26" s="57" t="n">
        <f aca="false">-IF(G$5="A",Inputs_Actuals!G106,(G24+G23-G25))</f>
        <v>-100247</v>
      </c>
      <c r="H26" s="57" t="n">
        <f aca="false">-IF(H$5="A",Inputs_Actuals!H106,(H24+H23-H25))</f>
        <v>-111610</v>
      </c>
      <c r="I26" s="57" t="n">
        <f aca="false">-IF(I$5="A",Inputs_Actuals!I106,(I24+I23-I25))</f>
        <v>-119921</v>
      </c>
      <c r="J26" s="57" t="n">
        <f aca="false">-IF(J$5="A",Inputs_Actuals!J106,(J24+J23-J25))</f>
        <v>-118012</v>
      </c>
      <c r="K26" s="57" t="n">
        <f aca="false">-IF(K$5="A",Inputs_Actuals!K106,(K24+K23-K25))</f>
        <v>-126346</v>
      </c>
      <c r="L26" s="57" t="n">
        <f aca="false">-IF(L$5="A",Inputs_Actuals!L106,(L24+L23-L25))</f>
        <v>-103721</v>
      </c>
      <c r="M26" s="57" t="n">
        <f aca="false">-IF(M$5="A",Inputs_Actuals!M106,(M24+M23-M25))</f>
        <v>-102108.455208319</v>
      </c>
      <c r="N26" s="57" t="n">
        <f aca="false">-IF(N$5="A",Inputs_Actuals!N106,(N24+N23-N25))</f>
        <v>-129806.075641341</v>
      </c>
      <c r="O26" s="57" t="n">
        <f aca="false">-IF(O$5="A",Inputs_Actuals!O106,(O24+O23-O25))</f>
        <v>-152729.146411028</v>
      </c>
      <c r="P26" s="57" t="n">
        <f aca="false">-IF(P$5="A",Inputs_Actuals!P106,(P24+P23-P25))</f>
        <v>-196127.898412424</v>
      </c>
      <c r="Q26" s="57" t="n">
        <f aca="false">-IF(Q$5="A",Inputs_Actuals!Q106,(Q24+Q23-Q25))</f>
        <v>-157522.439675226</v>
      </c>
      <c r="R26" s="57" t="n">
        <f aca="false">-IF(R$5="A",Inputs_Actuals!R106,(R24+R23-R25))</f>
        <v>-106158.92681283</v>
      </c>
      <c r="S26" s="57" t="n">
        <f aca="false">-IF(S$5="A",Inputs_Actuals!S106,(S24+S23-S25))</f>
        <v>-123714.953600944</v>
      </c>
      <c r="T26" s="57" t="n">
        <f aca="false">-IF(T$5="A",Inputs_Actuals!T106,(T24+T23-T25))</f>
        <v>-126257.158951291</v>
      </c>
      <c r="U26" s="57" t="n">
        <f aca="false">-IF(U$5="A",Inputs_Actuals!U106,(U24+U23-U25))</f>
        <v>-140565.461276141</v>
      </c>
      <c r="V26" s="57" t="n">
        <f aca="false">-IF(V$5="A",Inputs_Actuals!V106,(V24+V23-V25))</f>
        <v>-140960.408178913</v>
      </c>
      <c r="W26" s="57" t="n">
        <f aca="false">-IF(W$5="A",Inputs_Actuals!W106,(W24+W23-W25))</f>
        <v>-145154.366038168</v>
      </c>
      <c r="X26" s="57" t="n">
        <f aca="false">-IF(X$5="A",Inputs_Actuals!X106,(X24+X23-X25))</f>
        <v>-138895.564234984</v>
      </c>
      <c r="Y26" s="57" t="n">
        <f aca="false">-IF(Y$5="A",Inputs_Actuals!Y106,(Y24+Y23-Y25))</f>
        <v>-142031.567677701</v>
      </c>
      <c r="Z26" s="57" t="n">
        <f aca="false">-IF(Z$5="A",Inputs_Actuals!Z106,(Z24+Z23-Z25))</f>
        <v>-170001.801256109</v>
      </c>
      <c r="AA26" s="57" t="n">
        <f aca="false">-IF(AA$5="A",Inputs_Actuals!AA106,(AA24+AA23-AA25))</f>
        <v>-200100.324784644</v>
      </c>
      <c r="AB26" s="57" t="n">
        <f aca="false">-IF(AB$5="A",Inputs_Actuals!AB106,(AB24+AB23-AB25))</f>
        <v>-256958.266178575</v>
      </c>
    </row>
    <row r="27" customFormat="false" ht="15" hidden="false" customHeight="true" outlineLevel="0" collapsed="false">
      <c r="A27" s="70" t="s">
        <v>792</v>
      </c>
      <c r="B27" s="71" t="s">
        <v>793</v>
      </c>
      <c r="C27" s="72" t="n">
        <f aca="false">P27</f>
        <v>120107.081522706</v>
      </c>
      <c r="D27" s="72" t="n">
        <f aca="false">AB27</f>
        <v>157358.335719114</v>
      </c>
      <c r="E27" s="72" t="n">
        <f aca="false">E24+E23+E26</f>
        <v>65087.08435</v>
      </c>
      <c r="F27" s="72" t="n">
        <f aca="false">F24+F23+F26</f>
        <v>72156.17725</v>
      </c>
      <c r="G27" s="72" t="n">
        <f aca="false">G24+G23+G26</f>
        <v>79788.0069500001</v>
      </c>
      <c r="H27" s="72" t="n">
        <f aca="false">H24+H23+H26</f>
        <v>85470.4162500001</v>
      </c>
      <c r="I27" s="72" t="n">
        <f aca="false">I24+I23+I26</f>
        <v>93069.6286500001</v>
      </c>
      <c r="J27" s="72" t="n">
        <f aca="false">J24+J23+J26</f>
        <v>88954.5834500001</v>
      </c>
      <c r="K27" s="72" t="n">
        <f aca="false">K24+K23+K26</f>
        <v>67025.7510000001</v>
      </c>
      <c r="L27" s="72" t="n">
        <f aca="false">L24+L23+L26</f>
        <v>65494.8273000001</v>
      </c>
      <c r="M27" s="72" t="n">
        <f aca="false">M24+M23+M26</f>
        <v>85431.7984527448</v>
      </c>
      <c r="N27" s="72" t="n">
        <f aca="false">N24+N23+N26</f>
        <v>93185.982096052</v>
      </c>
      <c r="O27" s="72" t="n">
        <f aca="false">O24+O23+O26</f>
        <v>138934.050068278</v>
      </c>
      <c r="P27" s="72" t="n">
        <f aca="false">P24+P23+P26</f>
        <v>120107.081522706</v>
      </c>
      <c r="Q27" s="72" t="n">
        <f aca="false">Q24+Q23+Q26</f>
        <v>78572.2521202923</v>
      </c>
      <c r="R27" s="72" t="n">
        <f aca="false">R24+R23+R26</f>
        <v>82760.0240776126</v>
      </c>
      <c r="S27" s="72" t="n">
        <f aca="false">S24+S23+S26</f>
        <v>86005.3519989963</v>
      </c>
      <c r="T27" s="72" t="n">
        <f aca="false">T24+T23+T26</f>
        <v>93920.8828886878</v>
      </c>
      <c r="U27" s="72" t="n">
        <f aca="false">U24+U23+U26</f>
        <v>97953.6146136512</v>
      </c>
      <c r="V27" s="72" t="n">
        <f aca="false">V24+V23+V26</f>
        <v>100349.184985611</v>
      </c>
      <c r="W27" s="72" t="n">
        <f aca="false">W24+W23+W26</f>
        <v>94090.8802103692</v>
      </c>
      <c r="X27" s="72" t="n">
        <f aca="false">X24+X23+X26</f>
        <v>94089.8364516909</v>
      </c>
      <c r="Y27" s="72" t="n">
        <f aca="false">Y24+Y23+Y26</f>
        <v>111864.039527356</v>
      </c>
      <c r="Z27" s="72" t="n">
        <f aca="false">Z24+Z23+Z26</f>
        <v>122089.29963038</v>
      </c>
      <c r="AA27" s="72" t="n">
        <f aca="false">AA24+AA23+AA26</f>
        <v>182025.725359949</v>
      </c>
      <c r="AB27" s="72" t="n">
        <f aca="false">AB24+AB23+AB26</f>
        <v>157358.335719114</v>
      </c>
    </row>
    <row r="28" customFormat="false" ht="15" hidden="false" customHeight="true" outlineLevel="0" collapsed="false">
      <c r="A28" s="28" t="s">
        <v>794</v>
      </c>
      <c r="B28" s="55" t="s">
        <v>315</v>
      </c>
      <c r="E28" s="67" t="n">
        <f aca="false">IF(E23=0,0,E27/E23*Assumptions!E$67)</f>
        <v>18.7848361001115</v>
      </c>
      <c r="F28" s="67" t="n">
        <f aca="false">IF(F23=0,0,F27/F23*Assumptions!F$67)</f>
        <v>22.080315097526</v>
      </c>
      <c r="G28" s="67" t="n">
        <f aca="false">IF(G23=0,0,G27/G23*Assumptions!G$67)</f>
        <v>22.9278369289726</v>
      </c>
      <c r="H28" s="67" t="n">
        <f aca="false">IF(H23=0,0,H27/H23*Assumptions!H$67)</f>
        <v>21.860856152607</v>
      </c>
      <c r="I28" s="67" t="n">
        <f aca="false">IF(I23=0,0,I27/I23*Assumptions!I$67)</f>
        <v>22.6251072975001</v>
      </c>
      <c r="J28" s="67" t="n">
        <f aca="false">IF(J23=0,0,J27/J23*Assumptions!J$67)</f>
        <v>23.4302796609976</v>
      </c>
      <c r="K28" s="67" t="n">
        <f aca="false">IF(K23=0,0,K27/K23*Assumptions!K$67)</f>
        <v>19.8990101891535</v>
      </c>
      <c r="L28" s="67" t="n">
        <f aca="false">IF(L23=0,0,L27/L23*Assumptions!L$67)</f>
        <v>19.8682662721527</v>
      </c>
      <c r="M28" s="67" t="n">
        <f aca="false">IF(M23=0,0,M27/M23*Assumptions!M$67)</f>
        <v>21</v>
      </c>
      <c r="N28" s="67" t="n">
        <f aca="false">IF(N23=0,0,N27/N23*Assumptions!N$67)</f>
        <v>21</v>
      </c>
      <c r="O28" s="67" t="n">
        <f aca="false">IF(O23=0,0,O27/O23*Assumptions!O$67)</f>
        <v>21</v>
      </c>
      <c r="P28" s="67" t="n">
        <f aca="false">IF(P23=0,0,P27/P23*Assumptions!P$67)</f>
        <v>21</v>
      </c>
      <c r="Q28" s="67" t="n">
        <f aca="false">IF(Q23=0,0,Q27/Q23*Assumptions!Q$67)</f>
        <v>21</v>
      </c>
      <c r="R28" s="67" t="n">
        <f aca="false">IF(R23=0,0,R27/R23*Assumptions!R$67)</f>
        <v>21</v>
      </c>
      <c r="S28" s="67" t="n">
        <f aca="false">IF(S23=0,0,S27/S23*Assumptions!S$67)</f>
        <v>21</v>
      </c>
      <c r="T28" s="67" t="n">
        <f aca="false">IF(T23=0,0,T27/T23*Assumptions!T$67)</f>
        <v>21</v>
      </c>
      <c r="U28" s="67" t="n">
        <f aca="false">IF(U23=0,0,U27/U23*Assumptions!U$67)</f>
        <v>21</v>
      </c>
      <c r="V28" s="67" t="n">
        <f aca="false">IF(V23=0,0,V27/V23*Assumptions!V$67)</f>
        <v>21</v>
      </c>
      <c r="W28" s="67" t="n">
        <f aca="false">IF(W23=0,0,W27/W23*Assumptions!W$67)</f>
        <v>21</v>
      </c>
      <c r="X28" s="67" t="n">
        <f aca="false">IF(X23=0,0,X27/X23*Assumptions!X$67)</f>
        <v>21</v>
      </c>
      <c r="Y28" s="67" t="n">
        <f aca="false">IF(Y23=0,0,Y27/Y23*Assumptions!Y$67)</f>
        <v>21</v>
      </c>
      <c r="Z28" s="67" t="n">
        <f aca="false">IF(Z23=0,0,Z27/Z23*Assumptions!Z$67)</f>
        <v>21</v>
      </c>
      <c r="AA28" s="67" t="n">
        <f aca="false">IF(AA23=0,0,AA27/AA23*Assumptions!AA$67)</f>
        <v>21</v>
      </c>
      <c r="AB28" s="67" t="n">
        <f aca="false">IF(AB23=0,0,AB27/AB23*Assumptions!AB$67)</f>
        <v>21</v>
      </c>
    </row>
    <row r="30" customFormat="false" ht="15" hidden="false" customHeight="true" outlineLevel="0" collapsed="false">
      <c r="A30" s="22" t="s">
        <v>703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row>
    <row r="31" customFormat="false" ht="15" hidden="false" customHeight="true" outlineLevel="0" collapsed="false">
      <c r="A31" s="28" t="s">
        <v>795</v>
      </c>
      <c r="B31" s="55" t="s">
        <v>781</v>
      </c>
      <c r="C31" s="56" t="n">
        <f aca="false">SUM(E31:P31)</f>
        <v>535588.555320748</v>
      </c>
      <c r="D31" s="56" t="n">
        <f aca="false">SUM(Q31:AB31)</f>
        <v>1007791.06821049</v>
      </c>
      <c r="E31" s="57" t="n">
        <f aca="false">(Channel_PL!E85+Channel_PL!E86)*(1+Assumptions!$C$22)</f>
        <v>15552.5579150579</v>
      </c>
      <c r="F31" s="57" t="n">
        <f aca="false">(Channel_PL!F85+Channel_PL!F86)*(1+Assumptions!$C$22)</f>
        <v>16994.1306436119</v>
      </c>
      <c r="G31" s="57" t="n">
        <f aca="false">(Channel_PL!G85+Channel_PL!G86)*(1+Assumptions!$C$22)</f>
        <v>24480.6844106464</v>
      </c>
      <c r="H31" s="57" t="n">
        <f aca="false">(Channel_PL!H85+Channel_PL!H86)*(1+Assumptions!$C$22)</f>
        <v>30636.4842300557</v>
      </c>
      <c r="I31" s="57" t="n">
        <f aca="false">(Channel_PL!I85+Channel_PL!I86)*(1+Assumptions!$C$22)</f>
        <v>34807.5228519196</v>
      </c>
      <c r="J31" s="57" t="n">
        <f aca="false">(Channel_PL!J85+Channel_PL!J86)*(1+Assumptions!$C$22)</f>
        <v>41662.6263537906</v>
      </c>
      <c r="K31" s="57" t="n">
        <f aca="false">(Channel_PL!K85+Channel_PL!K86)*(1+Assumptions!$C$22)</f>
        <v>41117.404103479</v>
      </c>
      <c r="L31" s="57" t="n">
        <f aca="false">(Channel_PL!L85+Channel_PL!L86)*(1+Assumptions!$C$22)</f>
        <v>50623.4946236559</v>
      </c>
      <c r="M31" s="57" t="n">
        <f aca="false">(Channel_PL!M85+Channel_PL!M86)*(1+Assumptions!$C$22)</f>
        <v>50551.0436413713</v>
      </c>
      <c r="N31" s="57" t="n">
        <f aca="false">(Channel_PL!N85+Channel_PL!N86)*(1+Assumptions!$C$22)</f>
        <v>59873.3711988474</v>
      </c>
      <c r="O31" s="57" t="n">
        <f aca="false">(Channel_PL!O85+Channel_PL!O86)*(1+Assumptions!$C$22)</f>
        <v>88428.7597787379</v>
      </c>
      <c r="P31" s="57" t="n">
        <f aca="false">(Channel_PL!P85+Channel_PL!P86)*(1+Assumptions!$C$22)</f>
        <v>80860.4755695747</v>
      </c>
      <c r="Q31" s="57" t="n">
        <f aca="false">(Channel_PL!Q85+Channel_PL!Q86)*(1+Assumptions!$C$22)</f>
        <v>52756.5532332255</v>
      </c>
      <c r="R31" s="57" t="n">
        <f aca="false">(Channel_PL!R85+Channel_PL!R86)*(1+Assumptions!$C$22)</f>
        <v>51379.3620262772</v>
      </c>
      <c r="S31" s="57" t="n">
        <f aca="false">(Channel_PL!S85+Channel_PL!S86)*(1+Assumptions!$C$22)</f>
        <v>60514.8536847164</v>
      </c>
      <c r="T31" s="57" t="n">
        <f aca="false">(Channel_PL!T85+Channel_PL!T86)*(1+Assumptions!$C$22)</f>
        <v>65467.1122203455</v>
      </c>
      <c r="U31" s="57" t="n">
        <f aca="false">(Channel_PL!U85+Channel_PL!U86)*(1+Assumptions!$C$22)</f>
        <v>72224.9199795883</v>
      </c>
      <c r="V31" s="57" t="n">
        <f aca="false">(Channel_PL!V85+Channel_PL!V86)*(1+Assumptions!$C$22)</f>
        <v>73300.2332644217</v>
      </c>
      <c r="W31" s="57" t="n">
        <f aca="false">(Channel_PL!W85+Channel_PL!W86)*(1+Assumptions!$C$22)</f>
        <v>72701.7757385229</v>
      </c>
      <c r="X31" s="57" t="n">
        <f aca="false">(Channel_PL!X85+Channel_PL!X86)*(1+Assumptions!$C$22)</f>
        <v>74422.7886364835</v>
      </c>
      <c r="Y31" s="57" t="n">
        <f aca="false">(Channel_PL!Y85+Channel_PL!Y86)*(1+Assumptions!$C$22)</f>
        <v>87655.5096741378</v>
      </c>
      <c r="Z31" s="57" t="n">
        <f aca="false">(Channel_PL!Z85+Channel_PL!Z86)*(1+Assumptions!$C$22)</f>
        <v>103820.425658801</v>
      </c>
      <c r="AA31" s="57" t="n">
        <f aca="false">(Channel_PL!AA85+Channel_PL!AA86)*(1+Assumptions!$C$22)</f>
        <v>153335.469456331</v>
      </c>
      <c r="AB31" s="57" t="n">
        <f aca="false">(Channel_PL!AB85+Channel_PL!AB86)*(1+Assumptions!$C$22)</f>
        <v>140212.064637642</v>
      </c>
    </row>
    <row r="32" customFormat="false" ht="15" hidden="false" customHeight="true" outlineLevel="0" collapsed="false">
      <c r="A32" s="28" t="s">
        <v>782</v>
      </c>
      <c r="B32" s="55" t="s">
        <v>781</v>
      </c>
      <c r="C32" s="56" t="n">
        <f aca="false">SUM(E32:P32)</f>
        <v>-48144.7695821721</v>
      </c>
      <c r="D32" s="56" t="n">
        <f aca="false">SUM(Q32:AB32)</f>
        <v>-90170.7797872547</v>
      </c>
      <c r="E32" s="57" t="n">
        <f aca="false">Channel_PL!E87*(1+Assumptions!$C$22)</f>
        <v>-1516.40926640927</v>
      </c>
      <c r="F32" s="57" t="n">
        <f aca="false">Channel_PL!F87*(1+Assumptions!$C$22)</f>
        <v>-1656.09990393852</v>
      </c>
      <c r="G32" s="57" t="n">
        <f aca="false">Channel_PL!G87*(1+Assumptions!$C$22)</f>
        <v>-2269.01140684411</v>
      </c>
      <c r="H32" s="57" t="n">
        <f aca="false">Channel_PL!H87*(1+Assumptions!$C$22)</f>
        <v>-3041.7439703154</v>
      </c>
      <c r="I32" s="57" t="n">
        <f aca="false">Channel_PL!I87*(1+Assumptions!$C$22)</f>
        <v>-3085.92321755027</v>
      </c>
      <c r="J32" s="57" t="n">
        <f aca="false">Channel_PL!J87*(1+Assumptions!$C$22)</f>
        <v>-3414.25992779783</v>
      </c>
      <c r="K32" s="57" t="n">
        <f aca="false">Channel_PL!K87*(1+Assumptions!$C$22)</f>
        <v>-3621.76628010705</v>
      </c>
      <c r="L32" s="57" t="n">
        <f aca="false">Channel_PL!L87*(1+Assumptions!$C$22)</f>
        <v>-4512.54480286738</v>
      </c>
      <c r="M32" s="57" t="n">
        <f aca="false">Channel_PL!M87*(1+Assumptions!$C$22)</f>
        <v>-4522.98811528059</v>
      </c>
      <c r="N32" s="57" t="n">
        <f aca="false">Channel_PL!N87*(1+Assumptions!$C$22)</f>
        <v>-5357.09110726529</v>
      </c>
      <c r="O32" s="57" t="n">
        <f aca="false">Channel_PL!O87*(1+Assumptions!$C$22)</f>
        <v>-7912.04692757128</v>
      </c>
      <c r="P32" s="57" t="n">
        <f aca="false">Channel_PL!P87*(1+Assumptions!$C$22)</f>
        <v>-7234.8846562251</v>
      </c>
      <c r="Q32" s="57" t="n">
        <f aca="false">Channel_PL!Q87*(1+Assumptions!$C$22)</f>
        <v>-4720.32318402544</v>
      </c>
      <c r="R32" s="57" t="n">
        <f aca="false">Channel_PL!R87*(1+Assumptions!$C$22)</f>
        <v>-4597.10081287744</v>
      </c>
      <c r="S32" s="57" t="n">
        <f aca="false">Channel_PL!S87*(1+Assumptions!$C$22)</f>
        <v>-5414.48690863252</v>
      </c>
      <c r="T32" s="57" t="n">
        <f aca="false">Channel_PL!T87*(1+Assumptions!$C$22)</f>
        <v>-5857.58372497828</v>
      </c>
      <c r="U32" s="57" t="n">
        <f aca="false">Channel_PL!U87*(1+Assumptions!$C$22)</f>
        <v>-6462.22968238421</v>
      </c>
      <c r="V32" s="57" t="n">
        <f aca="false">Channel_PL!V87*(1+Assumptions!$C$22)</f>
        <v>-6558.44192365878</v>
      </c>
      <c r="W32" s="57" t="n">
        <f aca="false">Channel_PL!W87*(1+Assumptions!$C$22)</f>
        <v>-6504.8957239731</v>
      </c>
      <c r="X32" s="57" t="n">
        <f aca="false">Channel_PL!X87*(1+Assumptions!$C$22)</f>
        <v>-6658.88108852747</v>
      </c>
      <c r="Y32" s="57" t="n">
        <f aca="false">Channel_PL!Y87*(1+Assumptions!$C$22)</f>
        <v>-7842.86139189655</v>
      </c>
      <c r="Z32" s="57" t="n">
        <f aca="false">Channel_PL!Z87*(1+Assumptions!$C$22)</f>
        <v>-9289.19597999801</v>
      </c>
      <c r="AA32" s="57" t="n">
        <f aca="false">Channel_PL!AA87*(1+Assumptions!$C$22)</f>
        <v>-13719.4893724086</v>
      </c>
      <c r="AB32" s="57" t="n">
        <f aca="false">Channel_PL!AB87*(1+Assumptions!$C$22)</f>
        <v>-12545.2899938943</v>
      </c>
    </row>
    <row r="33" customFormat="false" ht="15" hidden="false" customHeight="true" outlineLevel="0" collapsed="false">
      <c r="A33" s="28" t="s">
        <v>783</v>
      </c>
      <c r="B33" s="55" t="s">
        <v>43</v>
      </c>
      <c r="C33" s="56" t="n">
        <f aca="false">SUM(E33:P33)</f>
        <v>-190641.709836723</v>
      </c>
      <c r="D33" s="56" t="n">
        <f aca="false">SUM(Q33:AB33)</f>
        <v>-351699.718901241</v>
      </c>
      <c r="E33" s="57" t="n">
        <f aca="false">Channel_PL!E96+Channel_PL!E97+Channel_PL!E98+Channel_PL!E102</f>
        <v>-5777.99227799228</v>
      </c>
      <c r="F33" s="57" t="n">
        <f aca="false">Channel_PL!F96+Channel_PL!F97+Channel_PL!F98+Channel_PL!F102</f>
        <v>-6502.40153698367</v>
      </c>
      <c r="G33" s="57" t="n">
        <f aca="false">Channel_PL!G96+Channel_PL!G97+Channel_PL!G98+Channel_PL!G102</f>
        <v>-8997.14828897339</v>
      </c>
      <c r="H33" s="57" t="n">
        <f aca="false">Channel_PL!H96+Channel_PL!H97+Channel_PL!H98+Channel_PL!H102</f>
        <v>-11114.1001855288</v>
      </c>
      <c r="I33" s="57" t="n">
        <f aca="false">Channel_PL!I96+Channel_PL!I97+Channel_PL!I98+Channel_PL!I102</f>
        <v>-12422.3034734918</v>
      </c>
      <c r="J33" s="57" t="n">
        <f aca="false">Channel_PL!J96+Channel_PL!J97+Channel_PL!J98+Channel_PL!J102</f>
        <v>-15040.6137184116</v>
      </c>
      <c r="K33" s="57" t="n">
        <f aca="false">Channel_PL!K96+Channel_PL!K97+Channel_PL!K98+Channel_PL!K102</f>
        <v>-14375.5575379126</v>
      </c>
      <c r="L33" s="57" t="n">
        <f aca="false">Channel_PL!L96+Channel_PL!L97+Channel_PL!L98+Channel_PL!L102</f>
        <v>-18369.1756272401</v>
      </c>
      <c r="M33" s="57" t="n">
        <f aca="false">Channel_PL!M96+Channel_PL!M97+Channel_PL!M98+Channel_PL!M102</f>
        <v>-17733.618632255</v>
      </c>
      <c r="N33" s="57" t="n">
        <f aca="false">Channel_PL!N96+Channel_PL!N97+Channel_PL!N98+Channel_PL!N102</f>
        <v>-20993.5864368244</v>
      </c>
      <c r="O33" s="57" t="n">
        <f aca="false">Channel_PL!O96+Channel_PL!O97+Channel_PL!O98+Channel_PL!O102</f>
        <v>-30990.7719762125</v>
      </c>
      <c r="P33" s="57" t="n">
        <f aca="false">Channel_PL!P96+Channel_PL!P97+Channel_PL!P98+Channel_PL!P102</f>
        <v>-28324.4401448974</v>
      </c>
      <c r="Q33" s="57" t="n">
        <f aca="false">Channel_PL!Q96+Channel_PL!Q97+Channel_PL!Q98+Channel_PL!Q102</f>
        <v>-18470.8927740848</v>
      </c>
      <c r="R33" s="57" t="n">
        <f aca="false">Channel_PL!R96+Channel_PL!R97+Channel_PL!R98+Channel_PL!R102</f>
        <v>-17979.8828684629</v>
      </c>
      <c r="S33" s="57" t="n">
        <f aca="false">Channel_PL!S96+Channel_PL!S97+Channel_PL!S98+Channel_PL!S102</f>
        <v>-21166.4031134282</v>
      </c>
      <c r="T33" s="57" t="n">
        <f aca="false">Channel_PL!T96+Channel_PL!T97+Channel_PL!T98+Channel_PL!T102</f>
        <v>-22887.3458088599</v>
      </c>
      <c r="U33" s="57" t="n">
        <f aca="false">Channel_PL!U96+Channel_PL!U97+Channel_PL!U98+Channel_PL!U102</f>
        <v>-25237.5234132521</v>
      </c>
      <c r="V33" s="57" t="n">
        <f aca="false">Channel_PL!V96+Channel_PL!V97+Channel_PL!V98+Channel_PL!V102</f>
        <v>-25600.7499257921</v>
      </c>
      <c r="W33" s="57" t="n">
        <f aca="false">Channel_PL!W96+Channel_PL!W97+Channel_PL!W98+Channel_PL!W102</f>
        <v>-25379.3363169658</v>
      </c>
      <c r="X33" s="57" t="n">
        <f aca="false">Channel_PL!X96+Channel_PL!X97+Channel_PL!X98+Channel_PL!X102</f>
        <v>-25967.4521075452</v>
      </c>
      <c r="Y33" s="57" t="n">
        <f aca="false">Channel_PL!Y96+Channel_PL!Y97+Channel_PL!Y98+Channel_PL!Y102</f>
        <v>-30569.689224563</v>
      </c>
      <c r="Z33" s="57" t="n">
        <f aca="false">Channel_PL!Z96+Channel_PL!Z97+Channel_PL!Z98+Channel_PL!Z102</f>
        <v>-36189.5563938422</v>
      </c>
      <c r="AA33" s="57" t="n">
        <f aca="false">Channel_PL!AA96+Channel_PL!AA97+Channel_PL!AA98+Channel_PL!AA102</f>
        <v>-53423.455783535</v>
      </c>
      <c r="AB33" s="57" t="n">
        <f aca="false">Channel_PL!AB96+Channel_PL!AB97+Channel_PL!AB98+Channel_PL!AB102</f>
        <v>-48827.4311709101</v>
      </c>
    </row>
    <row r="34" customFormat="false" ht="15" hidden="false" customHeight="true" outlineLevel="0" collapsed="false">
      <c r="A34" s="70" t="s">
        <v>784</v>
      </c>
      <c r="B34" s="71" t="s">
        <v>785</v>
      </c>
      <c r="C34" s="72" t="n">
        <f aca="false">SUM(E34:P34)</f>
        <v>296802.075901853</v>
      </c>
      <c r="D34" s="72" t="n">
        <f aca="false">SUM(Q34:AB34)</f>
        <v>565920.569521998</v>
      </c>
      <c r="E34" s="72" t="n">
        <f aca="false">E31+E32+E33</f>
        <v>8258.15637065637</v>
      </c>
      <c r="F34" s="72" t="n">
        <f aca="false">F31+F32+F33</f>
        <v>8835.62920268972</v>
      </c>
      <c r="G34" s="72" t="n">
        <f aca="false">G31+G32+G33</f>
        <v>13214.5247148289</v>
      </c>
      <c r="H34" s="72" t="n">
        <f aca="false">H31+H32+H33</f>
        <v>16480.6400742115</v>
      </c>
      <c r="I34" s="72" t="n">
        <f aca="false">I31+I32+I33</f>
        <v>19299.2961608775</v>
      </c>
      <c r="J34" s="72" t="n">
        <f aca="false">J31+J32+J33</f>
        <v>23207.7527075812</v>
      </c>
      <c r="K34" s="72" t="n">
        <f aca="false">K31+K32+K33</f>
        <v>23120.0802854594</v>
      </c>
      <c r="L34" s="72" t="n">
        <f aca="false">L31+L32+L33</f>
        <v>27741.7741935484</v>
      </c>
      <c r="M34" s="72" t="n">
        <f aca="false">M31+M32+M33</f>
        <v>28294.4368938357</v>
      </c>
      <c r="N34" s="72" t="n">
        <f aca="false">N31+N32+N33</f>
        <v>33522.6936547577</v>
      </c>
      <c r="O34" s="72" t="n">
        <f aca="false">O31+O32+O33</f>
        <v>49525.940874954</v>
      </c>
      <c r="P34" s="72" t="n">
        <f aca="false">P31+P32+P33</f>
        <v>45301.1507684522</v>
      </c>
      <c r="Q34" s="72" t="n">
        <f aca="false">Q31+Q32+Q33</f>
        <v>29565.3372751152</v>
      </c>
      <c r="R34" s="72" t="n">
        <f aca="false">R31+R32+R33</f>
        <v>28802.3783449369</v>
      </c>
      <c r="S34" s="72" t="n">
        <f aca="false">S31+S32+S33</f>
        <v>33933.9636626557</v>
      </c>
      <c r="T34" s="72" t="n">
        <f aca="false">T31+T32+T33</f>
        <v>36722.1826865073</v>
      </c>
      <c r="U34" s="72" t="n">
        <f aca="false">U31+U32+U33</f>
        <v>40525.1668839519</v>
      </c>
      <c r="V34" s="72" t="n">
        <f aca="false">V31+V32+V33</f>
        <v>41141.0414149708</v>
      </c>
      <c r="W34" s="72" t="n">
        <f aca="false">W31+W32+W33</f>
        <v>40817.543697584</v>
      </c>
      <c r="X34" s="72" t="n">
        <f aca="false">X31+X32+X33</f>
        <v>41796.4554404108</v>
      </c>
      <c r="Y34" s="72" t="n">
        <f aca="false">Y31+Y32+Y33</f>
        <v>49242.9590576783</v>
      </c>
      <c r="Z34" s="72" t="n">
        <f aca="false">Z31+Z32+Z33</f>
        <v>58341.6732849611</v>
      </c>
      <c r="AA34" s="72" t="n">
        <f aca="false">AA31+AA32+AA33</f>
        <v>86192.5243003879</v>
      </c>
      <c r="AB34" s="72" t="n">
        <f aca="false">AB31+AB32+AB33</f>
        <v>78839.343472838</v>
      </c>
    </row>
    <row r="35" customFormat="false" ht="15" hidden="false" customHeight="true" outlineLevel="0" collapsed="false">
      <c r="A35" s="28" t="s">
        <v>786</v>
      </c>
      <c r="B35" s="55" t="s">
        <v>787</v>
      </c>
      <c r="E35" s="57" t="n">
        <f aca="false">Inputs_Actuals!$C$115</f>
        <v>0</v>
      </c>
      <c r="F35" s="69" t="n">
        <f aca="false">E38</f>
        <v>6395.15637065637</v>
      </c>
      <c r="G35" s="69" t="n">
        <f aca="false">F38</f>
        <v>7326.78557334609</v>
      </c>
      <c r="H35" s="69" t="n">
        <f aca="false">G38</f>
        <v>10620.310288175</v>
      </c>
      <c r="I35" s="69" t="n">
        <f aca="false">H38</f>
        <v>13945.9503623865</v>
      </c>
      <c r="J35" s="69" t="n">
        <f aca="false">I38</f>
        <v>14784.246523264</v>
      </c>
      <c r="K35" s="69" t="n">
        <f aca="false">J38</f>
        <v>18766.9992308452</v>
      </c>
      <c r="L35" s="69" t="n">
        <f aca="false">K38</f>
        <v>18563.0795163046</v>
      </c>
      <c r="M35" s="69" t="n">
        <f aca="false">L38</f>
        <v>23423.853709853</v>
      </c>
      <c r="N35" s="69" t="n">
        <f aca="false">M38</f>
        <v>22635.5495150686</v>
      </c>
      <c r="O35" s="69" t="n">
        <f aca="false">N38</f>
        <v>25953.0531520704</v>
      </c>
      <c r="P35" s="69" t="n">
        <f aca="false">O38</f>
        <v>39620.7526999632</v>
      </c>
      <c r="Q35" s="69" t="n">
        <f aca="false">P38</f>
        <v>35071.8586594468</v>
      </c>
      <c r="R35" s="69" t="n">
        <f aca="false">Q38</f>
        <v>22889.2933742828</v>
      </c>
      <c r="S35" s="69" t="n">
        <f aca="false">R38</f>
        <v>24687.7528670887</v>
      </c>
      <c r="T35" s="69" t="n">
        <f aca="false">S38</f>
        <v>26271.4557388302</v>
      </c>
      <c r="U35" s="69" t="n">
        <f aca="false">T38</f>
        <v>29377.7461492059</v>
      </c>
      <c r="V35" s="69" t="n">
        <f aca="false">U38</f>
        <v>31374.322748866</v>
      </c>
      <c r="W35" s="69" t="n">
        <f aca="false">V38</f>
        <v>32912.8331319766</v>
      </c>
      <c r="X35" s="69" t="n">
        <f aca="false">W38</f>
        <v>31600.678991678</v>
      </c>
      <c r="Y35" s="69" t="n">
        <f aca="false">X38</f>
        <v>32358.5461474148</v>
      </c>
      <c r="Z35" s="69" t="n">
        <f aca="false">Y38</f>
        <v>39394.3672461427</v>
      </c>
      <c r="AA35" s="69" t="n">
        <f aca="false">Z38</f>
        <v>45167.7470593247</v>
      </c>
      <c r="AB35" s="69" t="n">
        <f aca="false">AA38</f>
        <v>68954.0194403103</v>
      </c>
    </row>
    <row r="36" customFormat="false" ht="15" hidden="false" customHeight="true" outlineLevel="0" collapsed="false">
      <c r="A36" s="28" t="s">
        <v>788</v>
      </c>
      <c r="B36" s="55" t="s">
        <v>789</v>
      </c>
      <c r="E36" s="57" t="n">
        <f aca="false">E34*Assumptions!$F$115/Assumptions!E$67</f>
        <v>6393.41138373397</v>
      </c>
      <c r="F36" s="57" t="n">
        <f aca="false">F34*Assumptions!$F$115/Assumptions!F$67</f>
        <v>7573.39645944833</v>
      </c>
      <c r="G36" s="57" t="n">
        <f aca="false">G34*Assumptions!$F$115/Assumptions!G$67</f>
        <v>10230.5997792224</v>
      </c>
      <c r="H36" s="57" t="n">
        <f aca="false">H34*Assumptions!$F$115/Assumptions!H$67</f>
        <v>13184.5120593692</v>
      </c>
      <c r="I36" s="57" t="n">
        <f aca="false">I34*Assumptions!$F$115/Assumptions!I$67</f>
        <v>14941.3905761632</v>
      </c>
      <c r="J36" s="57" t="n">
        <f aca="false">J34*Assumptions!$F$115/Assumptions!J$67</f>
        <v>18566.202166065</v>
      </c>
      <c r="K36" s="57" t="n">
        <f aca="false">K34*Assumptions!$F$115/Assumptions!K$67</f>
        <v>17899.4169951944</v>
      </c>
      <c r="L36" s="57" t="n">
        <f aca="false">L34*Assumptions!$F$115/Assumptions!L$67</f>
        <v>21477.5026014568</v>
      </c>
      <c r="M36" s="57" t="n">
        <f aca="false">M34*Assumptions!$F$115/Assumptions!M$67</f>
        <v>22635.5495150686</v>
      </c>
      <c r="N36" s="57" t="n">
        <f aca="false">N34*Assumptions!$F$115/Assumptions!N$67</f>
        <v>25953.0531520704</v>
      </c>
      <c r="O36" s="57" t="n">
        <f aca="false">O34*Assumptions!$F$115/Assumptions!O$67</f>
        <v>39620.7526999632</v>
      </c>
      <c r="P36" s="57" t="n">
        <f aca="false">P34*Assumptions!$F$115/Assumptions!P$67</f>
        <v>35071.8586594468</v>
      </c>
      <c r="Q36" s="57" t="n">
        <f aca="false">Q34*Assumptions!$F$115/Assumptions!Q$67</f>
        <v>22889.2933742828</v>
      </c>
      <c r="R36" s="57" t="n">
        <f aca="false">R34*Assumptions!$F$115/Assumptions!R$67</f>
        <v>24687.7528670887</v>
      </c>
      <c r="S36" s="57" t="n">
        <f aca="false">S34*Assumptions!$F$115/Assumptions!S$67</f>
        <v>26271.4557388302</v>
      </c>
      <c r="T36" s="57" t="n">
        <f aca="false">T34*Assumptions!$F$115/Assumptions!T$67</f>
        <v>29377.7461492059</v>
      </c>
      <c r="U36" s="57" t="n">
        <f aca="false">U34*Assumptions!$F$115/Assumptions!U$67</f>
        <v>31374.322748866</v>
      </c>
      <c r="V36" s="57" t="n">
        <f aca="false">V34*Assumptions!$F$115/Assumptions!V$67</f>
        <v>32912.8331319766</v>
      </c>
      <c r="W36" s="57" t="n">
        <f aca="false">W34*Assumptions!$F$115/Assumptions!W$67</f>
        <v>31600.678991678</v>
      </c>
      <c r="X36" s="57" t="n">
        <f aca="false">X34*Assumptions!$F$115/Assumptions!X$67</f>
        <v>32358.5461474148</v>
      </c>
      <c r="Y36" s="57" t="n">
        <f aca="false">Y34*Assumptions!$F$115/Assumptions!Y$67</f>
        <v>39394.3672461427</v>
      </c>
      <c r="Z36" s="57" t="n">
        <f aca="false">Z34*Assumptions!$F$115/Assumptions!Z$67</f>
        <v>45167.7470593247</v>
      </c>
      <c r="AA36" s="57" t="n">
        <f aca="false">AA34*Assumptions!$F$115/Assumptions!AA$67</f>
        <v>68954.0194403103</v>
      </c>
      <c r="AB36" s="57" t="n">
        <f aca="false">AB34*Assumptions!$F$115/Assumptions!AB$67</f>
        <v>61036.9110757455</v>
      </c>
    </row>
    <row r="37" customFormat="false" ht="15" hidden="false" customHeight="true" outlineLevel="0" collapsed="false">
      <c r="A37" s="28" t="s">
        <v>790</v>
      </c>
      <c r="B37" s="55" t="s">
        <v>791</v>
      </c>
      <c r="C37" s="56" t="n">
        <f aca="false">SUM(E37:P37)</f>
        <v>-261730.217242406</v>
      </c>
      <c r="D37" s="56" t="n">
        <f aca="false">SUM(Q37:AB37)</f>
        <v>-539955.517105699</v>
      </c>
      <c r="E37" s="57" t="n">
        <f aca="false">-IF(E$5="A",Inputs_Actuals!E107,(E35+E34-E36))</f>
        <v>-1863</v>
      </c>
      <c r="F37" s="57" t="n">
        <f aca="false">-IF(F$5="A",Inputs_Actuals!F107,(F35+F34-F36))</f>
        <v>-7904</v>
      </c>
      <c r="G37" s="57" t="n">
        <f aca="false">-IF(G$5="A",Inputs_Actuals!G107,(G35+G34-G36))</f>
        <v>-9921</v>
      </c>
      <c r="H37" s="57" t="n">
        <f aca="false">-IF(H$5="A",Inputs_Actuals!H107,(H35+H34-H36))</f>
        <v>-13155</v>
      </c>
      <c r="I37" s="57" t="n">
        <f aca="false">-IF(I$5="A",Inputs_Actuals!I107,(I35+I34-I36))</f>
        <v>-18461</v>
      </c>
      <c r="J37" s="57" t="n">
        <f aca="false">-IF(J$5="A",Inputs_Actuals!J107,(J35+J34-J36))</f>
        <v>-19225</v>
      </c>
      <c r="K37" s="57" t="n">
        <f aca="false">-IF(K$5="A",Inputs_Actuals!K107,(K35+K34-K36))</f>
        <v>-23324</v>
      </c>
      <c r="L37" s="57" t="n">
        <f aca="false">-IF(L$5="A",Inputs_Actuals!L107,(L35+L34-L36))</f>
        <v>-22881</v>
      </c>
      <c r="M37" s="57" t="n">
        <f aca="false">-IF(M$5="A",Inputs_Actuals!M107,(M35+M34-M36))</f>
        <v>-29082.7410886202</v>
      </c>
      <c r="N37" s="57" t="n">
        <f aca="false">-IF(N$5="A",Inputs_Actuals!N107,(N35+N34-N36))</f>
        <v>-30205.1900177558</v>
      </c>
      <c r="O37" s="57" t="n">
        <f aca="false">-IF(O$5="A",Inputs_Actuals!O107,(O35+O34-O36))</f>
        <v>-35858.2413270612</v>
      </c>
      <c r="P37" s="57" t="n">
        <f aca="false">-IF(P$5="A",Inputs_Actuals!P107,(P35+P34-P36))</f>
        <v>-49850.0448089686</v>
      </c>
      <c r="Q37" s="57" t="n">
        <f aca="false">-IF(Q$5="A",Inputs_Actuals!Q107,(Q35+Q34-Q36))</f>
        <v>-41747.9025602793</v>
      </c>
      <c r="R37" s="57" t="n">
        <f aca="false">-IF(R$5="A",Inputs_Actuals!R107,(R35+R34-R36))</f>
        <v>-27003.9188521309</v>
      </c>
      <c r="S37" s="57" t="n">
        <f aca="false">-IF(S$5="A",Inputs_Actuals!S107,(S35+S34-S36))</f>
        <v>-32350.2607909142</v>
      </c>
      <c r="T37" s="57" t="n">
        <f aca="false">-IF(T$5="A",Inputs_Actuals!T107,(T35+T34-T36))</f>
        <v>-33615.8922761317</v>
      </c>
      <c r="U37" s="57" t="n">
        <f aca="false">-IF(U$5="A",Inputs_Actuals!U107,(U35+U34-U36))</f>
        <v>-38528.5902842918</v>
      </c>
      <c r="V37" s="57" t="n">
        <f aca="false">-IF(V$5="A",Inputs_Actuals!V107,(V35+V34-V36))</f>
        <v>-39602.5310318601</v>
      </c>
      <c r="W37" s="57" t="n">
        <f aca="false">-IF(W$5="A",Inputs_Actuals!W107,(W35+W34-W36))</f>
        <v>-42129.6978378827</v>
      </c>
      <c r="X37" s="57" t="n">
        <f aca="false">-IF(X$5="A",Inputs_Actuals!X107,(X35+X34-X36))</f>
        <v>-41038.5882846739</v>
      </c>
      <c r="Y37" s="57" t="n">
        <f aca="false">-IF(Y$5="A",Inputs_Actuals!Y107,(Y35+Y34-Y36))</f>
        <v>-42207.1379589505</v>
      </c>
      <c r="Z37" s="57" t="n">
        <f aca="false">-IF(Z$5="A",Inputs_Actuals!Z107,(Z35+Z34-Z36))</f>
        <v>-52568.2934717791</v>
      </c>
      <c r="AA37" s="57" t="n">
        <f aca="false">-IF(AA$5="A",Inputs_Actuals!AA107,(AA35+AA34-AA36))</f>
        <v>-62406.2519194023</v>
      </c>
      <c r="AB37" s="57" t="n">
        <f aca="false">-IF(AB$5="A",Inputs_Actuals!AB107,(AB35+AB34-AB36))</f>
        <v>-86756.4518374027</v>
      </c>
    </row>
    <row r="38" customFormat="false" ht="15" hidden="false" customHeight="true" outlineLevel="0" collapsed="false">
      <c r="A38" s="70" t="s">
        <v>792</v>
      </c>
      <c r="B38" s="71" t="s">
        <v>793</v>
      </c>
      <c r="C38" s="72" t="n">
        <f aca="false">P38</f>
        <v>35071.8586594468</v>
      </c>
      <c r="D38" s="72" t="n">
        <f aca="false">AB38</f>
        <v>61036.9110757455</v>
      </c>
      <c r="E38" s="72" t="n">
        <f aca="false">E35+E34+E37</f>
        <v>6395.15637065637</v>
      </c>
      <c r="F38" s="72" t="n">
        <f aca="false">F35+F34+F37</f>
        <v>7326.78557334609</v>
      </c>
      <c r="G38" s="72" t="n">
        <f aca="false">G35+G34+G37</f>
        <v>10620.310288175</v>
      </c>
      <c r="H38" s="72" t="n">
        <f aca="false">H35+H34+H37</f>
        <v>13945.9503623865</v>
      </c>
      <c r="I38" s="72" t="n">
        <f aca="false">I35+I34+I37</f>
        <v>14784.246523264</v>
      </c>
      <c r="J38" s="72" t="n">
        <f aca="false">J35+J34+J37</f>
        <v>18766.9992308452</v>
      </c>
      <c r="K38" s="72" t="n">
        <f aca="false">K35+K34+K37</f>
        <v>18563.0795163046</v>
      </c>
      <c r="L38" s="72" t="n">
        <f aca="false">L35+L34+L37</f>
        <v>23423.853709853</v>
      </c>
      <c r="M38" s="72" t="n">
        <f aca="false">M35+M34+M37</f>
        <v>22635.5495150686</v>
      </c>
      <c r="N38" s="72" t="n">
        <f aca="false">N35+N34+N37</f>
        <v>25953.0531520704</v>
      </c>
      <c r="O38" s="72" t="n">
        <f aca="false">O35+O34+O37</f>
        <v>39620.7526999632</v>
      </c>
      <c r="P38" s="72" t="n">
        <f aca="false">P35+P34+P37</f>
        <v>35071.8586594468</v>
      </c>
      <c r="Q38" s="72" t="n">
        <f aca="false">Q35+Q34+Q37</f>
        <v>22889.2933742828</v>
      </c>
      <c r="R38" s="72" t="n">
        <f aca="false">R35+R34+R37</f>
        <v>24687.7528670887</v>
      </c>
      <c r="S38" s="72" t="n">
        <f aca="false">S35+S34+S37</f>
        <v>26271.4557388302</v>
      </c>
      <c r="T38" s="72" t="n">
        <f aca="false">T35+T34+T37</f>
        <v>29377.7461492059</v>
      </c>
      <c r="U38" s="72" t="n">
        <f aca="false">U35+U34+U37</f>
        <v>31374.322748866</v>
      </c>
      <c r="V38" s="72" t="n">
        <f aca="false">V35+V34+V37</f>
        <v>32912.8331319766</v>
      </c>
      <c r="W38" s="72" t="n">
        <f aca="false">W35+W34+W37</f>
        <v>31600.678991678</v>
      </c>
      <c r="X38" s="72" t="n">
        <f aca="false">X35+X34+X37</f>
        <v>32358.5461474148</v>
      </c>
      <c r="Y38" s="72" t="n">
        <f aca="false">Y35+Y34+Y37</f>
        <v>39394.3672461427</v>
      </c>
      <c r="Z38" s="72" t="n">
        <f aca="false">Z35+Z34+Z37</f>
        <v>45167.7470593247</v>
      </c>
      <c r="AA38" s="72" t="n">
        <f aca="false">AA35+AA34+AA37</f>
        <v>68954.0194403103</v>
      </c>
      <c r="AB38" s="72" t="n">
        <f aca="false">AB35+AB34+AB37</f>
        <v>61036.9110757455</v>
      </c>
    </row>
    <row r="39" customFormat="false" ht="15" hidden="false" customHeight="true" outlineLevel="0" collapsed="false">
      <c r="A39" s="28" t="s">
        <v>794</v>
      </c>
      <c r="B39" s="55" t="s">
        <v>315</v>
      </c>
      <c r="E39" s="67" t="n">
        <f aca="false">IF(E34=0,0,E38/E34*Assumptions!E$67)</f>
        <v>24.0065504444535</v>
      </c>
      <c r="F39" s="67" t="n">
        <f aca="false">IF(F34=0,0,F38/F34*Assumptions!F$67)</f>
        <v>23.2184931426547</v>
      </c>
      <c r="G39" s="67" t="n">
        <f aca="false">IF(G34=0,0,G38/G34*Assumptions!G$67)</f>
        <v>24.9142232534458</v>
      </c>
      <c r="H39" s="67" t="n">
        <f aca="false">IF(H34=0,0,H38/H34*Assumptions!H$67)</f>
        <v>25.3860595818886</v>
      </c>
      <c r="I39" s="67" t="n">
        <f aca="false">IF(I34=0,0,I38/I34*Assumptions!I$67)</f>
        <v>23.7475832486704</v>
      </c>
      <c r="J39" s="67" t="n">
        <f aca="false">IF(J34=0,0,J38/J34*Assumptions!J$67)</f>
        <v>24.2595646385632</v>
      </c>
      <c r="K39" s="67" t="n">
        <f aca="false">IF(K34=0,0,K38/K34*Assumptions!K$67)</f>
        <v>24.8898558266407</v>
      </c>
      <c r="L39" s="67" t="n">
        <f aca="false">IF(L34=0,0,L38/L34*Assumptions!L$67)</f>
        <v>26.1749468487244</v>
      </c>
      <c r="M39" s="67" t="n">
        <f aca="false">IF(M34=0,0,M38/M34*Assumptions!M$67)</f>
        <v>24</v>
      </c>
      <c r="N39" s="67" t="n">
        <f aca="false">IF(N34=0,0,N38/N34*Assumptions!N$67)</f>
        <v>24</v>
      </c>
      <c r="O39" s="67" t="n">
        <f aca="false">IF(O34=0,0,O38/O34*Assumptions!O$67)</f>
        <v>24</v>
      </c>
      <c r="P39" s="67" t="n">
        <f aca="false">IF(P34=0,0,P38/P34*Assumptions!P$67)</f>
        <v>24</v>
      </c>
      <c r="Q39" s="67" t="n">
        <f aca="false">IF(Q34=0,0,Q38/Q34*Assumptions!Q$67)</f>
        <v>24</v>
      </c>
      <c r="R39" s="67" t="n">
        <f aca="false">IF(R34=0,0,R38/R34*Assumptions!R$67)</f>
        <v>24</v>
      </c>
      <c r="S39" s="67" t="n">
        <f aca="false">IF(S34=0,0,S38/S34*Assumptions!S$67)</f>
        <v>24</v>
      </c>
      <c r="T39" s="67" t="n">
        <f aca="false">IF(T34=0,0,T38/T34*Assumptions!T$67)</f>
        <v>24</v>
      </c>
      <c r="U39" s="67" t="n">
        <f aca="false">IF(U34=0,0,U38/U34*Assumptions!U$67)</f>
        <v>24</v>
      </c>
      <c r="V39" s="67" t="n">
        <f aca="false">IF(V34=0,0,V38/V34*Assumptions!V$67)</f>
        <v>24</v>
      </c>
      <c r="W39" s="67" t="n">
        <f aca="false">IF(W34=0,0,W38/W34*Assumptions!W$67)</f>
        <v>24</v>
      </c>
      <c r="X39" s="67" t="n">
        <f aca="false">IF(X34=0,0,X38/X34*Assumptions!X$67)</f>
        <v>24</v>
      </c>
      <c r="Y39" s="67" t="n">
        <f aca="false">IF(Y34=0,0,Y38/Y34*Assumptions!Y$67)</f>
        <v>24</v>
      </c>
      <c r="Z39" s="67" t="n">
        <f aca="false">IF(Z34=0,0,Z38/Z34*Assumptions!Z$67)</f>
        <v>24</v>
      </c>
      <c r="AA39" s="67" t="n">
        <f aca="false">IF(AA34=0,0,AA38/AA34*Assumptions!AA$67)</f>
        <v>24</v>
      </c>
      <c r="AB39" s="67" t="n">
        <f aca="false">IF(AB34=0,0,AB38/AB34*Assumptions!AB$67)</f>
        <v>24</v>
      </c>
    </row>
    <row r="41" customFormat="false" ht="15" hidden="false" customHeight="true" outlineLevel="0" collapsed="false">
      <c r="A41" s="22" t="s">
        <v>711</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row>
    <row r="42" customFormat="false" ht="15" hidden="false" customHeight="true" outlineLevel="0" collapsed="false">
      <c r="A42" s="28" t="s">
        <v>796</v>
      </c>
      <c r="B42" s="55" t="s">
        <v>310</v>
      </c>
      <c r="C42" s="56" t="n">
        <f aca="false">SUM(E42:P42)</f>
        <v>5496523.93199341</v>
      </c>
      <c r="D42" s="56" t="n">
        <f aca="false">SUM(Q42:AB42)</f>
        <v>7117045.71602204</v>
      </c>
      <c r="E42" s="69" t="n">
        <f aca="false">E9+E20+E31</f>
        <v>344213.982265058</v>
      </c>
      <c r="F42" s="69" t="n">
        <f aca="false">F9+F20+F31</f>
        <v>322067.547443612</v>
      </c>
      <c r="G42" s="69" t="n">
        <f aca="false">G9+G20+G31</f>
        <v>376717.753010646</v>
      </c>
      <c r="H42" s="69" t="n">
        <f aca="false">H9+H20+H31</f>
        <v>396855.071430056</v>
      </c>
      <c r="I42" s="69" t="n">
        <f aca="false">I9+I20+I31</f>
        <v>445077.39145192</v>
      </c>
      <c r="J42" s="69" t="n">
        <f aca="false">J9+J20+J31</f>
        <v>422971.392403791</v>
      </c>
      <c r="K42" s="69" t="n">
        <f aca="false">K9+K20+K31</f>
        <v>388947.329803479</v>
      </c>
      <c r="L42" s="69" t="n">
        <f aca="false">L9+L20+L31</f>
        <v>401218.377173656</v>
      </c>
      <c r="M42" s="69" t="n">
        <f aca="false">M9+M20+M31</f>
        <v>450318.789347943</v>
      </c>
      <c r="N42" s="69" t="n">
        <f aca="false">N9+N20+N31</f>
        <v>521505.91961969</v>
      </c>
      <c r="O42" s="69" t="n">
        <f aca="false">O9+O20+O31</f>
        <v>753154.597438544</v>
      </c>
      <c r="P42" s="69" t="n">
        <f aca="false">P9+P20+P31</f>
        <v>673475.780605017</v>
      </c>
      <c r="Q42" s="69" t="n">
        <f aca="false">Q9+Q20+Q31</f>
        <v>429722.18985123</v>
      </c>
      <c r="R42" s="69" t="n">
        <f aca="false">R9+R20+R31</f>
        <v>409314.275980266</v>
      </c>
      <c r="S42" s="69" t="n">
        <f aca="false">S9+S20+S31</f>
        <v>471540.176658777</v>
      </c>
      <c r="T42" s="69" t="n">
        <f aca="false">T9+T20+T31</f>
        <v>499000.193026918</v>
      </c>
      <c r="U42" s="69" t="n">
        <f aca="false">U9+U20+U31</f>
        <v>538540.388438815</v>
      </c>
      <c r="V42" s="69" t="n">
        <f aca="false">V9+V20+V31</f>
        <v>534716.640606561</v>
      </c>
      <c r="W42" s="69" t="n">
        <f aca="false">W9+W20+W31</f>
        <v>518901.038178037</v>
      </c>
      <c r="X42" s="69" t="n">
        <f aca="false">X9+X20+X31</f>
        <v>519758.117769831</v>
      </c>
      <c r="Y42" s="69" t="n">
        <f aca="false">Y9+Y20+Y31</f>
        <v>599053.526249953</v>
      </c>
      <c r="Z42" s="69" t="n">
        <f aca="false">Z9+Z20+Z31</f>
        <v>694378.296895051</v>
      </c>
      <c r="AA42" s="69" t="n">
        <f aca="false">AA9+AA20+AA31</f>
        <v>1003735.66075553</v>
      </c>
      <c r="AB42" s="69" t="n">
        <f aca="false">AB9+AB20+AB31</f>
        <v>898385.211611064</v>
      </c>
    </row>
    <row r="43" customFormat="false" ht="15" hidden="false" customHeight="true" outlineLevel="0" collapsed="false">
      <c r="A43" s="28" t="s">
        <v>797</v>
      </c>
      <c r="B43" s="55" t="s">
        <v>310</v>
      </c>
      <c r="C43" s="56" t="n">
        <f aca="false">SUM(E43:P43)</f>
        <v>-402204.677986052</v>
      </c>
      <c r="D43" s="56" t="n">
        <f aca="false">SUM(Q43:AB43)</f>
        <v>-535998.065619616</v>
      </c>
      <c r="E43" s="69" t="n">
        <f aca="false">E10+E21+E32</f>
        <v>-24688.5592664093</v>
      </c>
      <c r="F43" s="69" t="n">
        <f aca="false">F10+F21+F32</f>
        <v>-22923.1449039385</v>
      </c>
      <c r="G43" s="69" t="n">
        <f aca="false">G10+G21+G32</f>
        <v>-26546.1464068441</v>
      </c>
      <c r="H43" s="69" t="n">
        <f aca="false">H10+H21+H32</f>
        <v>-27758.7039703154</v>
      </c>
      <c r="I43" s="69" t="n">
        <f aca="false">I10+I21+I32</f>
        <v>-31158.8082175503</v>
      </c>
      <c r="J43" s="69" t="n">
        <f aca="false">J10+J21+J32</f>
        <v>-30815.9599277978</v>
      </c>
      <c r="K43" s="69" t="n">
        <f aca="false">K10+K21+K32</f>
        <v>-27227.7162801071</v>
      </c>
      <c r="L43" s="69" t="n">
        <f aca="false">L10+L21+L32</f>
        <v>-31659.9898028674</v>
      </c>
      <c r="M43" s="69" t="n">
        <f aca="false">M10+M21+M32</f>
        <v>-33647.1024724142</v>
      </c>
      <c r="N43" s="69" t="n">
        <f aca="false">N10+N21+N32</f>
        <v>-38993.7643326552</v>
      </c>
      <c r="O43" s="69" t="n">
        <f aca="false">O10+O21+O32</f>
        <v>-56355.0081959809</v>
      </c>
      <c r="P43" s="69" t="n">
        <f aca="false">P10+P21+P32</f>
        <v>-50429.7742091724</v>
      </c>
      <c r="Q43" s="69" t="n">
        <f aca="false">Q10+Q21+Q32</f>
        <v>-32201.3224241432</v>
      </c>
      <c r="R43" s="69" t="n">
        <f aca="false">R10+R21+R32</f>
        <v>-30695.0238085364</v>
      </c>
      <c r="S43" s="69" t="n">
        <f aca="false">S10+S21+S32</f>
        <v>-35388.2630399912</v>
      </c>
      <c r="T43" s="69" t="n">
        <f aca="false">T10+T21+T32</f>
        <v>-37477.8841465743</v>
      </c>
      <c r="U43" s="69" t="n">
        <f aca="false">U10+U21+U32</f>
        <v>-40479.0968438305</v>
      </c>
      <c r="V43" s="69" t="n">
        <f aca="false">V10+V21+V32</f>
        <v>-40223.404838239</v>
      </c>
      <c r="W43" s="69" t="n">
        <f aca="false">W10+W21+W32</f>
        <v>-39064.8992108469</v>
      </c>
      <c r="X43" s="69" t="n">
        <f aca="false">X10+X21+X32</f>
        <v>-39161.1070255145</v>
      </c>
      <c r="Y43" s="69" t="n">
        <f aca="false">Y10+Y21+Y32</f>
        <v>-45172.6239967083</v>
      </c>
      <c r="Z43" s="69" t="n">
        <f aca="false">Z10+Z21+Z32</f>
        <v>-52404.2324550335</v>
      </c>
      <c r="AA43" s="69" t="n">
        <f aca="false">AA10+AA21+AA32</f>
        <v>-75814.9173468908</v>
      </c>
      <c r="AB43" s="69" t="n">
        <f aca="false">AB10+AB21+AB32</f>
        <v>-67915.2904833073</v>
      </c>
    </row>
    <row r="44" customFormat="false" ht="15" hidden="false" customHeight="true" outlineLevel="0" collapsed="false">
      <c r="A44" s="28" t="s">
        <v>798</v>
      </c>
      <c r="B44" s="55" t="s">
        <v>310</v>
      </c>
      <c r="C44" s="56" t="n">
        <f aca="false">SUM(E44:P44)</f>
        <v>-937027.87467378</v>
      </c>
      <c r="D44" s="56" t="n">
        <f aca="false">SUM(Q44:AB44)</f>
        <v>-1280064.14603083</v>
      </c>
      <c r="E44" s="69" t="n">
        <f aca="false">E11+E22+E33</f>
        <v>-55107.9922779923</v>
      </c>
      <c r="F44" s="69" t="n">
        <f aca="false">F11+F22+F33</f>
        <v>-49133.4015369837</v>
      </c>
      <c r="G44" s="69" t="n">
        <f aca="false">G11+G22+G33</f>
        <v>-59446.1482889734</v>
      </c>
      <c r="H44" s="69" t="n">
        <f aca="false">H11+H22+H33</f>
        <v>-67066.1001855288</v>
      </c>
      <c r="I44" s="69" t="n">
        <f aca="false">I11+I22+I33</f>
        <v>-73593.3034734918</v>
      </c>
      <c r="J44" s="69" t="n">
        <f aca="false">J11+J22+J33</f>
        <v>-73887.6137184116</v>
      </c>
      <c r="K44" s="69" t="n">
        <f aca="false">K11+K22+K33</f>
        <v>-65645.5575379126</v>
      </c>
      <c r="L44" s="69" t="n">
        <f aca="false">L11+L22+L33</f>
        <v>-68081.1756272401</v>
      </c>
      <c r="M44" s="69" t="n">
        <f aca="false">M11+M22+M33</f>
        <v>-76781.4971697682</v>
      </c>
      <c r="N44" s="69" t="n">
        <f aca="false">N11+N22+N33</f>
        <v>-92890.8041407364</v>
      </c>
      <c r="O44" s="69" t="n">
        <f aca="false">O11+O22+O33</f>
        <v>-134610.079613293</v>
      </c>
      <c r="P44" s="69" t="n">
        <f aca="false">P11+P22+P33</f>
        <v>-120784.201103449</v>
      </c>
      <c r="Q44" s="69" t="n">
        <f aca="false">Q11+Q22+Q33</f>
        <v>-74356.8600591338</v>
      </c>
      <c r="R44" s="69" t="n">
        <f aca="false">R11+R22+R33</f>
        <v>-71093.3313089326</v>
      </c>
      <c r="S44" s="69" t="n">
        <f aca="false">S11+S22+S33</f>
        <v>-82213.8866089519</v>
      </c>
      <c r="T44" s="69" t="n">
        <f aca="false">T11+T22+T33</f>
        <v>-87336.838271381</v>
      </c>
      <c r="U44" s="69" t="n">
        <f aca="false">U11+U22+U33</f>
        <v>-94623.9427250504</v>
      </c>
      <c r="V44" s="69" t="n">
        <f aca="false">V11+V22+V33</f>
        <v>-94320.9481471794</v>
      </c>
      <c r="W44" s="69" t="n">
        <f aca="false">W11+W22+W33</f>
        <v>-91893.8246417555</v>
      </c>
      <c r="X44" s="69" t="n">
        <f aca="false">X11+X22+X33</f>
        <v>-92413.6158926568</v>
      </c>
      <c r="Y44" s="69" t="n">
        <f aca="false">Y11+Y22+Y33</f>
        <v>-106942.096038392</v>
      </c>
      <c r="Z44" s="69" t="n">
        <f aca="false">Z11+Z22+Z33</f>
        <v>-129133.736610458</v>
      </c>
      <c r="AA44" s="69" t="n">
        <f aca="false">AA11+AA22+AA33</f>
        <v>-187377.942931827</v>
      </c>
      <c r="AB44" s="69" t="n">
        <f aca="false">AB11+AB22+AB33</f>
        <v>-168357.122795107</v>
      </c>
    </row>
    <row r="45" customFormat="false" ht="15" hidden="false" customHeight="true" outlineLevel="0" collapsed="false">
      <c r="A45" s="70" t="s">
        <v>799</v>
      </c>
      <c r="B45" s="71" t="s">
        <v>310</v>
      </c>
      <c r="C45" s="72" t="n">
        <f aca="false">SUM(E45:P45)</f>
        <v>4157291.37933358</v>
      </c>
      <c r="D45" s="72" t="n">
        <f aca="false">SUM(Q45:AB45)</f>
        <v>5300983.5043716</v>
      </c>
      <c r="E45" s="72" t="n">
        <f aca="false">E12+E23+E34</f>
        <v>264417.430720656</v>
      </c>
      <c r="F45" s="72" t="n">
        <f aca="false">F12+F23+F34</f>
        <v>250011.00100269</v>
      </c>
      <c r="G45" s="72" t="n">
        <f aca="false">G12+G23+G34</f>
        <v>290725.458314829</v>
      </c>
      <c r="H45" s="72" t="n">
        <f aca="false">H12+H23+H34</f>
        <v>302030.267274212</v>
      </c>
      <c r="I45" s="72" t="n">
        <f aca="false">I12+I23+I34</f>
        <v>340325.279760878</v>
      </c>
      <c r="J45" s="72" t="n">
        <f aca="false">J12+J23+J34</f>
        <v>318267.818757581</v>
      </c>
      <c r="K45" s="72" t="n">
        <f aca="false">K12+K23+K34</f>
        <v>296074.055985459</v>
      </c>
      <c r="L45" s="72" t="n">
        <f aca="false">L12+L23+L34</f>
        <v>301477.211743548</v>
      </c>
      <c r="M45" s="72" t="n">
        <f aca="false">M12+M23+M34</f>
        <v>339890.18970576</v>
      </c>
      <c r="N45" s="72" t="n">
        <f aca="false">N12+N23+N34</f>
        <v>389621.351146298</v>
      </c>
      <c r="O45" s="72" t="n">
        <f aca="false">O12+O23+O34</f>
        <v>562189.509629271</v>
      </c>
      <c r="P45" s="72" t="n">
        <f aca="false">P12+P23+P34</f>
        <v>502261.805292396</v>
      </c>
      <c r="Q45" s="72" t="n">
        <f aca="false">Q12+Q23+Q34</f>
        <v>323164.007367953</v>
      </c>
      <c r="R45" s="72" t="n">
        <f aca="false">R12+R23+R34</f>
        <v>307525.920862797</v>
      </c>
      <c r="S45" s="72" t="n">
        <f aca="false">S12+S23+S34</f>
        <v>353938.027009833</v>
      </c>
      <c r="T45" s="72" t="n">
        <f aca="false">T12+T23+T34</f>
        <v>374185.470608963</v>
      </c>
      <c r="U45" s="72" t="n">
        <f aca="false">U12+U23+U34</f>
        <v>403437.348869935</v>
      </c>
      <c r="V45" s="72" t="n">
        <f aca="false">V12+V23+V34</f>
        <v>400172.287621142</v>
      </c>
      <c r="W45" s="72" t="n">
        <f aca="false">W12+W23+W34</f>
        <v>387942.314325434</v>
      </c>
      <c r="X45" s="72" t="n">
        <f aca="false">X12+X23+X34</f>
        <v>388183.39485166</v>
      </c>
      <c r="Y45" s="72" t="n">
        <f aca="false">Y12+Y23+Y34</f>
        <v>446938.806214853</v>
      </c>
      <c r="Z45" s="72" t="n">
        <f aca="false">Z12+Z23+Z34</f>
        <v>512840.32782956</v>
      </c>
      <c r="AA45" s="72" t="n">
        <f aca="false">AA12+AA23+AA34</f>
        <v>740542.800476816</v>
      </c>
      <c r="AB45" s="72" t="n">
        <f aca="false">AB12+AB23+AB34</f>
        <v>662112.79833265</v>
      </c>
    </row>
    <row r="46" customFormat="false" ht="15" hidden="false" customHeight="true" outlineLevel="0" collapsed="false">
      <c r="A46" s="28" t="s">
        <v>790</v>
      </c>
      <c r="B46" s="55" t="s">
        <v>310</v>
      </c>
      <c r="C46" s="56" t="n">
        <f aca="false">SUM(E46:P46)</f>
        <v>-4108548.59482977</v>
      </c>
      <c r="D46" s="56" t="n">
        <f aca="false">SUM(Q46:AB46)</f>
        <v>-5230864.98611389</v>
      </c>
      <c r="E46" s="69" t="n">
        <f aca="false">E15+E26+E37</f>
        <v>-312453</v>
      </c>
      <c r="F46" s="69" t="n">
        <f aca="false">F15+F26+F37</f>
        <v>-239161</v>
      </c>
      <c r="G46" s="69" t="n">
        <f aca="false">G15+G26+G37</f>
        <v>-279131</v>
      </c>
      <c r="H46" s="69" t="n">
        <f aca="false">H15+H26+H37</f>
        <v>-294398</v>
      </c>
      <c r="I46" s="69" t="n">
        <f aca="false">I15+I26+I37</f>
        <v>-326785</v>
      </c>
      <c r="J46" s="69" t="n">
        <f aca="false">J15+J26+J37</f>
        <v>-319701</v>
      </c>
      <c r="K46" s="69" t="n">
        <f aca="false">K15+K26+K37</f>
        <v>-321425</v>
      </c>
      <c r="L46" s="69" t="n">
        <f aca="false">L15+L26+L37</f>
        <v>-298658</v>
      </c>
      <c r="M46" s="69" t="n">
        <f aca="false">M15+M26+M37</f>
        <v>-317984.332652714</v>
      </c>
      <c r="N46" s="69" t="n">
        <f aca="false">N15+N26+N37</f>
        <v>-376355.819265247</v>
      </c>
      <c r="O46" s="69" t="n">
        <f aca="false">O15+O26+O37</f>
        <v>-492503.983917874</v>
      </c>
      <c r="P46" s="69" t="n">
        <f aca="false">P15+P26+P37</f>
        <v>-529992.458993937</v>
      </c>
      <c r="Q46" s="69" t="n">
        <f aca="false">Q15+Q26+Q37</f>
        <v>-386757.079297827</v>
      </c>
      <c r="R46" s="69" t="n">
        <f aca="false">R15+R26+R37</f>
        <v>-300687.480376202</v>
      </c>
      <c r="S46" s="69" t="n">
        <f aca="false">S15+S26+S37</f>
        <v>-348467.716026904</v>
      </c>
      <c r="T46" s="69" t="n">
        <f aca="false">T15+T26+T37</f>
        <v>-361516.245806379</v>
      </c>
      <c r="U46" s="69" t="n">
        <f aca="false">U15+U26+U37</f>
        <v>-396609.940129115</v>
      </c>
      <c r="V46" s="69" t="n">
        <f aca="false">V15+V26+V37</f>
        <v>-395797.840324885</v>
      </c>
      <c r="W46" s="69" t="n">
        <f aca="false">W15+W26+W37</f>
        <v>-396929.134584093</v>
      </c>
      <c r="X46" s="69" t="n">
        <f aca="false">X15+X26+X37</f>
        <v>-387497.82536718</v>
      </c>
      <c r="Y46" s="69" t="n">
        <f aca="false">Y15+Y26+Y37</f>
        <v>-418419.685909912</v>
      </c>
      <c r="Z46" s="69" t="n">
        <f aca="false">Z15+Z26+Z37</f>
        <v>-494088.283309979</v>
      </c>
      <c r="AA46" s="69" t="n">
        <f aca="false">AA15+AA26+AA37</f>
        <v>-643931.162043794</v>
      </c>
      <c r="AB46" s="69" t="n">
        <f aca="false">AB15+AB26+AB37</f>
        <v>-700162.592937619</v>
      </c>
    </row>
    <row r="47" customFormat="false" ht="15" hidden="false" customHeight="true" outlineLevel="0" collapsed="false">
      <c r="A47" s="70" t="s">
        <v>800</v>
      </c>
      <c r="B47" s="71" t="s">
        <v>310</v>
      </c>
      <c r="C47" s="72" t="n">
        <f aca="false">P47</f>
        <v>182242.784503807</v>
      </c>
      <c r="D47" s="72" t="n">
        <f aca="false">AB47</f>
        <v>252361.302761511</v>
      </c>
      <c r="E47" s="72" t="n">
        <f aca="false">E16+E27+E38</f>
        <v>85464.4307206564</v>
      </c>
      <c r="F47" s="72" t="n">
        <f aca="false">F16+F27+F38</f>
        <v>96314.4317233461</v>
      </c>
      <c r="G47" s="72" t="n">
        <f aca="false">G16+G27+G38</f>
        <v>107908.890038175</v>
      </c>
      <c r="H47" s="72" t="n">
        <f aca="false">H16+H27+H38</f>
        <v>115541.157312387</v>
      </c>
      <c r="I47" s="72" t="n">
        <f aca="false">I16+I27+I38</f>
        <v>129081.437073264</v>
      </c>
      <c r="J47" s="72" t="n">
        <f aca="false">J16+J27+J38</f>
        <v>127648.255830845</v>
      </c>
      <c r="K47" s="72" t="n">
        <f aca="false">K16+K27+K38</f>
        <v>102297.311816305</v>
      </c>
      <c r="L47" s="72" t="n">
        <f aca="false">L16+L27+L38</f>
        <v>105116.523559853</v>
      </c>
      <c r="M47" s="72" t="n">
        <f aca="false">M16+M27+M38</f>
        <v>127022.380612899</v>
      </c>
      <c r="N47" s="72" t="n">
        <f aca="false">N16+N27+N38</f>
        <v>140287.912493951</v>
      </c>
      <c r="O47" s="72" t="n">
        <f aca="false">O16+O27+O38</f>
        <v>209973.438205348</v>
      </c>
      <c r="P47" s="72" t="n">
        <f aca="false">P16+P27+P38</f>
        <v>182242.784503807</v>
      </c>
      <c r="Q47" s="72" t="n">
        <f aca="false">Q16+Q27+Q38</f>
        <v>118649.712573932</v>
      </c>
      <c r="R47" s="72" t="n">
        <f aca="false">R16+R27+R38</f>
        <v>125488.153060527</v>
      </c>
      <c r="S47" s="72" t="n">
        <f aca="false">S16+S27+S38</f>
        <v>130958.464043457</v>
      </c>
      <c r="T47" s="72" t="n">
        <f aca="false">T16+T27+T38</f>
        <v>143627.688846041</v>
      </c>
      <c r="U47" s="72" t="n">
        <f aca="false">U16+U27+U38</f>
        <v>150455.09758686</v>
      </c>
      <c r="V47" s="72" t="n">
        <f aca="false">V16+V27+V38</f>
        <v>154829.544883117</v>
      </c>
      <c r="W47" s="72" t="n">
        <f aca="false">W16+W27+W38</f>
        <v>145842.724624459</v>
      </c>
      <c r="X47" s="72" t="n">
        <f aca="false">X16+X27+X38</f>
        <v>146528.294108939</v>
      </c>
      <c r="Y47" s="72" t="n">
        <f aca="false">Y16+Y27+Y38</f>
        <v>175047.41441388</v>
      </c>
      <c r="Z47" s="72" t="n">
        <f aca="false">Z16+Z27+Z38</f>
        <v>193799.45893346</v>
      </c>
      <c r="AA47" s="72" t="n">
        <f aca="false">AA16+AA27+AA38</f>
        <v>290411.097366481</v>
      </c>
      <c r="AB47" s="72" t="n">
        <f aca="false">AB16+AB27+AB38</f>
        <v>252361.302761511</v>
      </c>
    </row>
    <row r="48" customFormat="false" ht="15" hidden="false" customHeight="true" outlineLevel="0" collapsed="false">
      <c r="A48" s="28" t="s">
        <v>801</v>
      </c>
      <c r="B48" s="55" t="s">
        <v>315</v>
      </c>
      <c r="E48" s="67" t="n">
        <f aca="false">IF(E45=0,0,E47/E45*Assumptions!E$67)</f>
        <v>10.0197530288361</v>
      </c>
      <c r="F48" s="67" t="n">
        <f aca="false">IF(F45=0,0,F47/F45*Assumptions!F$67)</f>
        <v>10.7867416931172</v>
      </c>
      <c r="G48" s="67" t="n">
        <f aca="false">IF(G45=0,0,G47/G45*Assumptions!G$67)</f>
        <v>11.5063043001928</v>
      </c>
      <c r="H48" s="67" t="n">
        <f aca="false">IF(H45=0,0,H47/H45*Assumptions!H$67)</f>
        <v>11.4764482071746</v>
      </c>
      <c r="I48" s="67" t="n">
        <f aca="false">IF(I45=0,0,I47/I45*Assumptions!I$67)</f>
        <v>11.7579409677788</v>
      </c>
      <c r="J48" s="67" t="n">
        <f aca="false">IF(J45=0,0,J47/J45*Assumptions!J$67)</f>
        <v>12.0321548369997</v>
      </c>
      <c r="K48" s="67" t="n">
        <f aca="false">IF(K45=0,0,K47/K45*Assumptions!K$67)</f>
        <v>10.7108900702235</v>
      </c>
      <c r="L48" s="67" t="n">
        <f aca="false">IF(L45=0,0,L47/L45*Assumptions!L$67)</f>
        <v>10.8088177262545</v>
      </c>
      <c r="M48" s="67" t="n">
        <f aca="false">IF(M45=0,0,M47/M45*Assumptions!M$67)</f>
        <v>11.2114781002825</v>
      </c>
      <c r="N48" s="67" t="n">
        <f aca="false">IF(N45=0,0,N47/N45*Assumptions!N$67)</f>
        <v>11.1619275343037</v>
      </c>
      <c r="O48" s="67" t="n">
        <f aca="false">IF(O45=0,0,O47/O45*Assumptions!O$67)</f>
        <v>11.2047682111933</v>
      </c>
      <c r="P48" s="67" t="n">
        <f aca="false">IF(P45=0,0,P47/P45*Assumptions!P$67)</f>
        <v>11.2481702970209</v>
      </c>
      <c r="Q48" s="67" t="n">
        <f aca="false">IF(Q45=0,0,Q47/Q45*Assumptions!Q$67)</f>
        <v>11.3816545343306</v>
      </c>
      <c r="R48" s="67" t="n">
        <f aca="false">IF(R45=0,0,R47/R45*Assumptions!R$67)</f>
        <v>11.4256004041441</v>
      </c>
      <c r="S48" s="67" t="n">
        <f aca="false">IF(S45=0,0,S47/S45*Assumptions!S$67)</f>
        <v>11.4701220991843</v>
      </c>
      <c r="T48" s="67" t="n">
        <f aca="false">IF(T45=0,0,T47/T45*Assumptions!T$67)</f>
        <v>11.5152270834271</v>
      </c>
      <c r="U48" s="67" t="n">
        <f aca="false">IF(U45=0,0,U47/U45*Assumptions!U$67)</f>
        <v>11.560922751097</v>
      </c>
      <c r="V48" s="67" t="n">
        <f aca="false">IF(V45=0,0,V47/V45*Assumptions!V$67)</f>
        <v>11.6072164169724</v>
      </c>
      <c r="W48" s="67" t="n">
        <f aca="false">IF(W45=0,0,W47/W45*Assumptions!W$67)</f>
        <v>11.6541153063432</v>
      </c>
      <c r="X48" s="67" t="n">
        <f aca="false">IF(X45=0,0,X47/X45*Assumptions!X$67)</f>
        <v>11.7016265446206</v>
      </c>
      <c r="Y48" s="67" t="n">
        <f aca="false">IF(Y45=0,0,Y47/Y45*Assumptions!Y$67)</f>
        <v>11.7497571466012</v>
      </c>
      <c r="Z48" s="67" t="n">
        <f aca="false">IF(Z45=0,0,Z47/Z45*Assumptions!Z$67)</f>
        <v>11.7147246441468</v>
      </c>
      <c r="AA48" s="67" t="n">
        <f aca="false">IF(AA45=0,0,AA47/AA45*Assumptions!AA$67)</f>
        <v>11.7647932238147</v>
      </c>
      <c r="AB48" s="67" t="n">
        <f aca="false">IF(AB45=0,0,AB47/AB45*Assumptions!AB$67)</f>
        <v>11.8155099936256</v>
      </c>
    </row>
    <row r="50" customFormat="false" ht="15" hidden="false" customHeight="true" outlineLevel="0" collapsed="false">
      <c r="A50" s="22" t="s">
        <v>802</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row>
    <row r="51" customFormat="false" ht="15" hidden="false" customHeight="true" outlineLevel="0" collapsed="false">
      <c r="A51" s="28" t="s">
        <v>803</v>
      </c>
      <c r="B51" s="55"/>
      <c r="E51" s="57" t="n">
        <f aca="false">Inputs_Actuals!$C$133</f>
        <v>19400</v>
      </c>
      <c r="F51" s="69" t="n">
        <f aca="false">E52</f>
        <v>9369.34612031386</v>
      </c>
      <c r="G51" s="69" t="n">
        <f aca="false">F52</f>
        <v>9652.54995196926</v>
      </c>
      <c r="H51" s="69" t="n">
        <f aca="false">G52</f>
        <v>10123.3599901877</v>
      </c>
      <c r="I51" s="69" t="n">
        <f aca="false">H52</f>
        <v>10991.7471861472</v>
      </c>
      <c r="J51" s="69" t="n">
        <f aca="false">I52</f>
        <v>11914.8685498614</v>
      </c>
      <c r="K51" s="69" t="n">
        <f aca="false">J52</f>
        <v>12205.321299639</v>
      </c>
      <c r="L51" s="69" t="n">
        <f aca="false">K52</f>
        <v>10482.733158758</v>
      </c>
      <c r="M51" s="69" t="n">
        <f aca="false">L52</f>
        <v>12212.3105561337</v>
      </c>
      <c r="N51" s="69" t="n">
        <f aca="false">M52</f>
        <v>13389.7762241951</v>
      </c>
      <c r="O51" s="69" t="n">
        <f aca="false">N52</f>
        <v>15025.7676920097</v>
      </c>
      <c r="P51" s="69" t="n">
        <f aca="false">O52</f>
        <v>22453.048116898</v>
      </c>
      <c r="Q51" s="69" t="n">
        <f aca="false">P52</f>
        <v>19456.0556255328</v>
      </c>
      <c r="R51" s="69" t="n">
        <f aca="false">Q52</f>
        <v>12431.1562435058</v>
      </c>
      <c r="S51" s="69" t="n">
        <f aca="false">R52</f>
        <v>13127.5640975835</v>
      </c>
      <c r="T51" s="69" t="n">
        <f aca="false">S52</f>
        <v>13678.8986745457</v>
      </c>
      <c r="U51" s="69" t="n">
        <f aca="false">T52</f>
        <v>14979.2985710298</v>
      </c>
      <c r="V51" s="69" t="n">
        <f aca="false">U52</f>
        <v>15667.3525632999</v>
      </c>
      <c r="W51" s="69" t="n">
        <f aca="false">V52</f>
        <v>16098.212892289</v>
      </c>
      <c r="X51" s="69" t="n">
        <f aca="false">W52</f>
        <v>15140.6140993082</v>
      </c>
      <c r="Y51" s="69" t="n">
        <f aca="false">X52</f>
        <v>15188.5018627032</v>
      </c>
      <c r="Z51" s="69" t="n">
        <f aca="false">Y52</f>
        <v>18116.8948312216</v>
      </c>
      <c r="AA51" s="69" t="n">
        <f aca="false">Z52</f>
        <v>20353.8815910337</v>
      </c>
      <c r="AB51" s="69" t="n">
        <f aca="false">AA52</f>
        <v>30450.450272622</v>
      </c>
    </row>
    <row r="52" customFormat="false" ht="15" hidden="false" customHeight="true" outlineLevel="0" collapsed="false">
      <c r="A52" s="70" t="s">
        <v>804</v>
      </c>
      <c r="B52" s="71" t="s">
        <v>71</v>
      </c>
      <c r="C52" s="72" t="n">
        <f aca="false">P52</f>
        <v>19456.0556255328</v>
      </c>
      <c r="D52" s="72" t="n">
        <f aca="false">AB52</f>
        <v>26417.3216182246</v>
      </c>
      <c r="E52" s="73" t="n">
        <f aca="false">-Channel_PL!E118*Assumptions!$C$31/Assumptions!E$67</f>
        <v>9369.34612031386</v>
      </c>
      <c r="F52" s="73" t="n">
        <f aca="false">-Channel_PL!F118*Assumptions!$C$31/Assumptions!F$67</f>
        <v>9652.54995196926</v>
      </c>
      <c r="G52" s="73" t="n">
        <f aca="false">-Channel_PL!G118*Assumptions!$C$31/Assumptions!G$67</f>
        <v>10123.3599901877</v>
      </c>
      <c r="H52" s="73" t="n">
        <f aca="false">-Channel_PL!H118*Assumptions!$C$31/Assumptions!H$67</f>
        <v>10991.7471861472</v>
      </c>
      <c r="I52" s="73" t="n">
        <f aca="false">-Channel_PL!I118*Assumptions!$C$31/Assumptions!I$67</f>
        <v>11914.8685498614</v>
      </c>
      <c r="J52" s="73" t="n">
        <f aca="false">-Channel_PL!J118*Assumptions!$C$31/Assumptions!J$67</f>
        <v>12205.321299639</v>
      </c>
      <c r="K52" s="73" t="n">
        <f aca="false">-Channel_PL!K118*Assumptions!$C$31/Assumptions!K$67</f>
        <v>10482.733158758</v>
      </c>
      <c r="L52" s="73" t="n">
        <f aca="false">-Channel_PL!L118*Assumptions!$C$31/Assumptions!L$67</f>
        <v>12212.3105561337</v>
      </c>
      <c r="M52" s="73" t="n">
        <f aca="false">-Channel_PL!M118*Assumptions!$C$31/Assumptions!M$67</f>
        <v>13389.7762241951</v>
      </c>
      <c r="N52" s="73" t="n">
        <f aca="false">-Channel_PL!N118*Assumptions!$C$31/Assumptions!N$67</f>
        <v>15025.7676920097</v>
      </c>
      <c r="O52" s="73" t="n">
        <f aca="false">-Channel_PL!O118*Assumptions!$C$31/Assumptions!O$67</f>
        <v>22453.048116898</v>
      </c>
      <c r="P52" s="73" t="n">
        <f aca="false">-Channel_PL!P118*Assumptions!$C$31/Assumptions!P$67</f>
        <v>19456.0556255328</v>
      </c>
      <c r="Q52" s="73" t="n">
        <f aca="false">-Channel_PL!Q118*Assumptions!$C$31/Assumptions!Q$67</f>
        <v>12431.1562435058</v>
      </c>
      <c r="R52" s="73" t="n">
        <f aca="false">-Channel_PL!R118*Assumptions!$C$31/Assumptions!R$67</f>
        <v>13127.5640975835</v>
      </c>
      <c r="S52" s="73" t="n">
        <f aca="false">-Channel_PL!S118*Assumptions!$C$31/Assumptions!S$67</f>
        <v>13678.8986745457</v>
      </c>
      <c r="T52" s="73" t="n">
        <f aca="false">-Channel_PL!T118*Assumptions!$C$31/Assumptions!T$67</f>
        <v>14979.2985710298</v>
      </c>
      <c r="U52" s="73" t="n">
        <f aca="false">-Channel_PL!U118*Assumptions!$C$31/Assumptions!U$67</f>
        <v>15667.3525632999</v>
      </c>
      <c r="V52" s="73" t="n">
        <f aca="false">-Channel_PL!V118*Assumptions!$C$31/Assumptions!V$67</f>
        <v>16098.212892289</v>
      </c>
      <c r="W52" s="73" t="n">
        <f aca="false">-Channel_PL!W118*Assumptions!$C$31/Assumptions!W$67</f>
        <v>15140.6140993082</v>
      </c>
      <c r="X52" s="73" t="n">
        <f aca="false">-Channel_PL!X118*Assumptions!$C$31/Assumptions!X$67</f>
        <v>15188.5018627032</v>
      </c>
      <c r="Y52" s="73" t="n">
        <f aca="false">-Channel_PL!Y118*Assumptions!$C$31/Assumptions!Y$67</f>
        <v>18116.8948312216</v>
      </c>
      <c r="Z52" s="73" t="n">
        <f aca="false">-Channel_PL!Z118*Assumptions!$C$31/Assumptions!Z$67</f>
        <v>20353.8815910337</v>
      </c>
      <c r="AA52" s="73" t="n">
        <f aca="false">-Channel_PL!AA118*Assumptions!$C$31/Assumptions!AA$67</f>
        <v>30450.450272622</v>
      </c>
      <c r="AB52" s="73" t="n">
        <f aca="false">-Channel_PL!AB118*Assumptions!$C$31/Assumptions!AB$67</f>
        <v>26417.3216182246</v>
      </c>
    </row>
    <row r="53" customFormat="false" ht="15" hidden="false" customHeight="true" outlineLevel="0" collapsed="false">
      <c r="A53" s="28" t="s">
        <v>805</v>
      </c>
      <c r="B53" s="55"/>
      <c r="C53" s="56" t="n">
        <f aca="false">SUM(E53:P53)</f>
        <v>-56.0556255328411</v>
      </c>
      <c r="D53" s="56" t="n">
        <f aca="false">SUM(Q53:AB53)</f>
        <v>-6961.26599269172</v>
      </c>
      <c r="E53" s="69" t="n">
        <f aca="false">-(E52-E51)</f>
        <v>10030.6538796861</v>
      </c>
      <c r="F53" s="69" t="n">
        <f aca="false">-(F52-F51)</f>
        <v>-283.203831655395</v>
      </c>
      <c r="G53" s="69" t="n">
        <f aca="false">-(G52-G51)</f>
        <v>-470.810038218404</v>
      </c>
      <c r="H53" s="69" t="n">
        <f aca="false">-(H52-H51)</f>
        <v>-868.387195959522</v>
      </c>
      <c r="I53" s="69" t="n">
        <f aca="false">-(I52-I51)</f>
        <v>-923.12136371423</v>
      </c>
      <c r="J53" s="69" t="n">
        <f aca="false">-(J52-J51)</f>
        <v>-290.452749777574</v>
      </c>
      <c r="K53" s="69" t="n">
        <f aca="false">-(K52-K51)</f>
        <v>1722.58814088097</v>
      </c>
      <c r="L53" s="69" t="n">
        <f aca="false">-(L52-L51)</f>
        <v>-1729.57739737564</v>
      </c>
      <c r="M53" s="69" t="n">
        <f aca="false">-(M52-M51)</f>
        <v>-1177.46566806146</v>
      </c>
      <c r="N53" s="69" t="n">
        <f aca="false">-(N52-N51)</f>
        <v>-1635.99146781462</v>
      </c>
      <c r="O53" s="69" t="n">
        <f aca="false">-(O52-O51)</f>
        <v>-7427.28042488824</v>
      </c>
      <c r="P53" s="69" t="n">
        <f aca="false">-(P52-P51)</f>
        <v>2996.99249136513</v>
      </c>
      <c r="Q53" s="69" t="n">
        <f aca="false">-(Q52-Q51)</f>
        <v>7024.89938202709</v>
      </c>
      <c r="R53" s="69" t="n">
        <f aca="false">-(R52-R51)</f>
        <v>-696.407854077765</v>
      </c>
      <c r="S53" s="69" t="n">
        <f aca="false">-(S52-S51)</f>
        <v>-551.334576962132</v>
      </c>
      <c r="T53" s="69" t="n">
        <f aca="false">-(T52-T51)</f>
        <v>-1300.39989648416</v>
      </c>
      <c r="U53" s="69" t="n">
        <f aca="false">-(U52-U51)</f>
        <v>-688.05399227013</v>
      </c>
      <c r="V53" s="69" t="n">
        <f aca="false">-(V52-V51)</f>
        <v>-430.860328989029</v>
      </c>
      <c r="W53" s="69" t="n">
        <f aca="false">-(W52-W51)</f>
        <v>957.598792980743</v>
      </c>
      <c r="X53" s="69" t="n">
        <f aca="false">-(X52-X51)</f>
        <v>-47.8877633949414</v>
      </c>
      <c r="Y53" s="69" t="n">
        <f aca="false">-(Y52-Y51)</f>
        <v>-2928.3929685184</v>
      </c>
      <c r="Z53" s="69" t="n">
        <f aca="false">-(Z52-Z51)</f>
        <v>-2236.98675981212</v>
      </c>
      <c r="AA53" s="69" t="n">
        <f aca="false">-(AA52-AA51)</f>
        <v>-10096.5686815883</v>
      </c>
      <c r="AB53" s="69" t="n">
        <f aca="false">-(AB52-AB51)</f>
        <v>4033.12865439741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2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806</v>
      </c>
    </row>
    <row r="3" customFormat="false" ht="15" hidden="false" customHeight="true" outlineLevel="0" collapsed="false">
      <c r="A3" s="25" t="s">
        <v>807</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734</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808</v>
      </c>
      <c r="B9" s="55" t="s">
        <v>809</v>
      </c>
      <c r="E9" s="57" t="n">
        <f aca="false">Inputs_Actuals!$C$116</f>
        <v>186000</v>
      </c>
      <c r="F9" s="69" t="n">
        <f aca="false">E16</f>
        <v>263609.37863719</v>
      </c>
      <c r="G9" s="69" t="n">
        <f aca="false">F16</f>
        <v>225422.062481796</v>
      </c>
      <c r="H9" s="69" t="n">
        <f aca="false">G16</f>
        <v>180402.470127946</v>
      </c>
      <c r="I9" s="69" t="n">
        <f aca="false">H16</f>
        <v>133685.237875767</v>
      </c>
      <c r="J9" s="69" t="n">
        <f aca="false">I16</f>
        <v>186407.669939309</v>
      </c>
      <c r="K9" s="69" t="n">
        <f aca="false">J16</f>
        <v>133911.357245629</v>
      </c>
      <c r="L9" s="69" t="n">
        <f aca="false">K16</f>
        <v>87469.2204296292</v>
      </c>
      <c r="M9" s="69" t="n">
        <f aca="false">L16</f>
        <v>38711.4479161506</v>
      </c>
      <c r="N9" s="69" t="n">
        <f aca="false">M16</f>
        <v>129833.90000686</v>
      </c>
      <c r="O9" s="69" t="n">
        <f aca="false">N16</f>
        <v>238962.563794535</v>
      </c>
      <c r="P9" s="69" t="n">
        <f aca="false">O16</f>
        <v>146233.234023784</v>
      </c>
      <c r="Q9" s="69" t="n">
        <f aca="false">P16</f>
        <v>134082.665276051</v>
      </c>
      <c r="R9" s="69" t="n">
        <f aca="false">Q16</f>
        <v>200570.402674542</v>
      </c>
      <c r="S9" s="69" t="n">
        <f aca="false">R16</f>
        <v>149938.252051628</v>
      </c>
      <c r="T9" s="69" t="n">
        <f aca="false">S16</f>
        <v>161689.278457047</v>
      </c>
      <c r="U9" s="69" t="n">
        <f aca="false">T16</f>
        <v>169160.702311391</v>
      </c>
      <c r="V9" s="69" t="n">
        <f aca="false">U16</f>
        <v>173859.330766024</v>
      </c>
      <c r="W9" s="69" t="n">
        <f aca="false">V16</f>
        <v>163562.108621149</v>
      </c>
      <c r="X9" s="69" t="n">
        <f aca="false">W16</f>
        <v>164125.274097471</v>
      </c>
      <c r="Y9" s="69" t="n">
        <f aca="false">X16</f>
        <v>195824.979031412</v>
      </c>
      <c r="Z9" s="69" t="n">
        <f aca="false">Y16</f>
        <v>220068.506608074</v>
      </c>
      <c r="AA9" s="69" t="n">
        <f aca="false">Z16</f>
        <v>329331.497373418</v>
      </c>
      <c r="AB9" s="69" t="n">
        <f aca="false">AA16</f>
        <v>285798.432834108</v>
      </c>
    </row>
    <row r="10" customFormat="false" ht="15" hidden="false" customHeight="true" outlineLevel="0" collapsed="false">
      <c r="A10" s="28" t="s">
        <v>810</v>
      </c>
      <c r="B10" s="55" t="s">
        <v>811</v>
      </c>
      <c r="C10" s="56" t="n">
        <f aca="false">SUM(E10:P10)</f>
        <v>544120</v>
      </c>
      <c r="D10" s="56" t="n">
        <f aca="false">SUM(Q10:AB10)</f>
        <v>119560</v>
      </c>
      <c r="E10" s="57" t="n">
        <f aca="false">SUMIFS(Purchase_Orders!$N$6:$N$24,Purchase_Orders!$R$6:$R$24,Assumptions!E$61,Purchase_Orders!$C$6:$C$24,"Cookware")</f>
        <v>117120</v>
      </c>
      <c r="F10" s="57" t="n">
        <f aca="false">SUMIFS(Purchase_Orders!$N$6:$N$24,Purchase_Orders!$R$6:$R$24,Assumptions!F$61,Purchase_Orders!$C$6:$C$24,"Cookware")</f>
        <v>0</v>
      </c>
      <c r="G10" s="57" t="n">
        <f aca="false">SUMIFS(Purchase_Orders!$N$6:$N$24,Purchase_Orders!$R$6:$R$24,Assumptions!G$61,Purchase_Orders!$C$6:$C$24,"Cookware")</f>
        <v>0</v>
      </c>
      <c r="H10" s="57" t="n">
        <f aca="false">SUMIFS(Purchase_Orders!$N$6:$N$24,Purchase_Orders!$R$6:$R$24,Assumptions!H$61,Purchase_Orders!$C$6:$C$24,"Cookware")</f>
        <v>0</v>
      </c>
      <c r="I10" s="57" t="n">
        <f aca="false">SUMIFS(Purchase_Orders!$N$6:$N$24,Purchase_Orders!$R$6:$R$24,Assumptions!I$61,Purchase_Orders!$C$6:$C$24,"Cookware")</f>
        <v>107360</v>
      </c>
      <c r="J10" s="57" t="n">
        <f aca="false">SUMIFS(Purchase_Orders!$N$6:$N$24,Purchase_Orders!$R$6:$R$24,Assumptions!J$61,Purchase_Orders!$C$6:$C$24,"Cookware")</f>
        <v>0</v>
      </c>
      <c r="K10" s="57" t="n">
        <f aca="false">SUMIFS(Purchase_Orders!$N$6:$N$24,Purchase_Orders!$R$6:$R$24,Assumptions!K$61,Purchase_Orders!$C$6:$C$24,"Cookware")</f>
        <v>0</v>
      </c>
      <c r="L10" s="57" t="n">
        <f aca="false">SUMIFS(Purchase_Orders!$N$6:$N$24,Purchase_Orders!$R$6:$R$24,Assumptions!L$61,Purchase_Orders!$C$6:$C$24,"Cookware")</f>
        <v>0</v>
      </c>
      <c r="M10" s="57" t="n">
        <f aca="false">SUMIFS(Purchase_Orders!$N$6:$N$24,Purchase_Orders!$R$6:$R$24,Assumptions!M$61,Purchase_Orders!$C$6:$C$24,"Cookware")</f>
        <v>146400</v>
      </c>
      <c r="N10" s="57" t="n">
        <f aca="false">SUMIFS(Purchase_Orders!$N$6:$N$24,Purchase_Orders!$R$6:$R$24,Assumptions!N$61,Purchase_Orders!$C$6:$C$24,"Cookware")</f>
        <v>173240</v>
      </c>
      <c r="O10" s="57" t="n">
        <f aca="false">SUMIFS(Purchase_Orders!$N$6:$N$24,Purchase_Orders!$R$6:$R$24,Assumptions!O$61,Purchase_Orders!$C$6:$C$24,"Cookware")</f>
        <v>0</v>
      </c>
      <c r="P10" s="57" t="n">
        <f aca="false">SUMIFS(Purchase_Orders!$N$6:$N$24,Purchase_Orders!$R$6:$R$24,Assumptions!P$61,Purchase_Orders!$C$6:$C$24,"Cookware")</f>
        <v>0</v>
      </c>
      <c r="Q10" s="57" t="n">
        <f aca="false">SUMIFS(Purchase_Orders!$N$6:$N$24,Purchase_Orders!$R$6:$R$24,Assumptions!Q$61,Purchase_Orders!$C$6:$C$24,"Cookware")</f>
        <v>119560</v>
      </c>
      <c r="R10" s="57" t="n">
        <f aca="false">SUMIFS(Purchase_Orders!$N$6:$N$24,Purchase_Orders!$R$6:$R$24,Assumptions!R$61,Purchase_Orders!$C$6:$C$24,"Cookware")</f>
        <v>0</v>
      </c>
      <c r="S10" s="57" t="n">
        <f aca="false">SUMIFS(Purchase_Orders!$N$6:$N$24,Purchase_Orders!$R$6:$R$24,Assumptions!S$61,Purchase_Orders!$C$6:$C$24,"Cookware")</f>
        <v>0</v>
      </c>
      <c r="T10" s="57" t="n">
        <f aca="false">SUMIFS(Purchase_Orders!$N$6:$N$24,Purchase_Orders!$R$6:$R$24,Assumptions!T$61,Purchase_Orders!$C$6:$C$24,"Cookware")</f>
        <v>0</v>
      </c>
      <c r="U10" s="57" t="n">
        <f aca="false">SUMIFS(Purchase_Orders!$N$6:$N$24,Purchase_Orders!$R$6:$R$24,Assumptions!U$61,Purchase_Orders!$C$6:$C$24,"Cookware")</f>
        <v>0</v>
      </c>
      <c r="V10" s="57" t="n">
        <f aca="false">SUMIFS(Purchase_Orders!$N$6:$N$24,Purchase_Orders!$R$6:$R$24,Assumptions!V$61,Purchase_Orders!$C$6:$C$24,"Cookware")</f>
        <v>0</v>
      </c>
      <c r="W10" s="57" t="n">
        <f aca="false">SUMIFS(Purchase_Orders!$N$6:$N$24,Purchase_Orders!$R$6:$R$24,Assumptions!W$61,Purchase_Orders!$C$6:$C$24,"Cookware")</f>
        <v>0</v>
      </c>
      <c r="X10" s="57" t="n">
        <f aca="false">SUMIFS(Purchase_Orders!$N$6:$N$24,Purchase_Orders!$R$6:$R$24,Assumptions!X$61,Purchase_Orders!$C$6:$C$24,"Cookware")</f>
        <v>0</v>
      </c>
      <c r="Y10" s="57" t="n">
        <f aca="false">SUMIFS(Purchase_Orders!$N$6:$N$24,Purchase_Orders!$R$6:$R$24,Assumptions!Y$61,Purchase_Orders!$C$6:$C$24,"Cookware")</f>
        <v>0</v>
      </c>
      <c r="Z10" s="57" t="n">
        <f aca="false">SUMIFS(Purchase_Orders!$N$6:$N$24,Purchase_Orders!$R$6:$R$24,Assumptions!Z$61,Purchase_Orders!$C$6:$C$24,"Cookware")</f>
        <v>0</v>
      </c>
      <c r="AA10" s="57" t="n">
        <f aca="false">SUMIFS(Purchase_Orders!$N$6:$N$24,Purchase_Orders!$R$6:$R$24,Assumptions!AA$61,Purchase_Orders!$C$6:$C$24,"Cookware")</f>
        <v>0</v>
      </c>
      <c r="AB10" s="57" t="n">
        <f aca="false">SUMIFS(Purchase_Orders!$N$6:$N$24,Purchase_Orders!$R$6:$R$24,Assumptions!AB$61,Purchase_Orders!$C$6:$C$24,"Cookware")</f>
        <v>0</v>
      </c>
    </row>
    <row r="11" customFormat="false" ht="15" hidden="false" customHeight="true" outlineLevel="0" collapsed="false">
      <c r="A11" s="28" t="s">
        <v>812</v>
      </c>
      <c r="B11" s="55" t="s">
        <v>813</v>
      </c>
      <c r="E11" s="57" t="n">
        <f aca="false">Assumptions!$F$116*F14/Assumptions!F$67</f>
        <v>106764</v>
      </c>
      <c r="F11" s="57" t="n">
        <f aca="false">Assumptions!$F$116*G14/Assumptions!G$67</f>
        <v>114049.548387097</v>
      </c>
      <c r="G11" s="57" t="n">
        <f aca="false">Assumptions!$F$116*H14/Assumptions!H$67</f>
        <v>121675.05</v>
      </c>
      <c r="H11" s="57" t="n">
        <f aca="false">Assumptions!$F$116*I14/Assumptions!I$67</f>
        <v>138180.14516129</v>
      </c>
      <c r="I11" s="57" t="n">
        <f aca="false">Assumptions!$F$116*J14/Assumptions!J$67</f>
        <v>137870.7</v>
      </c>
      <c r="J11" s="57" t="n">
        <f aca="false">Assumptions!$F$116*K14/Assumptions!K$67</f>
        <v>117394.572580645</v>
      </c>
      <c r="K11" s="57" t="n">
        <f aca="false">Assumptions!$F$116*L14/Assumptions!L$67</f>
        <v>123549.798387097</v>
      </c>
      <c r="L11" s="57" t="n">
        <f aca="false">Assumptions!$F$116*M14/Assumptions!M$67</f>
        <v>144286.827326819</v>
      </c>
      <c r="M11" s="57" t="n">
        <f aca="false">Assumptions!$F$116*N14/Assumptions!N$67</f>
        <v>161952.939264316</v>
      </c>
      <c r="N11" s="57" t="n">
        <f aca="false">Assumptions!$F$116*O14/Assumptions!O$67</f>
        <v>242062.957088088</v>
      </c>
      <c r="O11" s="57" t="n">
        <f aca="false">Assumptions!$F$116*P14/Assumptions!P$67</f>
        <v>209802.565480622</v>
      </c>
      <c r="P11" s="57" t="n">
        <f aca="false">Assumptions!$F$116*Q14/Assumptions!Q$67</f>
        <v>134082.665276051</v>
      </c>
      <c r="Q11" s="57" t="n">
        <f aca="false">Assumptions!$F$116*R14/Assumptions!R$67</f>
        <v>141629.120568887</v>
      </c>
      <c r="R11" s="57" t="n">
        <f aca="false">Assumptions!$F$116*S14/Assumptions!S$67</f>
        <v>147614.518744266</v>
      </c>
      <c r="S11" s="57" t="n">
        <f aca="false">Assumptions!$F$116*T14/Assumptions!T$67</f>
        <v>161689.278457047</v>
      </c>
      <c r="T11" s="57" t="n">
        <f aca="false">Assumptions!$F$116*U14/Assumptions!U$67</f>
        <v>169160.702311391</v>
      </c>
      <c r="U11" s="57" t="n">
        <f aca="false">Assumptions!$F$116*V14/Assumptions!V$67</f>
        <v>173859.330766024</v>
      </c>
      <c r="V11" s="57" t="n">
        <f aca="false">Assumptions!$F$116*W14/Assumptions!W$67</f>
        <v>163562.108621149</v>
      </c>
      <c r="W11" s="57" t="n">
        <f aca="false">Assumptions!$F$116*X14/Assumptions!X$67</f>
        <v>164125.274097471</v>
      </c>
      <c r="X11" s="57" t="n">
        <f aca="false">Assumptions!$F$116*Y14/Assumptions!Y$67</f>
        <v>195824.979031412</v>
      </c>
      <c r="Y11" s="57" t="n">
        <f aca="false">Assumptions!$F$116*Z14/Assumptions!Z$67</f>
        <v>220068.506608074</v>
      </c>
      <c r="Z11" s="57" t="n">
        <f aca="false">Assumptions!$F$116*AA14/Assumptions!AA$67</f>
        <v>329331.497373418</v>
      </c>
      <c r="AA11" s="57" t="n">
        <f aca="false">Assumptions!$F$116*AB14/Assumptions!AB$67</f>
        <v>285798.432834107</v>
      </c>
      <c r="AB11" s="57" t="n">
        <f aca="false">Assumptions!$F$116*AB14/Assumptions!AB$67</f>
        <v>285798.432834107</v>
      </c>
    </row>
    <row r="12" customFormat="false" ht="15" hidden="false" customHeight="true" outlineLevel="0" collapsed="false">
      <c r="A12" s="28" t="s">
        <v>814</v>
      </c>
      <c r="B12" s="55" t="s">
        <v>815</v>
      </c>
      <c r="C12" s="56" t="n">
        <f aca="false">SUM(E12:P12)</f>
        <v>70896.2521452293</v>
      </c>
      <c r="D12" s="56" t="n">
        <f aca="false">SUM(Q12:AB12)</f>
        <v>920634.465985074</v>
      </c>
      <c r="E12" s="57" t="n">
        <f aca="false">IF(Assumptions!E$62&lt;=Assumptions!$C$10+Assumptions!$C$36,0,MAX(0,E11-E9-E13+E14+E15-E10))</f>
        <v>0</v>
      </c>
      <c r="F12" s="57" t="n">
        <f aca="false">IF(Assumptions!F$62&lt;=Assumptions!$C$10+Assumptions!$C$36,0,MAX(0,F11-F9-F13+F14+F15-F10))</f>
        <v>0</v>
      </c>
      <c r="G12" s="57" t="n">
        <f aca="false">IF(Assumptions!G$62&lt;=Assumptions!$C$10+Assumptions!$C$36,0,MAX(0,G11-G9-G13+G14+G15-G10))</f>
        <v>0</v>
      </c>
      <c r="H12" s="57" t="n">
        <f aca="false">IF(Assumptions!H$62&lt;=Assumptions!$C$10+Assumptions!$C$36,0,MAX(0,H11-H9-H13+H14+H15-H10))</f>
        <v>0</v>
      </c>
      <c r="I12" s="57" t="n">
        <f aca="false">IF(Assumptions!I$62&lt;=Assumptions!$C$10+Assumptions!$C$36,0,MAX(0,I11-I9-I13+I14+I15-I10))</f>
        <v>0</v>
      </c>
      <c r="J12" s="57" t="n">
        <f aca="false">IF(Assumptions!J$62&lt;=Assumptions!$C$10+Assumptions!$C$36,0,MAX(0,J11-J9-J13+J14+J15-J10))</f>
        <v>0</v>
      </c>
      <c r="K12" s="57" t="n">
        <f aca="false">IF(Assumptions!K$62&lt;=Assumptions!$C$10+Assumptions!$C$36,0,MAX(0,K11-K9-K13+K14+K15-K10))</f>
        <v>0</v>
      </c>
      <c r="L12" s="57" t="n">
        <f aca="false">IF(Assumptions!L$62&lt;=Assumptions!$C$10+Assumptions!$C$36,0,MAX(0,L11-L9-L13+L14+L15-L10))</f>
        <v>0</v>
      </c>
      <c r="M12" s="57" t="n">
        <f aca="false">IF(Assumptions!M$62&lt;=Assumptions!$C$10+Assumptions!$C$36,0,MAX(0,M11-M9-M13+M14+M15-M10))</f>
        <v>0</v>
      </c>
      <c r="N12" s="57" t="n">
        <f aca="false">IF(Assumptions!N$62&lt;=Assumptions!$C$10+Assumptions!$C$36,0,MAX(0,N11-N9-N13+N14+N15-N10))</f>
        <v>0</v>
      </c>
      <c r="O12" s="57" t="n">
        <f aca="false">IF(Assumptions!O$62&lt;=Assumptions!$C$10+Assumptions!$C$36,0,MAX(0,O11-O9-O13+O14+O15-O10))</f>
        <v>0</v>
      </c>
      <c r="P12" s="57" t="n">
        <f aca="false">IF(Assumptions!P$62&lt;=Assumptions!$C$10+Assumptions!$C$36,0,MAX(0,P11-P9-P13+P14+P15-P10))</f>
        <v>70896.2521452293</v>
      </c>
      <c r="Q12" s="57" t="n">
        <f aca="false">IF(Assumptions!Q$62&lt;=Assumptions!$C$10+Assumptions!$C$36,0,MAX(0,Q11-Q9-Q13+Q14+Q15-Q10))</f>
        <v>0</v>
      </c>
      <c r="R12" s="57" t="n">
        <f aca="false">IF(Assumptions!R$62&lt;=Assumptions!$C$10+Assumptions!$C$36,0,MAX(0,R11-R9-R13+R14+R15-R10))</f>
        <v>0</v>
      </c>
      <c r="S12" s="57" t="n">
        <f aca="false">IF(Assumptions!S$62&lt;=Assumptions!$C$10+Assumptions!$C$36,0,MAX(0,S11-S9-S13+S14+S15-S10))</f>
        <v>70174.6945697528</v>
      </c>
      <c r="T12" s="57" t="n">
        <f aca="false">IF(Assumptions!T$62&lt;=Assumptions!$C$10+Assumptions!$C$36,0,MAX(0,T11-T9-T13+T14+T15-T10))</f>
        <v>69398.7820906684</v>
      </c>
      <c r="U12" s="57" t="n">
        <f aca="false">IF(Assumptions!U$62&lt;=Assumptions!$C$10+Assumptions!$C$36,0,MAX(0,U11-U9-U13+U14+U15-U10))</f>
        <v>71644.3812452594</v>
      </c>
      <c r="V12" s="57" t="n">
        <f aca="false">IF(Assumptions!V$62&lt;=Assumptions!$C$10+Assumptions!$C$36,0,MAX(0,V11-V9-V13+V14+V15-V10))</f>
        <v>56285.6691220735</v>
      </c>
      <c r="W12" s="57" t="n">
        <f aca="false">IF(Assumptions!W$62&lt;=Assumptions!$C$10+Assumptions!$C$36,0,MAX(0,W11-W9-W13+W14+W15-W10))</f>
        <v>65287.7210056482</v>
      </c>
      <c r="X12" s="57" t="n">
        <f aca="false">IF(Assumptions!X$62&lt;=Assumptions!$C$10+Assumptions!$C$36,0,MAX(0,X11-X9-X13+X14+X15-X10))</f>
        <v>96644.2809427265</v>
      </c>
      <c r="Y12" s="57" t="n">
        <f aca="false">IF(Assumptions!Y$62&lt;=Assumptions!$C$10+Assumptions!$C$36,0,MAX(0,Y11-Y9-Y13+Y14+Y15-Y10))</f>
        <v>99228.7823420047</v>
      </c>
      <c r="Z12" s="57" t="n">
        <f aca="false">IF(Assumptions!Z$62&lt;=Assumptions!$C$10+Assumptions!$C$36,0,MAX(0,Z11-Z9-Z13+Z14+Z15-Z10))</f>
        <v>196336.625413328</v>
      </c>
      <c r="AA12" s="57" t="n">
        <f aca="false">IF(Assumptions!AA$62&lt;=Assumptions!$C$10+Assumptions!$C$36,0,MAX(0,AA11-AA9-AA13+AA14+AA15-AA10))</f>
        <v>82563.1116335524</v>
      </c>
      <c r="AB12" s="57" t="n">
        <f aca="false">IF(Assumptions!AB$62&lt;=Assumptions!$C$10+Assumptions!$C$36,0,MAX(0,AB11-AB9-AB13+AB14+AB15-AB10))</f>
        <v>113070.41762006</v>
      </c>
    </row>
    <row r="13" customFormat="false" ht="15" hidden="false" customHeight="true" outlineLevel="0" collapsed="false">
      <c r="A13" s="28" t="s">
        <v>816</v>
      </c>
      <c r="B13" s="55" t="s">
        <v>46</v>
      </c>
      <c r="C13" s="56" t="n">
        <f aca="false">SUM(E13:P13)</f>
        <v>30928.7054252074</v>
      </c>
      <c r="D13" s="56" t="n">
        <f aca="false">SUM(Q13:AB13)</f>
        <v>42352.7288697519</v>
      </c>
      <c r="E13" s="57" t="n">
        <f aca="false">Product_Contribution!E32</f>
        <v>1706.07863719019</v>
      </c>
      <c r="F13" s="57" t="n">
        <f aca="false">Product_Contribution!F32</f>
        <v>1671.243844606</v>
      </c>
      <c r="G13" s="57" t="n">
        <f aca="false">Product_Contribution!G32</f>
        <v>2120.88764614971</v>
      </c>
      <c r="H13" s="57" t="n">
        <f aca="false">Product_Contribution!H32</f>
        <v>1952.78774782143</v>
      </c>
      <c r="I13" s="57" t="n">
        <f aca="false">Product_Contribution!I32</f>
        <v>2476.89206354119</v>
      </c>
      <c r="J13" s="57" t="n">
        <f aca="false">Product_Contribution!J32</f>
        <v>2651.96730632064</v>
      </c>
      <c r="K13" s="57" t="n">
        <f aca="false">Product_Contribution!K32</f>
        <v>2080.95318400001</v>
      </c>
      <c r="L13" s="57" t="n">
        <f aca="false">Product_Contribution!L32</f>
        <v>2309.47748652151</v>
      </c>
      <c r="M13" s="57" t="n">
        <f aca="false">Product_Contribution!M32</f>
        <v>2610.32721422975</v>
      </c>
      <c r="N13" s="57" t="n">
        <f aca="false">Product_Contribution!N32</f>
        <v>3030.03366161264</v>
      </c>
      <c r="O13" s="57" t="n">
        <f aca="false">Product_Contribution!O32</f>
        <v>4386.32861299027</v>
      </c>
      <c r="P13" s="57" t="n">
        <f aca="false">Product_Contribution!P32</f>
        <v>3931.72802022401</v>
      </c>
      <c r="Q13" s="57" t="n">
        <f aca="false">Product_Contribution!Q32</f>
        <v>2514.83488420055</v>
      </c>
      <c r="R13" s="57" t="n">
        <f aca="false">Product_Contribution!R32</f>
        <v>2401.34567117472</v>
      </c>
      <c r="S13" s="57" t="n">
        <f aca="false">Product_Contribution!S32</f>
        <v>2773.37491987229</v>
      </c>
      <c r="T13" s="57" t="n">
        <f aca="false">Product_Contribution!T32</f>
        <v>2942.38028064251</v>
      </c>
      <c r="U13" s="57" t="n">
        <f aca="false">Product_Contribution!U32</f>
        <v>3183.76343561529</v>
      </c>
      <c r="V13" s="57" t="n">
        <f aca="false">Product_Contribution!V32</f>
        <v>3169.47223637964</v>
      </c>
      <c r="W13" s="57" t="n">
        <f aca="false">Product_Contribution!W32</f>
        <v>3083.93304877223</v>
      </c>
      <c r="X13" s="57" t="n">
        <f aca="false">Product_Contribution!X32</f>
        <v>3097.38595805018</v>
      </c>
      <c r="Y13" s="57" t="n">
        <f aca="false">Product_Contribution!Y32</f>
        <v>3579.72682205943</v>
      </c>
      <c r="Z13" s="57" t="n">
        <f aca="false">Product_Contribution!Z32</f>
        <v>4160.89969821399</v>
      </c>
      <c r="AA13" s="57" t="n">
        <f aca="false">Product_Contribution!AA32</f>
        <v>6031.62057335258</v>
      </c>
      <c r="AB13" s="57" t="n">
        <f aca="false">Product_Contribution!AB32</f>
        <v>5413.9913414185</v>
      </c>
    </row>
    <row r="14" customFormat="false" ht="15" hidden="false" customHeight="true" outlineLevel="0" collapsed="false">
      <c r="A14" s="28" t="s">
        <v>659</v>
      </c>
      <c r="B14" s="55" t="s">
        <v>46</v>
      </c>
      <c r="C14" s="56" t="n">
        <f aca="false">SUM(E14:P14)</f>
        <v>696937.695727204</v>
      </c>
      <c r="D14" s="56" t="n">
        <f aca="false">SUM(Q14:AB14)</f>
        <v>928047.285440448</v>
      </c>
      <c r="E14" s="57" t="n">
        <f aca="false">-Product_Contribution!E31</f>
        <v>41216.7</v>
      </c>
      <c r="F14" s="57" t="n">
        <f aca="false">-Product_Contribution!F31</f>
        <v>39858.56</v>
      </c>
      <c r="G14" s="57" t="n">
        <f aca="false">-Product_Contribution!G31</f>
        <v>47140.48</v>
      </c>
      <c r="H14" s="57" t="n">
        <f aca="false">-Product_Contribution!H31</f>
        <v>48670.02</v>
      </c>
      <c r="I14" s="57" t="n">
        <f aca="false">-Product_Contribution!I31</f>
        <v>57114.46</v>
      </c>
      <c r="J14" s="57" t="n">
        <f aca="false">-Product_Contribution!J31</f>
        <v>55148.28</v>
      </c>
      <c r="K14" s="57" t="n">
        <f aca="false">-Product_Contribution!K31</f>
        <v>48523.09</v>
      </c>
      <c r="L14" s="57" t="n">
        <f aca="false">-Product_Contribution!L31</f>
        <v>51067.25</v>
      </c>
      <c r="M14" s="57" t="n">
        <f aca="false">-Product_Contribution!M31</f>
        <v>57714.7309307278</v>
      </c>
      <c r="N14" s="57" t="n">
        <f aca="false">-Product_Contribution!N31</f>
        <v>66940.5482292506</v>
      </c>
      <c r="O14" s="57" t="n">
        <f aca="false">-Product_Contribution!O31</f>
        <v>96825.182835235</v>
      </c>
      <c r="P14" s="57" t="n">
        <f aca="false">-Product_Contribution!P31</f>
        <v>86718.3937319905</v>
      </c>
      <c r="Q14" s="57" t="n">
        <f aca="false">-Product_Contribution!Q31</f>
        <v>55420.8349807678</v>
      </c>
      <c r="R14" s="57" t="n">
        <f aca="false">-Product_Contribution!R31</f>
        <v>52874.8716790513</v>
      </c>
      <c r="S14" s="57" t="n">
        <f aca="false">-Product_Contribution!S31</f>
        <v>61014.0010809632</v>
      </c>
      <c r="T14" s="57" t="n">
        <f aca="false">-Product_Contribution!T31</f>
        <v>64675.7113828187</v>
      </c>
      <c r="U14" s="57" t="n">
        <f aca="false">-Product_Contribution!U31</f>
        <v>69919.7569553748</v>
      </c>
      <c r="V14" s="57" t="n">
        <f aca="false">-Product_Contribution!V31</f>
        <v>69543.7323064097</v>
      </c>
      <c r="W14" s="57" t="n">
        <f aca="false">-Product_Contribution!W31</f>
        <v>67605.6715634081</v>
      </c>
      <c r="X14" s="57" t="n">
        <f aca="false">-Product_Contribution!X31</f>
        <v>67838.4466269546</v>
      </c>
      <c r="Y14" s="57" t="n">
        <f aca="false">-Product_Contribution!Y31</f>
        <v>78329.9916125648</v>
      </c>
      <c r="Z14" s="57" t="n">
        <f aca="false">-Product_Contribution!Z31</f>
        <v>90961.6493980038</v>
      </c>
      <c r="AA14" s="57" t="n">
        <f aca="false">-Product_Contribution!AA31</f>
        <v>131732.598949367</v>
      </c>
      <c r="AB14" s="57" t="n">
        <f aca="false">-Product_Contribution!AB31</f>
        <v>118130.018904764</v>
      </c>
    </row>
    <row r="15" customFormat="false" ht="15" hidden="false" customHeight="true" outlineLevel="0" collapsed="false">
      <c r="A15" s="28" t="s">
        <v>817</v>
      </c>
      <c r="B15" s="55" t="s">
        <v>818</v>
      </c>
      <c r="C15" s="56" t="n">
        <f aca="false">SUM(E15:P15)</f>
        <v>924.596567181612</v>
      </c>
      <c r="D15" s="56" t="n">
        <f aca="false">SUM(Q15:AB15)</f>
        <v>2784.14185632134</v>
      </c>
      <c r="E15" s="57" t="n">
        <f aca="false">IF(E$5="A",Inputs_Actuals!E83,Assumptions!$C$34*E14)</f>
        <v>0</v>
      </c>
      <c r="F15" s="57" t="n">
        <f aca="false">IF(F$5="A",Inputs_Actuals!F83,Assumptions!$C$34*F14)</f>
        <v>0</v>
      </c>
      <c r="G15" s="57" t="n">
        <f aca="false">IF(G$5="A",Inputs_Actuals!G83,Assumptions!$C$34*G14)</f>
        <v>0</v>
      </c>
      <c r="H15" s="57" t="n">
        <f aca="false">IF(H$5="A",Inputs_Actuals!H83,Assumptions!$C$34*H14)</f>
        <v>0</v>
      </c>
      <c r="I15" s="57" t="n">
        <f aca="false">IF(I$5="A",Inputs_Actuals!I83,Assumptions!$C$34*I14)</f>
        <v>0</v>
      </c>
      <c r="J15" s="57" t="n">
        <f aca="false">IF(J$5="A",Inputs_Actuals!J83,Assumptions!$C$34*J14)</f>
        <v>0</v>
      </c>
      <c r="K15" s="57" t="n">
        <f aca="false">IF(K$5="A",Inputs_Actuals!K83,Assumptions!$C$34*K14)</f>
        <v>0</v>
      </c>
      <c r="L15" s="57" t="n">
        <f aca="false">IF(L$5="A",Inputs_Actuals!L83,Assumptions!$C$34*L14)</f>
        <v>0</v>
      </c>
      <c r="M15" s="57" t="n">
        <f aca="false">IF(M$5="A",Inputs_Actuals!M83,Assumptions!$C$34*M14)</f>
        <v>173.144192792183</v>
      </c>
      <c r="N15" s="57" t="n">
        <f aca="false">IF(N$5="A",Inputs_Actuals!N83,Assumptions!$C$34*N14)</f>
        <v>200.821644687752</v>
      </c>
      <c r="O15" s="57" t="n">
        <f aca="false">IF(O$5="A",Inputs_Actuals!O83,Assumptions!$C$34*O14)</f>
        <v>290.475548505705</v>
      </c>
      <c r="P15" s="57" t="n">
        <f aca="false">IF(P$5="A",Inputs_Actuals!P83,Assumptions!$C$34*P14)</f>
        <v>260.155181195971</v>
      </c>
      <c r="Q15" s="57" t="n">
        <f aca="false">IF(Q$5="A",Inputs_Actuals!Q83,Assumptions!$C$34*Q14)</f>
        <v>166.262504942303</v>
      </c>
      <c r="R15" s="57" t="n">
        <f aca="false">IF(R$5="A",Inputs_Actuals!R83,Assumptions!$C$34*R14)</f>
        <v>158.624615037154</v>
      </c>
      <c r="S15" s="57" t="n">
        <f aca="false">IF(S$5="A",Inputs_Actuals!S83,Assumptions!$C$34*S14)</f>
        <v>183.04200324289</v>
      </c>
      <c r="T15" s="57" t="n">
        <f aca="false">IF(T$5="A",Inputs_Actuals!T83,Assumptions!$C$34*T14)</f>
        <v>194.027134148456</v>
      </c>
      <c r="U15" s="57" t="n">
        <f aca="false">IF(U$5="A",Inputs_Actuals!U83,Assumptions!$C$34*U14)</f>
        <v>209.759270866124</v>
      </c>
      <c r="V15" s="57" t="n">
        <f aca="false">IF(V$5="A",Inputs_Actuals!V83,Assumptions!$C$34*V14)</f>
        <v>208.631196919229</v>
      </c>
      <c r="W15" s="57" t="n">
        <f aca="false">IF(W$5="A",Inputs_Actuals!W83,Assumptions!$C$34*W14)</f>
        <v>202.817014690224</v>
      </c>
      <c r="X15" s="57" t="n">
        <f aca="false">IF(X$5="A",Inputs_Actuals!X83,Assumptions!$C$34*X14)</f>
        <v>203.515339880864</v>
      </c>
      <c r="Y15" s="57" t="n">
        <f aca="false">IF(Y$5="A",Inputs_Actuals!Y83,Assumptions!$C$34*Y14)</f>
        <v>234.989974837694</v>
      </c>
      <c r="Z15" s="57" t="n">
        <f aca="false">IF(Z$5="A",Inputs_Actuals!Z83,Assumptions!$C$34*Z14)</f>
        <v>272.884948194011</v>
      </c>
      <c r="AA15" s="57" t="n">
        <f aca="false">IF(AA$5="A",Inputs_Actuals!AA83,Assumptions!$C$34*AA14)</f>
        <v>395.197796848101</v>
      </c>
      <c r="AB15" s="57" t="n">
        <f aca="false">IF(AB$5="A",Inputs_Actuals!AB83,Assumptions!$C$34*AB14)</f>
        <v>354.390056714293</v>
      </c>
    </row>
    <row r="16" customFormat="false" ht="15" hidden="false" customHeight="true" outlineLevel="0" collapsed="false">
      <c r="A16" s="70" t="s">
        <v>819</v>
      </c>
      <c r="B16" s="71" t="s">
        <v>820</v>
      </c>
      <c r="C16" s="72" t="n">
        <f aca="false">P16</f>
        <v>134082.665276051</v>
      </c>
      <c r="D16" s="72" t="n">
        <f aca="false">AB16</f>
        <v>285798.432834108</v>
      </c>
      <c r="E16" s="72" t="n">
        <f aca="false">E9+E10+E12+E13-E14-E15</f>
        <v>263609.37863719</v>
      </c>
      <c r="F16" s="72" t="n">
        <f aca="false">F9+F10+F12+F13-F14-F15</f>
        <v>225422.062481796</v>
      </c>
      <c r="G16" s="72" t="n">
        <f aca="false">G9+G10+G12+G13-G14-G15</f>
        <v>180402.470127946</v>
      </c>
      <c r="H16" s="72" t="n">
        <f aca="false">H9+H10+H12+H13-H14-H15</f>
        <v>133685.237875767</v>
      </c>
      <c r="I16" s="72" t="n">
        <f aca="false">I9+I10+I12+I13-I14-I15</f>
        <v>186407.669939309</v>
      </c>
      <c r="J16" s="72" t="n">
        <f aca="false">J9+J10+J12+J13-J14-J15</f>
        <v>133911.357245629</v>
      </c>
      <c r="K16" s="72" t="n">
        <f aca="false">K9+K10+K12+K13-K14-K15</f>
        <v>87469.2204296292</v>
      </c>
      <c r="L16" s="72" t="n">
        <f aca="false">L9+L10+L12+L13-L14-L15</f>
        <v>38711.4479161506</v>
      </c>
      <c r="M16" s="72" t="n">
        <f aca="false">M9+M10+M12+M13-M14-M15</f>
        <v>129833.90000686</v>
      </c>
      <c r="N16" s="72" t="n">
        <f aca="false">N9+N10+N12+N13-N14-N15</f>
        <v>238962.563794535</v>
      </c>
      <c r="O16" s="72" t="n">
        <f aca="false">O9+O10+O12+O13-O14-O15</f>
        <v>146233.234023784</v>
      </c>
      <c r="P16" s="72" t="n">
        <f aca="false">P9+P10+P12+P13-P14-P15</f>
        <v>134082.665276051</v>
      </c>
      <c r="Q16" s="72" t="n">
        <f aca="false">Q9+Q10+Q12+Q13-Q14-Q15</f>
        <v>200570.402674542</v>
      </c>
      <c r="R16" s="72" t="n">
        <f aca="false">R9+R10+R12+R13-R14-R15</f>
        <v>149938.252051628</v>
      </c>
      <c r="S16" s="72" t="n">
        <f aca="false">S9+S10+S12+S13-S14-S15</f>
        <v>161689.278457047</v>
      </c>
      <c r="T16" s="72" t="n">
        <f aca="false">T9+T10+T12+T13-T14-T15</f>
        <v>169160.702311391</v>
      </c>
      <c r="U16" s="72" t="n">
        <f aca="false">U9+U10+U12+U13-U14-U15</f>
        <v>173859.330766024</v>
      </c>
      <c r="V16" s="72" t="n">
        <f aca="false">V9+V10+V12+V13-V14-V15</f>
        <v>163562.108621149</v>
      </c>
      <c r="W16" s="72" t="n">
        <f aca="false">W9+W10+W12+W13-W14-W15</f>
        <v>164125.274097471</v>
      </c>
      <c r="X16" s="72" t="n">
        <f aca="false">X9+X10+X12+X13-X14-X15</f>
        <v>195824.979031412</v>
      </c>
      <c r="Y16" s="72" t="n">
        <f aca="false">Y9+Y10+Y12+Y13-Y14-Y15</f>
        <v>220068.506608074</v>
      </c>
      <c r="Z16" s="72" t="n">
        <f aca="false">Z9+Z10+Z12+Z13-Z14-Z15</f>
        <v>329331.497373418</v>
      </c>
      <c r="AA16" s="72" t="n">
        <f aca="false">AA9+AA10+AA12+AA13-AA14-AA15</f>
        <v>285798.432834108</v>
      </c>
      <c r="AB16" s="72" t="n">
        <f aca="false">AB9+AB10+AB12+AB13-AB14-AB15</f>
        <v>285798.432834108</v>
      </c>
    </row>
    <row r="17" customFormat="false" ht="15" hidden="false" customHeight="true" outlineLevel="0" collapsed="false">
      <c r="A17" s="28" t="s">
        <v>821</v>
      </c>
      <c r="B17" s="55" t="s">
        <v>315</v>
      </c>
      <c r="C17" s="66" t="n">
        <f aca="false">P17</f>
        <v>47.9317298750222</v>
      </c>
      <c r="D17" s="66" t="n">
        <f aca="false">AB17</f>
        <v>75</v>
      </c>
      <c r="E17" s="67" t="n">
        <f aca="false">IF(E14=0,0,E16/E14*Assumptions!E$67)</f>
        <v>198.266497263316</v>
      </c>
      <c r="F17" s="67" t="n">
        <f aca="false">IF(F14=0,0,F16/F14*Assumptions!F$67)</f>
        <v>158.355388390607</v>
      </c>
      <c r="G17" s="67" t="n">
        <f aca="false">IF(G14=0,0,G16/G14*Assumptions!G$67)</f>
        <v>118.634273006264</v>
      </c>
      <c r="H17" s="67" t="n">
        <f aca="false">IF(H14=0,0,H16/H14*Assumptions!H$67)</f>
        <v>82.4030303721473</v>
      </c>
      <c r="I17" s="67" t="n">
        <f aca="false">IF(I14=0,0,I16/I14*Assumptions!I$67)</f>
        <v>101.176440574218</v>
      </c>
      <c r="J17" s="67" t="n">
        <f aca="false">IF(J14=0,0,J16/J14*Assumptions!J$67)</f>
        <v>72.8461652361393</v>
      </c>
      <c r="K17" s="67" t="n">
        <f aca="false">IF(K14=0,0,K16/K14*Assumptions!K$67)</f>
        <v>55.8815572816674</v>
      </c>
      <c r="L17" s="67" t="n">
        <f aca="false">IF(L14=0,0,L16/L14*Assumptions!L$67)</f>
        <v>23.4995008621116</v>
      </c>
      <c r="M17" s="67" t="n">
        <f aca="false">IF(M14=0,0,M16/M14*Assumptions!M$67)</f>
        <v>67.4873977127402</v>
      </c>
      <c r="N17" s="67" t="n">
        <f aca="false">IF(N14=0,0,N16/N14*Assumptions!N$67)</f>
        <v>110.662963982025</v>
      </c>
      <c r="O17" s="67" t="n">
        <f aca="false">IF(O14=0,0,O16/O14*Assumptions!O$67)</f>
        <v>45.308430020512</v>
      </c>
      <c r="P17" s="67" t="n">
        <f aca="false">IF(P14=0,0,P16/P14*Assumptions!P$67)</f>
        <v>47.9317298750222</v>
      </c>
      <c r="Q17" s="67" t="n">
        <f aca="false">IF(Q14=0,0,Q16/Q14*Assumptions!Q$67)</f>
        <v>112.190342947169</v>
      </c>
      <c r="R17" s="67" t="n">
        <f aca="false">IF(R14=0,0,R16/R14*Assumptions!R$67)</f>
        <v>79.4001181303843</v>
      </c>
      <c r="S17" s="67" t="n">
        <f aca="false">IF(S14=0,0,S16/S14*Assumptions!S$67)</f>
        <v>82.1511053752603</v>
      </c>
      <c r="T17" s="67" t="n">
        <f aca="false">IF(T14=0,0,T16/T14*Assumptions!T$67)</f>
        <v>78.4656397407614</v>
      </c>
      <c r="U17" s="67" t="n">
        <f aca="false">IF(U14=0,0,U16/U14*Assumptions!U$67)</f>
        <v>77.0832092163394</v>
      </c>
      <c r="V17" s="67" t="n">
        <f aca="false">IF(V14=0,0,V16/V14*Assumptions!V$67)</f>
        <v>70.5579510316589</v>
      </c>
      <c r="W17" s="67" t="n">
        <f aca="false">IF(W14=0,0,W16/W14*Assumptions!W$67)</f>
        <v>75.258234691887</v>
      </c>
      <c r="X17" s="67" t="n">
        <f aca="false">IF(X14=0,0,X16/X14*Assumptions!X$67)</f>
        <v>89.4857511015254</v>
      </c>
      <c r="Y17" s="67" t="n">
        <f aca="false">IF(Y14=0,0,Y16/Y14*Assumptions!Y$67)</f>
        <v>84.2851513491441</v>
      </c>
      <c r="Z17" s="67" t="n">
        <f aca="false">IF(Z14=0,0,Z16/Z14*Assumptions!Z$67)</f>
        <v>112.237151438461</v>
      </c>
      <c r="AA17" s="67" t="n">
        <f aca="false">IF(AA14=0,0,AA16/AA14*Assumptions!AA$67)</f>
        <v>65.0860383337516</v>
      </c>
      <c r="AB17" s="67" t="n">
        <f aca="false">IF(AB14=0,0,AB16/AB14*Assumptions!AB$67)</f>
        <v>75</v>
      </c>
    </row>
    <row r="18" customFormat="false" ht="15" hidden="false" customHeight="true" outlineLevel="0" collapsed="false">
      <c r="A18" s="28" t="s">
        <v>822</v>
      </c>
      <c r="B18" s="55" t="s">
        <v>315</v>
      </c>
      <c r="E18" s="69" t="n">
        <f aca="false">AVERAGE(E14:E14)</f>
        <v>41216.7</v>
      </c>
      <c r="F18" s="69" t="n">
        <f aca="false">AVERAGE(E14:F14)</f>
        <v>40537.63</v>
      </c>
      <c r="G18" s="69" t="n">
        <f aca="false">AVERAGE(E14:G14)</f>
        <v>42738.58</v>
      </c>
      <c r="H18" s="69" t="n">
        <f aca="false">AVERAGE(F14:H14)</f>
        <v>45223.02</v>
      </c>
      <c r="I18" s="69" t="n">
        <f aca="false">AVERAGE(G14:I14)</f>
        <v>50974.9866666667</v>
      </c>
      <c r="J18" s="69" t="n">
        <f aca="false">AVERAGE(H14:J14)</f>
        <v>53644.2533333333</v>
      </c>
      <c r="K18" s="69" t="n">
        <f aca="false">AVERAGE(I14:K14)</f>
        <v>53595.2766666667</v>
      </c>
      <c r="L18" s="69" t="n">
        <f aca="false">AVERAGE(J14:L14)</f>
        <v>51579.54</v>
      </c>
      <c r="M18" s="69" t="n">
        <f aca="false">AVERAGE(K14:M14)</f>
        <v>52435.0236435759</v>
      </c>
      <c r="N18" s="69" t="n">
        <f aca="false">AVERAGE(L14:N14)</f>
        <v>58574.1763866594</v>
      </c>
      <c r="O18" s="69" t="n">
        <f aca="false">AVERAGE(M14:O14)</f>
        <v>73826.8206650711</v>
      </c>
      <c r="P18" s="69" t="n">
        <f aca="false">AVERAGE(N14:P14)</f>
        <v>83494.708265492</v>
      </c>
      <c r="Q18" s="69" t="n">
        <f aca="false">AVERAGE(O14:Q14)</f>
        <v>79654.8038493311</v>
      </c>
      <c r="R18" s="69" t="n">
        <f aca="false">AVERAGE(P14:R14)</f>
        <v>65004.7001306032</v>
      </c>
      <c r="S18" s="69" t="n">
        <f aca="false">AVERAGE(Q14:S14)</f>
        <v>56436.5692469274</v>
      </c>
      <c r="T18" s="69" t="n">
        <f aca="false">AVERAGE(R14:T14)</f>
        <v>59521.5280476111</v>
      </c>
      <c r="U18" s="69" t="n">
        <f aca="false">AVERAGE(S14:U14)</f>
        <v>65203.1564730522</v>
      </c>
      <c r="V18" s="69" t="n">
        <f aca="false">AVERAGE(T14:V14)</f>
        <v>68046.4002148677</v>
      </c>
      <c r="W18" s="69" t="n">
        <f aca="false">AVERAGE(U14:W14)</f>
        <v>69023.0536083975</v>
      </c>
      <c r="X18" s="69" t="n">
        <f aca="false">AVERAGE(V14:X14)</f>
        <v>68329.2834989241</v>
      </c>
      <c r="Y18" s="69" t="n">
        <f aca="false">AVERAGE(W14:Y14)</f>
        <v>71258.0366009758</v>
      </c>
      <c r="Z18" s="69" t="n">
        <f aca="false">AVERAGE(X14:Z14)</f>
        <v>79043.362545841</v>
      </c>
      <c r="AA18" s="69" t="n">
        <f aca="false">AVERAGE(Y14:AA14)</f>
        <v>100341.413319979</v>
      </c>
      <c r="AB18" s="69" t="n">
        <f aca="false">AVERAGE(Z14:AB14)</f>
        <v>113608.089084045</v>
      </c>
    </row>
    <row r="19" customFormat="false" ht="15" hidden="false" customHeight="true" outlineLevel="0" collapsed="false">
      <c r="A19" s="28" t="s">
        <v>823</v>
      </c>
      <c r="B19" s="55" t="s">
        <v>71</v>
      </c>
      <c r="C19" s="56" t="n">
        <f aca="false">P19</f>
        <v>0</v>
      </c>
      <c r="D19" s="56" t="n">
        <f aca="false">AB19</f>
        <v>0</v>
      </c>
      <c r="E19" s="57" t="n">
        <f aca="false">MAX(0,E16-Assumptions!$C$32*E18)</f>
        <v>0</v>
      </c>
      <c r="F19" s="57" t="n">
        <f aca="false">MAX(0,F16-Assumptions!$C$32*F18)</f>
        <v>0</v>
      </c>
      <c r="G19" s="57" t="n">
        <f aca="false">MAX(0,G16-Assumptions!$C$32*G18)</f>
        <v>0</v>
      </c>
      <c r="H19" s="57" t="n">
        <f aca="false">MAX(0,H16-Assumptions!$C$32*H18)</f>
        <v>0</v>
      </c>
      <c r="I19" s="57" t="n">
        <f aca="false">MAX(0,I16-Assumptions!$C$32*I18)</f>
        <v>0</v>
      </c>
      <c r="J19" s="57" t="n">
        <f aca="false">MAX(0,J16-Assumptions!$C$32*J18)</f>
        <v>0</v>
      </c>
      <c r="K19" s="57" t="n">
        <f aca="false">MAX(0,K16-Assumptions!$C$32*K18)</f>
        <v>0</v>
      </c>
      <c r="L19" s="57" t="n">
        <f aca="false">MAX(0,L16-Assumptions!$C$32*L18)</f>
        <v>0</v>
      </c>
      <c r="M19" s="57" t="n">
        <f aca="false">MAX(0,M16-Assumptions!$C$32*M18)</f>
        <v>0</v>
      </c>
      <c r="N19" s="57" t="n">
        <f aca="false">MAX(0,N16-Assumptions!$C$32*N18)</f>
        <v>0</v>
      </c>
      <c r="O19" s="57" t="n">
        <f aca="false">MAX(0,O16-Assumptions!$C$32*O18)</f>
        <v>0</v>
      </c>
      <c r="P19" s="57" t="n">
        <f aca="false">MAX(0,P16-Assumptions!$C$32*P18)</f>
        <v>0</v>
      </c>
      <c r="Q19" s="57" t="n">
        <f aca="false">MAX(0,Q16-Assumptions!$C$32*Q18)</f>
        <v>0</v>
      </c>
      <c r="R19" s="57" t="n">
        <f aca="false">MAX(0,R16-Assumptions!$C$32*R18)</f>
        <v>0</v>
      </c>
      <c r="S19" s="57" t="n">
        <f aca="false">MAX(0,S16-Assumptions!$C$32*S18)</f>
        <v>0</v>
      </c>
      <c r="T19" s="57" t="n">
        <f aca="false">MAX(0,T16-Assumptions!$C$32*T18)</f>
        <v>0</v>
      </c>
      <c r="U19" s="57" t="n">
        <f aca="false">MAX(0,U16-Assumptions!$C$32*U18)</f>
        <v>0</v>
      </c>
      <c r="V19" s="57" t="n">
        <f aca="false">MAX(0,V16-Assumptions!$C$32*V18)</f>
        <v>0</v>
      </c>
      <c r="W19" s="57" t="n">
        <f aca="false">MAX(0,W16-Assumptions!$C$32*W18)</f>
        <v>0</v>
      </c>
      <c r="X19" s="57" t="n">
        <f aca="false">MAX(0,X16-Assumptions!$C$32*X18)</f>
        <v>0</v>
      </c>
      <c r="Y19" s="57" t="n">
        <f aca="false">MAX(0,Y16-Assumptions!$C$32*Y18)</f>
        <v>0</v>
      </c>
      <c r="Z19" s="57" t="n">
        <f aca="false">MAX(0,Z16-Assumptions!$C$32*Z18)</f>
        <v>0</v>
      </c>
      <c r="AA19" s="57" t="n">
        <f aca="false">MAX(0,AA16-Assumptions!$C$32*AA18)</f>
        <v>0</v>
      </c>
      <c r="AB19" s="57" t="n">
        <f aca="false">MAX(0,AB16-Assumptions!$C$32*AB18)</f>
        <v>0</v>
      </c>
    </row>
    <row r="20" customFormat="false" ht="15" hidden="false" customHeight="true" outlineLevel="0" collapsed="false">
      <c r="A20" s="28" t="s">
        <v>824</v>
      </c>
      <c r="B20" s="55" t="s">
        <v>825</v>
      </c>
      <c r="C20" s="56" t="n">
        <f aca="false">P20</f>
        <v>0</v>
      </c>
      <c r="D20" s="56" t="n">
        <f aca="false">AB20</f>
        <v>0</v>
      </c>
      <c r="E20" s="57" t="n">
        <f aca="false">Assumptions!$C$33*E19</f>
        <v>0</v>
      </c>
      <c r="F20" s="57" t="n">
        <f aca="false">Assumptions!$C$33*F19</f>
        <v>0</v>
      </c>
      <c r="G20" s="57" t="n">
        <f aca="false">Assumptions!$C$33*G19</f>
        <v>0</v>
      </c>
      <c r="H20" s="57" t="n">
        <f aca="false">Assumptions!$C$33*H19</f>
        <v>0</v>
      </c>
      <c r="I20" s="57" t="n">
        <f aca="false">Assumptions!$C$33*I19</f>
        <v>0</v>
      </c>
      <c r="J20" s="57" t="n">
        <f aca="false">Assumptions!$C$33*J19</f>
        <v>0</v>
      </c>
      <c r="K20" s="57" t="n">
        <f aca="false">Assumptions!$C$33*K19</f>
        <v>0</v>
      </c>
      <c r="L20" s="57" t="n">
        <f aca="false">Assumptions!$C$33*L19</f>
        <v>0</v>
      </c>
      <c r="M20" s="57" t="n">
        <f aca="false">Assumptions!$C$33*M19</f>
        <v>0</v>
      </c>
      <c r="N20" s="57" t="n">
        <f aca="false">Assumptions!$C$33*N19</f>
        <v>0</v>
      </c>
      <c r="O20" s="57" t="n">
        <f aca="false">Assumptions!$C$33*O19</f>
        <v>0</v>
      </c>
      <c r="P20" s="57" t="n">
        <f aca="false">Assumptions!$C$33*P19</f>
        <v>0</v>
      </c>
      <c r="Q20" s="57" t="n">
        <f aca="false">Assumptions!$C$33*Q19</f>
        <v>0</v>
      </c>
      <c r="R20" s="57" t="n">
        <f aca="false">Assumptions!$C$33*R19</f>
        <v>0</v>
      </c>
      <c r="S20" s="57" t="n">
        <f aca="false">Assumptions!$C$33*S19</f>
        <v>0</v>
      </c>
      <c r="T20" s="57" t="n">
        <f aca="false">Assumptions!$C$33*T19</f>
        <v>0</v>
      </c>
      <c r="U20" s="57" t="n">
        <f aca="false">Assumptions!$C$33*U19</f>
        <v>0</v>
      </c>
      <c r="V20" s="57" t="n">
        <f aca="false">Assumptions!$C$33*V19</f>
        <v>0</v>
      </c>
      <c r="W20" s="57" t="n">
        <f aca="false">Assumptions!$C$33*W19</f>
        <v>0</v>
      </c>
      <c r="X20" s="57" t="n">
        <f aca="false">Assumptions!$C$33*X19</f>
        <v>0</v>
      </c>
      <c r="Y20" s="57" t="n">
        <f aca="false">Assumptions!$C$33*Y19</f>
        <v>0</v>
      </c>
      <c r="Z20" s="57" t="n">
        <f aca="false">Assumptions!$C$33*Z19</f>
        <v>0</v>
      </c>
      <c r="AA20" s="57" t="n">
        <f aca="false">Assumptions!$C$33*AA19</f>
        <v>0</v>
      </c>
      <c r="AB20" s="57" t="n">
        <f aca="false">Assumptions!$C$33*AB19</f>
        <v>0</v>
      </c>
    </row>
    <row r="22" customFormat="false" ht="15" hidden="false" customHeight="true" outlineLevel="0" collapsed="false">
      <c r="A22" s="22" t="s">
        <v>744</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row>
    <row r="23" customFormat="false" ht="15" hidden="false" customHeight="true" outlineLevel="0" collapsed="false">
      <c r="A23" s="28" t="s">
        <v>808</v>
      </c>
      <c r="B23" s="55" t="s">
        <v>809</v>
      </c>
      <c r="E23" s="57" t="n">
        <f aca="false">Inputs_Actuals!$C$117</f>
        <v>98000</v>
      </c>
      <c r="F23" s="69" t="n">
        <f aca="false">E30</f>
        <v>80203.2718847455</v>
      </c>
      <c r="G23" s="69" t="n">
        <f aca="false">F30</f>
        <v>64046.3562660854</v>
      </c>
      <c r="H23" s="69" t="n">
        <f aca="false">G30</f>
        <v>91929.0377373921</v>
      </c>
      <c r="I23" s="69" t="n">
        <f aca="false">H30</f>
        <v>70793.0860097164</v>
      </c>
      <c r="J23" s="69" t="n">
        <f aca="false">I30</f>
        <v>48163.2709483413</v>
      </c>
      <c r="K23" s="69" t="n">
        <f aca="false">J30</f>
        <v>26146.6500419109</v>
      </c>
      <c r="L23" s="69" t="n">
        <f aca="false">K30</f>
        <v>58074.7210393895</v>
      </c>
      <c r="M23" s="69" t="n">
        <f aca="false">L30</f>
        <v>37233.8445344056</v>
      </c>
      <c r="N23" s="69" t="n">
        <f aca="false">M30</f>
        <v>56859.5641455095</v>
      </c>
      <c r="O23" s="69" t="n">
        <f aca="false">N30</f>
        <v>29397.6993219146</v>
      </c>
      <c r="P23" s="69" t="n">
        <f aca="false">O30</f>
        <v>60385.8053765856</v>
      </c>
      <c r="Q23" s="69" t="n">
        <f aca="false">P30</f>
        <v>57791.1823223126</v>
      </c>
      <c r="R23" s="69" t="n">
        <f aca="false">Q30</f>
        <v>60995.2621187597</v>
      </c>
      <c r="S23" s="69" t="n">
        <f aca="false">R30</f>
        <v>63520.7692538479</v>
      </c>
      <c r="T23" s="69" t="n">
        <f aca="false">S30</f>
        <v>69518.3468266577</v>
      </c>
      <c r="U23" s="69" t="n">
        <f aca="false">T30</f>
        <v>72667.0482735746</v>
      </c>
      <c r="V23" s="69" t="n">
        <f aca="false">U30</f>
        <v>74618.0751670417</v>
      </c>
      <c r="W23" s="69" t="n">
        <f aca="false">V30</f>
        <v>70133.384123552</v>
      </c>
      <c r="X23" s="69" t="n">
        <f aca="false">W30</f>
        <v>70307.4851162229</v>
      </c>
      <c r="Y23" s="69" t="n">
        <f aca="false">X30</f>
        <v>83804.2484970504</v>
      </c>
      <c r="Z23" s="69" t="n">
        <f aca="false">Y30</f>
        <v>94083.9265470613</v>
      </c>
      <c r="AA23" s="69" t="n">
        <f aca="false">Z30</f>
        <v>140649.451766379</v>
      </c>
      <c r="AB23" s="69" t="n">
        <f aca="false">AA30</f>
        <v>121926.865824573</v>
      </c>
    </row>
    <row r="24" customFormat="false" ht="15" hidden="false" customHeight="true" outlineLevel="0" collapsed="false">
      <c r="A24" s="28" t="s">
        <v>810</v>
      </c>
      <c r="B24" s="55" t="s">
        <v>811</v>
      </c>
      <c r="C24" s="56" t="n">
        <f aca="false">SUM(E24:P24)</f>
        <v>213180</v>
      </c>
      <c r="D24" s="56" t="n">
        <f aca="false">SUM(Q24:AB24)</f>
        <v>0</v>
      </c>
      <c r="E24" s="57" t="n">
        <f aca="false">SUMIFS(Purchase_Orders!$N$6:$N$24,Purchase_Orders!$R$6:$R$24,Assumptions!E$61,Purchase_Orders!$C$6:$C$24,"Knives")</f>
        <v>0</v>
      </c>
      <c r="F24" s="57" t="n">
        <f aca="false">SUMIFS(Purchase_Orders!$N$6:$N$24,Purchase_Orders!$R$6:$R$24,Assumptions!F$61,Purchase_Orders!$C$6:$C$24,"Knives")</f>
        <v>0</v>
      </c>
      <c r="G24" s="57" t="n">
        <f aca="false">SUMIFS(Purchase_Orders!$N$6:$N$24,Purchase_Orders!$R$6:$R$24,Assumptions!G$61,Purchase_Orders!$C$6:$C$24,"Knives")</f>
        <v>46740</v>
      </c>
      <c r="H24" s="57" t="n">
        <f aca="false">SUMIFS(Purchase_Orders!$N$6:$N$24,Purchase_Orders!$R$6:$R$24,Assumptions!H$61,Purchase_Orders!$C$6:$C$24,"Knives")</f>
        <v>0</v>
      </c>
      <c r="I24" s="57" t="n">
        <f aca="false">SUMIFS(Purchase_Orders!$N$6:$N$24,Purchase_Orders!$R$6:$R$24,Assumptions!I$61,Purchase_Orders!$C$6:$C$24,"Knives")</f>
        <v>0</v>
      </c>
      <c r="J24" s="57" t="n">
        <f aca="false">SUMIFS(Purchase_Orders!$N$6:$N$24,Purchase_Orders!$R$6:$R$24,Assumptions!J$61,Purchase_Orders!$C$6:$C$24,"Knives")</f>
        <v>0</v>
      </c>
      <c r="K24" s="57" t="n">
        <f aca="false">SUMIFS(Purchase_Orders!$N$6:$N$24,Purchase_Orders!$R$6:$R$24,Assumptions!K$61,Purchase_Orders!$C$6:$C$24,"Knives")</f>
        <v>52440</v>
      </c>
      <c r="L24" s="57" t="n">
        <f aca="false">SUMIFS(Purchase_Orders!$N$6:$N$24,Purchase_Orders!$R$6:$R$24,Assumptions!L$61,Purchase_Orders!$C$6:$C$24,"Knives")</f>
        <v>0</v>
      </c>
      <c r="M24" s="57" t="n">
        <f aca="false">SUMIFS(Purchase_Orders!$N$6:$N$24,Purchase_Orders!$R$6:$R$24,Assumptions!M$61,Purchase_Orders!$C$6:$C$24,"Knives")</f>
        <v>43320</v>
      </c>
      <c r="N24" s="57" t="n">
        <f aca="false">SUMIFS(Purchase_Orders!$N$6:$N$24,Purchase_Orders!$R$6:$R$24,Assumptions!N$61,Purchase_Orders!$C$6:$C$24,"Knives")</f>
        <v>0</v>
      </c>
      <c r="O24" s="57" t="n">
        <f aca="false">SUMIFS(Purchase_Orders!$N$6:$N$24,Purchase_Orders!$R$6:$R$24,Assumptions!O$61,Purchase_Orders!$C$6:$C$24,"Knives")</f>
        <v>70680</v>
      </c>
      <c r="P24" s="57" t="n">
        <f aca="false">SUMIFS(Purchase_Orders!$N$6:$N$24,Purchase_Orders!$R$6:$R$24,Assumptions!P$61,Purchase_Orders!$C$6:$C$24,"Knives")</f>
        <v>0</v>
      </c>
      <c r="Q24" s="57" t="n">
        <f aca="false">SUMIFS(Purchase_Orders!$N$6:$N$24,Purchase_Orders!$R$6:$R$24,Assumptions!Q$61,Purchase_Orders!$C$6:$C$24,"Knives")</f>
        <v>0</v>
      </c>
      <c r="R24" s="57" t="n">
        <f aca="false">SUMIFS(Purchase_Orders!$N$6:$N$24,Purchase_Orders!$R$6:$R$24,Assumptions!R$61,Purchase_Orders!$C$6:$C$24,"Knives")</f>
        <v>0</v>
      </c>
      <c r="S24" s="57" t="n">
        <f aca="false">SUMIFS(Purchase_Orders!$N$6:$N$24,Purchase_Orders!$R$6:$R$24,Assumptions!S$61,Purchase_Orders!$C$6:$C$24,"Knives")</f>
        <v>0</v>
      </c>
      <c r="T24" s="57" t="n">
        <f aca="false">SUMIFS(Purchase_Orders!$N$6:$N$24,Purchase_Orders!$R$6:$R$24,Assumptions!T$61,Purchase_Orders!$C$6:$C$24,"Knives")</f>
        <v>0</v>
      </c>
      <c r="U24" s="57" t="n">
        <f aca="false">SUMIFS(Purchase_Orders!$N$6:$N$24,Purchase_Orders!$R$6:$R$24,Assumptions!U$61,Purchase_Orders!$C$6:$C$24,"Knives")</f>
        <v>0</v>
      </c>
      <c r="V24" s="57" t="n">
        <f aca="false">SUMIFS(Purchase_Orders!$N$6:$N$24,Purchase_Orders!$R$6:$R$24,Assumptions!V$61,Purchase_Orders!$C$6:$C$24,"Knives")</f>
        <v>0</v>
      </c>
      <c r="W24" s="57" t="n">
        <f aca="false">SUMIFS(Purchase_Orders!$N$6:$N$24,Purchase_Orders!$R$6:$R$24,Assumptions!W$61,Purchase_Orders!$C$6:$C$24,"Knives")</f>
        <v>0</v>
      </c>
      <c r="X24" s="57" t="n">
        <f aca="false">SUMIFS(Purchase_Orders!$N$6:$N$24,Purchase_Orders!$R$6:$R$24,Assumptions!X$61,Purchase_Orders!$C$6:$C$24,"Knives")</f>
        <v>0</v>
      </c>
      <c r="Y24" s="57" t="n">
        <f aca="false">SUMIFS(Purchase_Orders!$N$6:$N$24,Purchase_Orders!$R$6:$R$24,Assumptions!Y$61,Purchase_Orders!$C$6:$C$24,"Knives")</f>
        <v>0</v>
      </c>
      <c r="Z24" s="57" t="n">
        <f aca="false">SUMIFS(Purchase_Orders!$N$6:$N$24,Purchase_Orders!$R$6:$R$24,Assumptions!Z$61,Purchase_Orders!$C$6:$C$24,"Knives")</f>
        <v>0</v>
      </c>
      <c r="AA24" s="57" t="n">
        <f aca="false">SUMIFS(Purchase_Orders!$N$6:$N$24,Purchase_Orders!$R$6:$R$24,Assumptions!AA$61,Purchase_Orders!$C$6:$C$24,"Knives")</f>
        <v>0</v>
      </c>
      <c r="AB24" s="57" t="n">
        <f aca="false">SUMIFS(Purchase_Orders!$N$6:$N$24,Purchase_Orders!$R$6:$R$24,Assumptions!AB$61,Purchase_Orders!$C$6:$C$24,"Knives")</f>
        <v>0</v>
      </c>
    </row>
    <row r="25" customFormat="false" ht="15" hidden="false" customHeight="true" outlineLevel="0" collapsed="false">
      <c r="A25" s="28" t="s">
        <v>812</v>
      </c>
      <c r="B25" s="55" t="s">
        <v>813</v>
      </c>
      <c r="E25" s="57" t="n">
        <f aca="false">Assumptions!$F$116*F28/Assumptions!F$67</f>
        <v>45561.5625</v>
      </c>
      <c r="F25" s="57" t="n">
        <f aca="false">Assumptions!$F$116*G28/Assumptions!G$67</f>
        <v>48227.9032258065</v>
      </c>
      <c r="G25" s="57" t="n">
        <f aca="false">Assumptions!$F$116*H28/Assumptions!H$67</f>
        <v>55411.85</v>
      </c>
      <c r="H25" s="57" t="n">
        <f aca="false">Assumptions!$F$116*I28/Assumptions!I$67</f>
        <v>57649.5</v>
      </c>
      <c r="I25" s="57" t="n">
        <f aca="false">Assumptions!$F$116*J28/Assumptions!J$67</f>
        <v>58363.5</v>
      </c>
      <c r="J25" s="57" t="n">
        <f aca="false">Assumptions!$F$116*K28/Assumptions!K$67</f>
        <v>52209.6774193548</v>
      </c>
      <c r="K25" s="57" t="n">
        <f aca="false">Assumptions!$F$116*L28/Assumptions!L$67</f>
        <v>53281.3790322581</v>
      </c>
      <c r="L25" s="57" t="n">
        <f aca="false">Assumptions!$F$116*M28/Assumptions!M$67</f>
        <v>62371.3483324138</v>
      </c>
      <c r="M25" s="57" t="n">
        <f aca="false">Assumptions!$F$116*N28/Assumptions!N$67</f>
        <v>69959.4616715512</v>
      </c>
      <c r="N25" s="57" t="n">
        <f aca="false">Assumptions!$F$116*O28/Assumptions!O$67</f>
        <v>104489.870181285</v>
      </c>
      <c r="O25" s="57" t="n">
        <f aca="false">Assumptions!$F$116*P28/Assumptions!P$67</f>
        <v>90496.9204260733</v>
      </c>
      <c r="P25" s="57" t="n">
        <f aca="false">Assumptions!$F$116*Q28/Assumptions!Q$67</f>
        <v>57791.1823223126</v>
      </c>
      <c r="Q25" s="57" t="n">
        <f aca="false">Assumptions!$F$116*R28/Assumptions!R$67</f>
        <v>60995.2621187597</v>
      </c>
      <c r="R25" s="57" t="n">
        <f aca="false">Assumptions!$F$116*S28/Assumptions!S$67</f>
        <v>63520.7692538479</v>
      </c>
      <c r="S25" s="57" t="n">
        <f aca="false">Assumptions!$F$116*T28/Assumptions!T$67</f>
        <v>69518.3468266577</v>
      </c>
      <c r="T25" s="57" t="n">
        <f aca="false">Assumptions!$F$116*U28/Assumptions!U$67</f>
        <v>72667.0482735746</v>
      </c>
      <c r="U25" s="57" t="n">
        <f aca="false">Assumptions!$F$116*V28/Assumptions!V$67</f>
        <v>74618.0751670417</v>
      </c>
      <c r="V25" s="57" t="n">
        <f aca="false">Assumptions!$F$116*W28/Assumptions!W$67</f>
        <v>70133.384123552</v>
      </c>
      <c r="W25" s="57" t="n">
        <f aca="false">Assumptions!$F$116*X28/Assumptions!X$67</f>
        <v>70307.4851162229</v>
      </c>
      <c r="X25" s="57" t="n">
        <f aca="false">Assumptions!$F$116*Y28/Assumptions!Y$67</f>
        <v>83804.2484970504</v>
      </c>
      <c r="Y25" s="57" t="n">
        <f aca="false">Assumptions!$F$116*Z28/Assumptions!Z$67</f>
        <v>94083.9265470613</v>
      </c>
      <c r="Z25" s="57" t="n">
        <f aca="false">Assumptions!$F$116*AA28/Assumptions!AA$67</f>
        <v>140649.451766379</v>
      </c>
      <c r="AA25" s="57" t="n">
        <f aca="false">Assumptions!$F$116*AB28/Assumptions!AB$67</f>
        <v>121926.865824573</v>
      </c>
      <c r="AB25" s="57" t="n">
        <f aca="false">Assumptions!$F$116*AB28/Assumptions!AB$67</f>
        <v>121926.865824573</v>
      </c>
    </row>
    <row r="26" customFormat="false" ht="15" hidden="false" customHeight="true" outlineLevel="0" collapsed="false">
      <c r="A26" s="28" t="s">
        <v>814</v>
      </c>
      <c r="B26" s="55" t="s">
        <v>815</v>
      </c>
      <c r="C26" s="56" t="n">
        <f aca="false">SUM(E26:P26)</f>
        <v>32926.4555584845</v>
      </c>
      <c r="D26" s="56" t="n">
        <f aca="false">SUM(Q26:AB26)</f>
        <v>441710.478075892</v>
      </c>
      <c r="E26" s="57" t="n">
        <f aca="false">IF(Assumptions!E$62&lt;=Assumptions!$C$10+Assumptions!$C$36,0,MAX(0,E25-E23-E27+E28+E29-E24))</f>
        <v>0</v>
      </c>
      <c r="F26" s="57" t="n">
        <f aca="false">IF(Assumptions!F$62&lt;=Assumptions!$C$10+Assumptions!$C$36,0,MAX(0,F25-F23-F27+F28+F29-F24))</f>
        <v>0</v>
      </c>
      <c r="G26" s="57" t="n">
        <f aca="false">IF(Assumptions!G$62&lt;=Assumptions!$C$10+Assumptions!$C$36,0,MAX(0,G25-G23-G27+G28+G29-G24))</f>
        <v>0</v>
      </c>
      <c r="H26" s="57" t="n">
        <f aca="false">IF(Assumptions!H$62&lt;=Assumptions!$C$10+Assumptions!$C$36,0,MAX(0,H25-H23-H27+H28+H29-H24))</f>
        <v>0</v>
      </c>
      <c r="I26" s="57" t="n">
        <f aca="false">IF(Assumptions!I$62&lt;=Assumptions!$C$10+Assumptions!$C$36,0,MAX(0,I25-I23-I27+I28+I29-I24))</f>
        <v>0</v>
      </c>
      <c r="J26" s="57" t="n">
        <f aca="false">IF(Assumptions!J$62&lt;=Assumptions!$C$10+Assumptions!$C$36,0,MAX(0,J25-J23-J27+J28+J29-J24))</f>
        <v>0</v>
      </c>
      <c r="K26" s="57" t="n">
        <f aca="false">IF(Assumptions!K$62&lt;=Assumptions!$C$10+Assumptions!$C$36,0,MAX(0,K25-K23-K27+K28+K29-K24))</f>
        <v>0</v>
      </c>
      <c r="L26" s="57" t="n">
        <f aca="false">IF(Assumptions!L$62&lt;=Assumptions!$C$10+Assumptions!$C$36,0,MAX(0,L25-L23-L27+L28+L29-L24))</f>
        <v>0</v>
      </c>
      <c r="M26" s="57" t="n">
        <f aca="false">IF(Assumptions!M$62&lt;=Assumptions!$C$10+Assumptions!$C$36,0,MAX(0,M25-M23-M27+M28+M29-M24))</f>
        <v>0</v>
      </c>
      <c r="N26" s="57" t="n">
        <f aca="false">IF(Assumptions!N$62&lt;=Assumptions!$C$10+Assumptions!$C$36,0,MAX(0,N25-N23-N27+N28+N29-N24))</f>
        <v>0</v>
      </c>
      <c r="O26" s="57" t="n">
        <f aca="false">IF(Assumptions!O$62&lt;=Assumptions!$C$10+Assumptions!$C$36,0,MAX(0,O25-O23-O27+O28+O29-O24))</f>
        <v>0</v>
      </c>
      <c r="P26" s="57" t="n">
        <f aca="false">IF(Assumptions!P$62&lt;=Assumptions!$C$10+Assumptions!$C$36,0,MAX(0,P25-P23-P27+P28+P29-P24))</f>
        <v>32926.4555584845</v>
      </c>
      <c r="Q26" s="57" t="n">
        <f aca="false">IF(Assumptions!Q$62&lt;=Assumptions!$C$10+Assumptions!$C$36,0,MAX(0,Q25-Q23-Q27+Q28+Q29-Q24))</f>
        <v>25886.9475345916</v>
      </c>
      <c r="R26" s="57" t="n">
        <f aca="false">IF(Assumptions!R$62&lt;=Assumptions!$C$10+Assumptions!$C$36,0,MAX(0,R25-R23-R27+R28+R29-R24))</f>
        <v>24148.3413488597</v>
      </c>
      <c r="S26" s="57" t="n">
        <f aca="false">IF(Assumptions!S$62&lt;=Assumptions!$C$10+Assumptions!$C$36,0,MAX(0,S25-S23-S27+S28+S29-S24))</f>
        <v>30927.4172208838</v>
      </c>
      <c r="T26" s="57" t="n">
        <f aca="false">IF(Assumptions!T$62&lt;=Assumptions!$C$10+Assumptions!$C$36,0,MAX(0,T25-T23-T27+T28+T29-T24))</f>
        <v>29551.261957499</v>
      </c>
      <c r="U26" s="57" t="n">
        <f aca="false">IF(Assumptions!U$62&lt;=Assumptions!$C$10+Assumptions!$C$36,0,MAX(0,U25-U23-U27+U28+U29-U24))</f>
        <v>30468.2765165351</v>
      </c>
      <c r="V26" s="57" t="n">
        <f aca="false">IF(Assumptions!V$62&lt;=Assumptions!$C$10+Assumptions!$C$36,0,MAX(0,V25-V23-V27+V28+V29-V24))</f>
        <v>23852.4831513975</v>
      </c>
      <c r="W26" s="57" t="n">
        <f aca="false">IF(Assumptions!W$62&lt;=Assumptions!$C$10+Assumptions!$C$36,0,MAX(0,W25-W23-W27+W28+W29-W24))</f>
        <v>27694.8532829898</v>
      </c>
      <c r="X26" s="57" t="n">
        <f aca="false">IF(Assumptions!X$62&lt;=Assumptions!$C$10+Assumptions!$C$36,0,MAX(0,X25-X23-X27+X28+X29-X24))</f>
        <v>41084.7105604102</v>
      </c>
      <c r="Y26" s="57" t="n">
        <f aca="false">IF(Assumptions!Y$62&lt;=Assumptions!$C$10+Assumptions!$C$36,0,MAX(0,Y25-Y23-Y27+Y28+Y29-Y24))</f>
        <v>42101.5321580841</v>
      </c>
      <c r="Z26" s="57" t="n">
        <f aca="false">IF(Assumptions!Z$62&lt;=Assumptions!$C$10+Assumptions!$C$36,0,MAX(0,Z25-Z23-Z27+Z28+Z29-Z24))</f>
        <v>83480.0364063899</v>
      </c>
      <c r="AA26" s="57" t="n">
        <f aca="false">IF(Assumptions!AA$62&lt;=Assumptions!$C$10+Assumptions!$C$36,0,MAX(0,AA25-AA23-AA27+AA28+AA29-AA24))</f>
        <v>34679.8217235015</v>
      </c>
      <c r="AB26" s="57" t="n">
        <f aca="false">IF(Assumptions!AB$62&lt;=Assumptions!$C$10+Assumptions!$C$36,0,MAX(0,AB25-AB23-AB27+AB28+AB29-AB24))</f>
        <v>47834.7962147495</v>
      </c>
    </row>
    <row r="27" customFormat="false" ht="15" hidden="false" customHeight="true" outlineLevel="0" collapsed="false">
      <c r="A27" s="28" t="s">
        <v>816</v>
      </c>
      <c r="B27" s="55" t="s">
        <v>46</v>
      </c>
      <c r="C27" s="56" t="n">
        <f aca="false">SUM(E27:P27)</f>
        <v>15744.2848123432</v>
      </c>
      <c r="D27" s="56" t="n">
        <f aca="false">SUM(Q27:AB27)</f>
        <v>21337.3157846569</v>
      </c>
      <c r="E27" s="57" t="n">
        <f aca="false">Product_Contribution!E52</f>
        <v>911.751884745527</v>
      </c>
      <c r="F27" s="57" t="n">
        <f aca="false">Product_Contribution!F52</f>
        <v>852.734381339908</v>
      </c>
      <c r="G27" s="57" t="n">
        <f aca="false">Product_Contribution!G52</f>
        <v>1076.8814713066</v>
      </c>
      <c r="H27" s="57" t="n">
        <f aca="false">Product_Contribution!H52</f>
        <v>1028.78827232438</v>
      </c>
      <c r="I27" s="57" t="n">
        <f aca="false">Product_Contribution!I52</f>
        <v>1198.64493862487</v>
      </c>
      <c r="J27" s="57" t="n">
        <f aca="false">Product_Contribution!J52</f>
        <v>1328.77909356964</v>
      </c>
      <c r="K27" s="57" t="n">
        <f aca="false">Product_Contribution!K52</f>
        <v>1068.07099747856</v>
      </c>
      <c r="L27" s="57" t="n">
        <f aca="false">Product_Contribution!L52</f>
        <v>1182.09349501614</v>
      </c>
      <c r="M27" s="57" t="n">
        <f aca="false">Product_Contribution!M52</f>
        <v>1329.10456206828</v>
      </c>
      <c r="N27" s="57" t="n">
        <f aca="false">Product_Contribution!N52</f>
        <v>1541.46239978567</v>
      </c>
      <c r="O27" s="57" t="n">
        <f aca="false">Product_Contribution!O52</f>
        <v>2229.44197140241</v>
      </c>
      <c r="P27" s="57" t="n">
        <f aca="false">Product_Contribution!P52</f>
        <v>1996.53134468119</v>
      </c>
      <c r="Q27" s="57" t="n">
        <f aca="false">Product_Contribution!Q52</f>
        <v>1275.81535449094</v>
      </c>
      <c r="R27" s="57" t="n">
        <f aca="false">Product_Contribution!R52</f>
        <v>1217.04500413851</v>
      </c>
      <c r="S27" s="57" t="n">
        <f aca="false">Product_Contribution!S52</f>
        <v>1404.1773973912</v>
      </c>
      <c r="T27" s="57" t="n">
        <f aca="false">Product_Contribution!T52</f>
        <v>1488.20023627294</v>
      </c>
      <c r="U27" s="57" t="n">
        <f aca="false">Product_Contribution!U52</f>
        <v>1608.5708032021</v>
      </c>
      <c r="V27" s="57" t="n">
        <f aca="false">Product_Contribution!V52</f>
        <v>1599.59756212997</v>
      </c>
      <c r="W27" s="57" t="n">
        <f aca="false">Product_Contribution!W52</f>
        <v>1554.67854372908</v>
      </c>
      <c r="X27" s="57" t="n">
        <f aca="false">Product_Contribution!X52</f>
        <v>1559.66128333354</v>
      </c>
      <c r="Y27" s="57" t="n">
        <f aca="false">Product_Contribution!Y52</f>
        <v>1800.41038894341</v>
      </c>
      <c r="Z27" s="57" t="n">
        <f aca="false">Product_Contribution!Z52</f>
        <v>2090.17585463178</v>
      </c>
      <c r="AA27" s="57" t="n">
        <f aca="false">Product_Contribution!AA52</f>
        <v>3026.15238336354</v>
      </c>
      <c r="AB27" s="57" t="n">
        <f aca="false">Product_Contribution!AB52</f>
        <v>2712.83097302983</v>
      </c>
    </row>
    <row r="28" customFormat="false" ht="15" hidden="false" customHeight="true" outlineLevel="0" collapsed="false">
      <c r="A28" s="28" t="s">
        <v>659</v>
      </c>
      <c r="B28" s="55" t="s">
        <v>46</v>
      </c>
      <c r="C28" s="56" t="n">
        <f aca="false">SUM(E28:P28)</f>
        <v>301660.358672498</v>
      </c>
      <c r="D28" s="56" t="n">
        <f aca="false">SUM(Q28:AB28)</f>
        <v>397718.953497795</v>
      </c>
      <c r="E28" s="57" t="n">
        <f aca="false">-Product_Contribution!E51</f>
        <v>18708.48</v>
      </c>
      <c r="F28" s="57" t="n">
        <f aca="false">-Product_Contribution!F51</f>
        <v>17009.65</v>
      </c>
      <c r="G28" s="57" t="n">
        <f aca="false">-Product_Contribution!G51</f>
        <v>19934.2</v>
      </c>
      <c r="H28" s="57" t="n">
        <f aca="false">-Product_Contribution!H51</f>
        <v>22164.74</v>
      </c>
      <c r="I28" s="57" t="n">
        <f aca="false">-Product_Contribution!I51</f>
        <v>23828.46</v>
      </c>
      <c r="J28" s="57" t="n">
        <f aca="false">-Product_Contribution!J51</f>
        <v>23345.4</v>
      </c>
      <c r="K28" s="57" t="n">
        <f aca="false">-Product_Contribution!K51</f>
        <v>21580</v>
      </c>
      <c r="L28" s="57" t="n">
        <f aca="false">-Product_Contribution!L51</f>
        <v>22022.97</v>
      </c>
      <c r="M28" s="57" t="n">
        <f aca="false">-Product_Contribution!M51</f>
        <v>24948.5393329655</v>
      </c>
      <c r="N28" s="57" t="n">
        <f aca="false">-Product_Contribution!N51</f>
        <v>28916.5774909078</v>
      </c>
      <c r="O28" s="57" t="n">
        <f aca="false">-Product_Contribution!O51</f>
        <v>41795.948072514</v>
      </c>
      <c r="P28" s="57" t="n">
        <f aca="false">-Product_Contribution!P51</f>
        <v>37405.3937761103</v>
      </c>
      <c r="Q28" s="57" t="n">
        <f aca="false">-Product_Contribution!Q51</f>
        <v>23887.0220265559</v>
      </c>
      <c r="R28" s="57" t="n">
        <f aca="false">-Product_Contribution!R51</f>
        <v>22771.5645243369</v>
      </c>
      <c r="S28" s="57" t="n">
        <f aca="false">-Product_Contribution!S51</f>
        <v>26255.2512915905</v>
      </c>
      <c r="T28" s="57" t="n">
        <f aca="false">-Product_Contribution!T51</f>
        <v>27807.3387306631</v>
      </c>
      <c r="U28" s="57" t="n">
        <f aca="false">-Product_Contribution!U51</f>
        <v>30035.7132864108</v>
      </c>
      <c r="V28" s="57" t="n">
        <f aca="false">-Product_Contribution!V51</f>
        <v>29847.2300668167</v>
      </c>
      <c r="W28" s="57" t="n">
        <f aca="false">-Product_Contribution!W51</f>
        <v>28988.4654377348</v>
      </c>
      <c r="X28" s="57" t="n">
        <f aca="false">-Product_Contribution!X51</f>
        <v>29060.4271813721</v>
      </c>
      <c r="Y28" s="57" t="n">
        <f aca="false">-Product_Contribution!Y51</f>
        <v>33521.6993988202</v>
      </c>
      <c r="Z28" s="57" t="n">
        <f aca="false">-Product_Contribution!Z51</f>
        <v>38888.0229727853</v>
      </c>
      <c r="AA28" s="57" t="n">
        <f aca="false">-Product_Contribution!AA51</f>
        <v>56259.7807065517</v>
      </c>
      <c r="AB28" s="57" t="n">
        <f aca="false">-Product_Contribution!AB51</f>
        <v>50396.4378741568</v>
      </c>
    </row>
    <row r="29" customFormat="false" ht="15" hidden="false" customHeight="true" outlineLevel="0" collapsed="false">
      <c r="A29" s="28" t="s">
        <v>817</v>
      </c>
      <c r="B29" s="55" t="s">
        <v>818</v>
      </c>
      <c r="C29" s="56" t="n">
        <f aca="false">SUM(E29:P29)</f>
        <v>399.199376017493</v>
      </c>
      <c r="D29" s="56" t="n">
        <f aca="false">SUM(Q29:AB29)</f>
        <v>1193.15686049338</v>
      </c>
      <c r="E29" s="57" t="n">
        <f aca="false">IF(E$5="A",Inputs_Actuals!E84,Assumptions!$C$34*E28)</f>
        <v>0</v>
      </c>
      <c r="F29" s="57" t="n">
        <f aca="false">IF(F$5="A",Inputs_Actuals!F84,Assumptions!$C$34*F28)</f>
        <v>0</v>
      </c>
      <c r="G29" s="57" t="n">
        <f aca="false">IF(G$5="A",Inputs_Actuals!G84,Assumptions!$C$34*G28)</f>
        <v>0</v>
      </c>
      <c r="H29" s="57" t="n">
        <f aca="false">IF(H$5="A",Inputs_Actuals!H84,Assumptions!$C$34*H28)</f>
        <v>0</v>
      </c>
      <c r="I29" s="57" t="n">
        <f aca="false">IF(I$5="A",Inputs_Actuals!I84,Assumptions!$C$34*I28)</f>
        <v>0</v>
      </c>
      <c r="J29" s="57" t="n">
        <f aca="false">IF(J$5="A",Inputs_Actuals!J84,Assumptions!$C$34*J28)</f>
        <v>0</v>
      </c>
      <c r="K29" s="57" t="n">
        <f aca="false">IF(K$5="A",Inputs_Actuals!K84,Assumptions!$C$34*K28)</f>
        <v>0</v>
      </c>
      <c r="L29" s="57" t="n">
        <f aca="false">IF(L$5="A",Inputs_Actuals!L84,Assumptions!$C$34*L28)</f>
        <v>0</v>
      </c>
      <c r="M29" s="57" t="n">
        <f aca="false">IF(M$5="A",Inputs_Actuals!M84,Assumptions!$C$34*M28)</f>
        <v>74.8456179988966</v>
      </c>
      <c r="N29" s="57" t="n">
        <f aca="false">IF(N$5="A",Inputs_Actuals!N84,Assumptions!$C$34*N28)</f>
        <v>86.7497324727234</v>
      </c>
      <c r="O29" s="57" t="n">
        <f aca="false">IF(O$5="A",Inputs_Actuals!O84,Assumptions!$C$34*O28)</f>
        <v>125.387844217542</v>
      </c>
      <c r="P29" s="57" t="n">
        <f aca="false">IF(P$5="A",Inputs_Actuals!P84,Assumptions!$C$34*P28)</f>
        <v>112.216181328331</v>
      </c>
      <c r="Q29" s="57" t="n">
        <f aca="false">IF(Q$5="A",Inputs_Actuals!Q84,Assumptions!$C$34*Q28)</f>
        <v>71.6610660796677</v>
      </c>
      <c r="R29" s="57" t="n">
        <f aca="false">IF(R$5="A",Inputs_Actuals!R84,Assumptions!$C$34*R28)</f>
        <v>68.3146935730108</v>
      </c>
      <c r="S29" s="57" t="n">
        <f aca="false">IF(S$5="A",Inputs_Actuals!S84,Assumptions!$C$34*S28)</f>
        <v>78.7657538747715</v>
      </c>
      <c r="T29" s="57" t="n">
        <f aca="false">IF(T$5="A",Inputs_Actuals!T84,Assumptions!$C$34*T28)</f>
        <v>83.4220161919893</v>
      </c>
      <c r="U29" s="57" t="n">
        <f aca="false">IF(U$5="A",Inputs_Actuals!U84,Assumptions!$C$34*U28)</f>
        <v>90.1071398592325</v>
      </c>
      <c r="V29" s="57" t="n">
        <f aca="false">IF(V$5="A",Inputs_Actuals!V84,Assumptions!$C$34*V28)</f>
        <v>89.54169020045</v>
      </c>
      <c r="W29" s="57" t="n">
        <f aca="false">IF(W$5="A",Inputs_Actuals!W84,Assumptions!$C$34*W28)</f>
        <v>86.9653963132045</v>
      </c>
      <c r="X29" s="57" t="n">
        <f aca="false">IF(X$5="A",Inputs_Actuals!X84,Assumptions!$C$34*X28)</f>
        <v>87.1812815441164</v>
      </c>
      <c r="Y29" s="57" t="n">
        <f aca="false">IF(Y$5="A",Inputs_Actuals!Y84,Assumptions!$C$34*Y28)</f>
        <v>100.565098196461</v>
      </c>
      <c r="Z29" s="57" t="n">
        <f aca="false">IF(Z$5="A",Inputs_Actuals!Z84,Assumptions!$C$34*Z28)</f>
        <v>116.664068918356</v>
      </c>
      <c r="AA29" s="57" t="n">
        <f aca="false">IF(AA$5="A",Inputs_Actuals!AA84,Assumptions!$C$34*AA28)</f>
        <v>168.779342119655</v>
      </c>
      <c r="AB29" s="57" t="n">
        <f aca="false">IF(AB$5="A",Inputs_Actuals!AB84,Assumptions!$C$34*AB28)</f>
        <v>151.18931362247</v>
      </c>
    </row>
    <row r="30" customFormat="false" ht="15" hidden="false" customHeight="true" outlineLevel="0" collapsed="false">
      <c r="A30" s="70" t="s">
        <v>819</v>
      </c>
      <c r="B30" s="71" t="s">
        <v>820</v>
      </c>
      <c r="C30" s="72" t="n">
        <f aca="false">P30</f>
        <v>57791.1823223126</v>
      </c>
      <c r="D30" s="72" t="n">
        <f aca="false">AB30</f>
        <v>121926.865824573</v>
      </c>
      <c r="E30" s="72" t="n">
        <f aca="false">E23+E24+E26+E27-E28-E29</f>
        <v>80203.2718847455</v>
      </c>
      <c r="F30" s="72" t="n">
        <f aca="false">F23+F24+F26+F27-F28-F29</f>
        <v>64046.3562660854</v>
      </c>
      <c r="G30" s="72" t="n">
        <f aca="false">G23+G24+G26+G27-G28-G29</f>
        <v>91929.0377373921</v>
      </c>
      <c r="H30" s="72" t="n">
        <f aca="false">H23+H24+H26+H27-H28-H29</f>
        <v>70793.0860097164</v>
      </c>
      <c r="I30" s="72" t="n">
        <f aca="false">I23+I24+I26+I27-I28-I29</f>
        <v>48163.2709483413</v>
      </c>
      <c r="J30" s="72" t="n">
        <f aca="false">J23+J24+J26+J27-J28-J29</f>
        <v>26146.6500419109</v>
      </c>
      <c r="K30" s="72" t="n">
        <f aca="false">K23+K24+K26+K27-K28-K29</f>
        <v>58074.7210393895</v>
      </c>
      <c r="L30" s="72" t="n">
        <f aca="false">L23+L24+L26+L27-L28-L29</f>
        <v>37233.8445344056</v>
      </c>
      <c r="M30" s="72" t="n">
        <f aca="false">M23+M24+M26+M27-M28-M29</f>
        <v>56859.5641455095</v>
      </c>
      <c r="N30" s="72" t="n">
        <f aca="false">N23+N24+N26+N27-N28-N29</f>
        <v>29397.6993219146</v>
      </c>
      <c r="O30" s="72" t="n">
        <f aca="false">O23+O24+O26+O27-O28-O29</f>
        <v>60385.8053765856</v>
      </c>
      <c r="P30" s="72" t="n">
        <f aca="false">P23+P24+P26+P27-P28-P29</f>
        <v>57791.1823223126</v>
      </c>
      <c r="Q30" s="72" t="n">
        <f aca="false">Q23+Q24+Q26+Q27-Q28-Q29</f>
        <v>60995.2621187597</v>
      </c>
      <c r="R30" s="72" t="n">
        <f aca="false">R23+R24+R26+R27-R28-R29</f>
        <v>63520.7692538479</v>
      </c>
      <c r="S30" s="72" t="n">
        <f aca="false">S23+S24+S26+S27-S28-S29</f>
        <v>69518.3468266577</v>
      </c>
      <c r="T30" s="72" t="n">
        <f aca="false">T23+T24+T26+T27-T28-T29</f>
        <v>72667.0482735746</v>
      </c>
      <c r="U30" s="72" t="n">
        <f aca="false">U23+U24+U26+U27-U28-U29</f>
        <v>74618.0751670417</v>
      </c>
      <c r="V30" s="72" t="n">
        <f aca="false">V23+V24+V26+V27-V28-V29</f>
        <v>70133.384123552</v>
      </c>
      <c r="W30" s="72" t="n">
        <f aca="false">W23+W24+W26+W27-W28-W29</f>
        <v>70307.4851162229</v>
      </c>
      <c r="X30" s="72" t="n">
        <f aca="false">X23+X24+X26+X27-X28-X29</f>
        <v>83804.2484970504</v>
      </c>
      <c r="Y30" s="72" t="n">
        <f aca="false">Y23+Y24+Y26+Y27-Y28-Y29</f>
        <v>94083.9265470613</v>
      </c>
      <c r="Z30" s="72" t="n">
        <f aca="false">Z23+Z24+Z26+Z27-Z28-Z29</f>
        <v>140649.451766379</v>
      </c>
      <c r="AA30" s="72" t="n">
        <f aca="false">AA23+AA24+AA26+AA27-AA28-AA29</f>
        <v>121926.865824573</v>
      </c>
      <c r="AB30" s="72" t="n">
        <f aca="false">AB23+AB24+AB26+AB27-AB28-AB29</f>
        <v>121926.865824573</v>
      </c>
    </row>
    <row r="31" customFormat="false" ht="15" hidden="false" customHeight="true" outlineLevel="0" collapsed="false">
      <c r="A31" s="28" t="s">
        <v>821</v>
      </c>
      <c r="B31" s="55" t="s">
        <v>315</v>
      </c>
      <c r="C31" s="66" t="n">
        <f aca="false">P31</f>
        <v>47.8948748064213</v>
      </c>
      <c r="D31" s="66" t="n">
        <f aca="false">AB31</f>
        <v>75</v>
      </c>
      <c r="E31" s="67" t="n">
        <f aca="false">IF(E28=0,0,E30/E28*Assumptions!E$67)</f>
        <v>132.89703003275</v>
      </c>
      <c r="F31" s="67" t="n">
        <f aca="false">IF(F28=0,0,F30/F28*Assumptions!F$67)</f>
        <v>105.428270155494</v>
      </c>
      <c r="G31" s="67" t="n">
        <f aca="false">IF(G28=0,0,G30/G28*Assumptions!G$67)</f>
        <v>142.960348038003</v>
      </c>
      <c r="H31" s="67" t="n">
        <f aca="false">IF(H28=0,0,H30/H28*Assumptions!H$67)</f>
        <v>95.8185198784868</v>
      </c>
      <c r="I31" s="67" t="n">
        <f aca="false">IF(I28=0,0,I30/I28*Assumptions!I$67)</f>
        <v>62.6587450216497</v>
      </c>
      <c r="J31" s="67" t="n">
        <f aca="false">IF(J28=0,0,J30/J28*Assumptions!J$67)</f>
        <v>33.5997456140108</v>
      </c>
      <c r="K31" s="67" t="n">
        <f aca="false">IF(K28=0,0,K30/K28*Assumptions!K$67)</f>
        <v>83.4252248480572</v>
      </c>
      <c r="L31" s="67" t="n">
        <f aca="false">IF(L28=0,0,L30/L28*Assumptions!L$67)</f>
        <v>52.4111498388535</v>
      </c>
      <c r="M31" s="67" t="n">
        <f aca="false">IF(M28=0,0,M30/M28*Assumptions!M$67)</f>
        <v>68.372216168638</v>
      </c>
      <c r="N31" s="67" t="n">
        <f aca="false">IF(N28=0,0,N30/N28*Assumptions!N$67)</f>
        <v>31.5157863777586</v>
      </c>
      <c r="O31" s="67" t="n">
        <f aca="false">IF(O28=0,0,O30/O28*Assumptions!O$67)</f>
        <v>43.3432962964394</v>
      </c>
      <c r="P31" s="67" t="n">
        <f aca="false">IF(P28=0,0,P30/P28*Assumptions!P$67)</f>
        <v>47.8948748064213</v>
      </c>
      <c r="Q31" s="67" t="n">
        <f aca="false">IF(Q28=0,0,Q30/Q28*Assumptions!Q$67)</f>
        <v>79.1581773391189</v>
      </c>
      <c r="R31" s="67" t="n">
        <f aca="false">IF(R28=0,0,R30/R28*Assumptions!R$67)</f>
        <v>78.105372918356</v>
      </c>
      <c r="S31" s="67" t="n">
        <f aca="false">IF(S28=0,0,S30/S28*Assumptions!S$67)</f>
        <v>82.0814368787495</v>
      </c>
      <c r="T31" s="67" t="n">
        <f aca="false">IF(T28=0,0,T30/T28*Assumptions!T$67)</f>
        <v>78.3969825132293</v>
      </c>
      <c r="U31" s="67" t="n">
        <f aca="false">IF(U28=0,0,U30/U28*Assumptions!U$67)</f>
        <v>77.0136639713112</v>
      </c>
      <c r="V31" s="67" t="n">
        <f aca="false">IF(V28=0,0,V30/V28*Assumptions!V$67)</f>
        <v>70.4923545332849</v>
      </c>
      <c r="W31" s="67" t="n">
        <f aca="false">IF(W28=0,0,W30/W28*Assumptions!W$67)</f>
        <v>75.186182010372</v>
      </c>
      <c r="X31" s="67" t="n">
        <f aca="false">IF(X28=0,0,X30/X28*Assumptions!X$67)</f>
        <v>89.3975744814188</v>
      </c>
      <c r="Y31" s="67" t="n">
        <f aca="false">IF(Y28=0,0,Y30/Y28*Assumptions!Y$67)</f>
        <v>84.1997227775147</v>
      </c>
      <c r="Z31" s="67" t="n">
        <f aca="false">IF(Z28=0,0,Z30/Z28*Assumptions!Z$67)</f>
        <v>112.120202351482</v>
      </c>
      <c r="AA31" s="67" t="n">
        <f aca="false">IF(AA28=0,0,AA30/AA28*Assumptions!AA$67)</f>
        <v>65.0163567792084</v>
      </c>
      <c r="AB31" s="67" t="n">
        <f aca="false">IF(AB28=0,0,AB30/AB28*Assumptions!AB$67)</f>
        <v>75</v>
      </c>
    </row>
    <row r="32" customFormat="false" ht="15" hidden="false" customHeight="true" outlineLevel="0" collapsed="false">
      <c r="A32" s="28" t="s">
        <v>822</v>
      </c>
      <c r="B32" s="55" t="s">
        <v>315</v>
      </c>
      <c r="E32" s="69" t="n">
        <f aca="false">AVERAGE(E28:E28)</f>
        <v>18708.48</v>
      </c>
      <c r="F32" s="69" t="n">
        <f aca="false">AVERAGE(E28:F28)</f>
        <v>17859.065</v>
      </c>
      <c r="G32" s="69" t="n">
        <f aca="false">AVERAGE(E28:G28)</f>
        <v>18550.7766666667</v>
      </c>
      <c r="H32" s="69" t="n">
        <f aca="false">AVERAGE(F28:H28)</f>
        <v>19702.8633333333</v>
      </c>
      <c r="I32" s="69" t="n">
        <f aca="false">AVERAGE(G28:I28)</f>
        <v>21975.8</v>
      </c>
      <c r="J32" s="69" t="n">
        <f aca="false">AVERAGE(H28:J28)</f>
        <v>23112.8666666667</v>
      </c>
      <c r="K32" s="69" t="n">
        <f aca="false">AVERAGE(I28:K28)</f>
        <v>22917.9533333333</v>
      </c>
      <c r="L32" s="69" t="n">
        <f aca="false">AVERAGE(J28:L28)</f>
        <v>22316.1233333333</v>
      </c>
      <c r="M32" s="69" t="n">
        <f aca="false">AVERAGE(K28:M28)</f>
        <v>22850.5031109885</v>
      </c>
      <c r="N32" s="69" t="n">
        <f aca="false">AVERAGE(L28:N28)</f>
        <v>25296.0289412911</v>
      </c>
      <c r="O32" s="69" t="n">
        <f aca="false">AVERAGE(M28:O28)</f>
        <v>31887.0216321291</v>
      </c>
      <c r="P32" s="69" t="n">
        <f aca="false">AVERAGE(N28:P28)</f>
        <v>36039.3064465107</v>
      </c>
      <c r="Q32" s="69" t="n">
        <f aca="false">AVERAGE(O28:Q28)</f>
        <v>34362.7879583934</v>
      </c>
      <c r="R32" s="69" t="n">
        <f aca="false">AVERAGE(P28:R28)</f>
        <v>28021.3267756677</v>
      </c>
      <c r="S32" s="69" t="n">
        <f aca="false">AVERAGE(Q28:S28)</f>
        <v>24304.6126141611</v>
      </c>
      <c r="T32" s="69" t="n">
        <f aca="false">AVERAGE(R28:T28)</f>
        <v>25611.3848488635</v>
      </c>
      <c r="U32" s="69" t="n">
        <f aca="false">AVERAGE(S28:U28)</f>
        <v>28032.7677695548</v>
      </c>
      <c r="V32" s="69" t="n">
        <f aca="false">AVERAGE(T28:V28)</f>
        <v>29230.0940279635</v>
      </c>
      <c r="W32" s="69" t="n">
        <f aca="false">AVERAGE(U28:W28)</f>
        <v>29623.8029303208</v>
      </c>
      <c r="X32" s="69" t="n">
        <f aca="false">AVERAGE(V28:X28)</f>
        <v>29298.7075619745</v>
      </c>
      <c r="Y32" s="69" t="n">
        <f aca="false">AVERAGE(W28:Y28)</f>
        <v>30523.5306726424</v>
      </c>
      <c r="Z32" s="69" t="n">
        <f aca="false">AVERAGE(X28:Z28)</f>
        <v>33823.3831843259</v>
      </c>
      <c r="AA32" s="69" t="n">
        <f aca="false">AVERAGE(Y28:AA28)</f>
        <v>42889.8343593857</v>
      </c>
      <c r="AB32" s="69" t="n">
        <f aca="false">AVERAGE(Z28:AB28)</f>
        <v>48514.747184498</v>
      </c>
    </row>
    <row r="33" customFormat="false" ht="15" hidden="false" customHeight="true" outlineLevel="0" collapsed="false">
      <c r="A33" s="28" t="s">
        <v>823</v>
      </c>
      <c r="B33" s="55" t="s">
        <v>71</v>
      </c>
      <c r="C33" s="56" t="n">
        <f aca="false">P33</f>
        <v>0</v>
      </c>
      <c r="D33" s="56" t="n">
        <f aca="false">AB33</f>
        <v>0</v>
      </c>
      <c r="E33" s="57" t="n">
        <f aca="false">MAX(0,E30-Assumptions!$C$32*E32)</f>
        <v>0</v>
      </c>
      <c r="F33" s="57" t="n">
        <f aca="false">MAX(0,F30-Assumptions!$C$32*F32)</f>
        <v>0</v>
      </c>
      <c r="G33" s="57" t="n">
        <f aca="false">MAX(0,G30-Assumptions!$C$32*G32)</f>
        <v>0</v>
      </c>
      <c r="H33" s="57" t="n">
        <f aca="false">MAX(0,H30-Assumptions!$C$32*H32)</f>
        <v>0</v>
      </c>
      <c r="I33" s="57" t="n">
        <f aca="false">MAX(0,I30-Assumptions!$C$32*I32)</f>
        <v>0</v>
      </c>
      <c r="J33" s="57" t="n">
        <f aca="false">MAX(0,J30-Assumptions!$C$32*J32)</f>
        <v>0</v>
      </c>
      <c r="K33" s="57" t="n">
        <f aca="false">MAX(0,K30-Assumptions!$C$32*K32)</f>
        <v>0</v>
      </c>
      <c r="L33" s="57" t="n">
        <f aca="false">MAX(0,L30-Assumptions!$C$32*L32)</f>
        <v>0</v>
      </c>
      <c r="M33" s="57" t="n">
        <f aca="false">MAX(0,M30-Assumptions!$C$32*M32)</f>
        <v>0</v>
      </c>
      <c r="N33" s="57" t="n">
        <f aca="false">MAX(0,N30-Assumptions!$C$32*N32)</f>
        <v>0</v>
      </c>
      <c r="O33" s="57" t="n">
        <f aca="false">MAX(0,O30-Assumptions!$C$32*O32)</f>
        <v>0</v>
      </c>
      <c r="P33" s="57" t="n">
        <f aca="false">MAX(0,P30-Assumptions!$C$32*P32)</f>
        <v>0</v>
      </c>
      <c r="Q33" s="57" t="n">
        <f aca="false">MAX(0,Q30-Assumptions!$C$32*Q32)</f>
        <v>0</v>
      </c>
      <c r="R33" s="57" t="n">
        <f aca="false">MAX(0,R30-Assumptions!$C$32*R32)</f>
        <v>0</v>
      </c>
      <c r="S33" s="57" t="n">
        <f aca="false">MAX(0,S30-Assumptions!$C$32*S32)</f>
        <v>0</v>
      </c>
      <c r="T33" s="57" t="n">
        <f aca="false">MAX(0,T30-Assumptions!$C$32*T32)</f>
        <v>0</v>
      </c>
      <c r="U33" s="57" t="n">
        <f aca="false">MAX(0,U30-Assumptions!$C$32*U32)</f>
        <v>0</v>
      </c>
      <c r="V33" s="57" t="n">
        <f aca="false">MAX(0,V30-Assumptions!$C$32*V32)</f>
        <v>0</v>
      </c>
      <c r="W33" s="57" t="n">
        <f aca="false">MAX(0,W30-Assumptions!$C$32*W32)</f>
        <v>0</v>
      </c>
      <c r="X33" s="57" t="n">
        <f aca="false">MAX(0,X30-Assumptions!$C$32*X32)</f>
        <v>0</v>
      </c>
      <c r="Y33" s="57" t="n">
        <f aca="false">MAX(0,Y30-Assumptions!$C$32*Y32)</f>
        <v>0</v>
      </c>
      <c r="Z33" s="57" t="n">
        <f aca="false">MAX(0,Z30-Assumptions!$C$32*Z32)</f>
        <v>0</v>
      </c>
      <c r="AA33" s="57" t="n">
        <f aca="false">MAX(0,AA30-Assumptions!$C$32*AA32)</f>
        <v>0</v>
      </c>
      <c r="AB33" s="57" t="n">
        <f aca="false">MAX(0,AB30-Assumptions!$C$32*AB32)</f>
        <v>0</v>
      </c>
    </row>
    <row r="34" customFormat="false" ht="15" hidden="false" customHeight="true" outlineLevel="0" collapsed="false">
      <c r="A34" s="28" t="s">
        <v>824</v>
      </c>
      <c r="B34" s="55" t="s">
        <v>825</v>
      </c>
      <c r="C34" s="56" t="n">
        <f aca="false">P34</f>
        <v>0</v>
      </c>
      <c r="D34" s="56" t="n">
        <f aca="false">AB34</f>
        <v>0</v>
      </c>
      <c r="E34" s="57" t="n">
        <f aca="false">Assumptions!$C$33*E33</f>
        <v>0</v>
      </c>
      <c r="F34" s="57" t="n">
        <f aca="false">Assumptions!$C$33*F33</f>
        <v>0</v>
      </c>
      <c r="G34" s="57" t="n">
        <f aca="false">Assumptions!$C$33*G33</f>
        <v>0</v>
      </c>
      <c r="H34" s="57" t="n">
        <f aca="false">Assumptions!$C$33*H33</f>
        <v>0</v>
      </c>
      <c r="I34" s="57" t="n">
        <f aca="false">Assumptions!$C$33*I33</f>
        <v>0</v>
      </c>
      <c r="J34" s="57" t="n">
        <f aca="false">Assumptions!$C$33*J33</f>
        <v>0</v>
      </c>
      <c r="K34" s="57" t="n">
        <f aca="false">Assumptions!$C$33*K33</f>
        <v>0</v>
      </c>
      <c r="L34" s="57" t="n">
        <f aca="false">Assumptions!$C$33*L33</f>
        <v>0</v>
      </c>
      <c r="M34" s="57" t="n">
        <f aca="false">Assumptions!$C$33*M33</f>
        <v>0</v>
      </c>
      <c r="N34" s="57" t="n">
        <f aca="false">Assumptions!$C$33*N33</f>
        <v>0</v>
      </c>
      <c r="O34" s="57" t="n">
        <f aca="false">Assumptions!$C$33*O33</f>
        <v>0</v>
      </c>
      <c r="P34" s="57" t="n">
        <f aca="false">Assumptions!$C$33*P33</f>
        <v>0</v>
      </c>
      <c r="Q34" s="57" t="n">
        <f aca="false">Assumptions!$C$33*Q33</f>
        <v>0</v>
      </c>
      <c r="R34" s="57" t="n">
        <f aca="false">Assumptions!$C$33*R33</f>
        <v>0</v>
      </c>
      <c r="S34" s="57" t="n">
        <f aca="false">Assumptions!$C$33*S33</f>
        <v>0</v>
      </c>
      <c r="T34" s="57" t="n">
        <f aca="false">Assumptions!$C$33*T33</f>
        <v>0</v>
      </c>
      <c r="U34" s="57" t="n">
        <f aca="false">Assumptions!$C$33*U33</f>
        <v>0</v>
      </c>
      <c r="V34" s="57" t="n">
        <f aca="false">Assumptions!$C$33*V33</f>
        <v>0</v>
      </c>
      <c r="W34" s="57" t="n">
        <f aca="false">Assumptions!$C$33*W33</f>
        <v>0</v>
      </c>
      <c r="X34" s="57" t="n">
        <f aca="false">Assumptions!$C$33*X33</f>
        <v>0</v>
      </c>
      <c r="Y34" s="57" t="n">
        <f aca="false">Assumptions!$C$33*Y33</f>
        <v>0</v>
      </c>
      <c r="Z34" s="57" t="n">
        <f aca="false">Assumptions!$C$33*Z33</f>
        <v>0</v>
      </c>
      <c r="AA34" s="57" t="n">
        <f aca="false">Assumptions!$C$33*AA33</f>
        <v>0</v>
      </c>
      <c r="AB34" s="57" t="n">
        <f aca="false">Assumptions!$C$33*AB33</f>
        <v>0</v>
      </c>
    </row>
    <row r="36" customFormat="false" ht="15" hidden="false" customHeight="true" outlineLevel="0" collapsed="false">
      <c r="A36" s="22" t="s">
        <v>745</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row>
    <row r="37" customFormat="false" ht="15" hidden="false" customHeight="true" outlineLevel="0" collapsed="false">
      <c r="A37" s="28" t="s">
        <v>808</v>
      </c>
      <c r="B37" s="55" t="s">
        <v>809</v>
      </c>
      <c r="E37" s="57" t="n">
        <f aca="false">Inputs_Actuals!$C$118</f>
        <v>142000</v>
      </c>
      <c r="F37" s="69" t="n">
        <f aca="false">E44</f>
        <v>124419.594492567</v>
      </c>
      <c r="G37" s="69" t="n">
        <f aca="false">F44</f>
        <v>158939.799712103</v>
      </c>
      <c r="H37" s="69" t="n">
        <f aca="false">G44</f>
        <v>135212.979211086</v>
      </c>
      <c r="I37" s="69" t="n">
        <f aca="false">H44</f>
        <v>113955.342611512</v>
      </c>
      <c r="J37" s="69" t="n">
        <f aca="false">I44</f>
        <v>148659.931101921</v>
      </c>
      <c r="K37" s="69" t="n">
        <f aca="false">J44</f>
        <v>128287.135676592</v>
      </c>
      <c r="L37" s="69" t="n">
        <f aca="false">K44</f>
        <v>107850.730840846</v>
      </c>
      <c r="M37" s="69" t="n">
        <f aca="false">L44</f>
        <v>86781.7278082963</v>
      </c>
      <c r="N37" s="69" t="n">
        <f aca="false">M44</f>
        <v>135788.143359079</v>
      </c>
      <c r="O37" s="69" t="n">
        <f aca="false">N44</f>
        <v>109063.898035554</v>
      </c>
      <c r="P37" s="69" t="n">
        <f aca="false">O44</f>
        <v>70464.4602908942</v>
      </c>
      <c r="Q37" s="69" t="n">
        <f aca="false">P44</f>
        <v>55777.3697055124</v>
      </c>
      <c r="R37" s="69" t="n">
        <f aca="false">Q44</f>
        <v>58829.5481431823</v>
      </c>
      <c r="S37" s="69" t="n">
        <f aca="false">R44</f>
        <v>61223.4863806444</v>
      </c>
      <c r="T37" s="69" t="n">
        <f aca="false">S44</f>
        <v>66958.3282738556</v>
      </c>
      <c r="U37" s="69" t="n">
        <f aca="false">T44</f>
        <v>69943.2050896033</v>
      </c>
      <c r="V37" s="69" t="n">
        <f aca="false">U44</f>
        <v>71771.976504513</v>
      </c>
      <c r="W37" s="69" t="n">
        <f aca="false">V44</f>
        <v>67412.2078118928</v>
      </c>
      <c r="X37" s="69" t="n">
        <f aca="false">W44</f>
        <v>67533.3470364224</v>
      </c>
      <c r="Y37" s="69" t="n">
        <f aca="false">X44</f>
        <v>80442.5434887618</v>
      </c>
      <c r="Z37" s="69" t="n">
        <f aca="false">Y44</f>
        <v>90248.1608555111</v>
      </c>
      <c r="AA37" s="69" t="n">
        <f aca="false">Z44</f>
        <v>134823.093788603</v>
      </c>
      <c r="AB37" s="69" t="n">
        <f aca="false">AA44</f>
        <v>116796.319039935</v>
      </c>
    </row>
    <row r="38" customFormat="false" ht="15" hidden="false" customHeight="true" outlineLevel="0" collapsed="false">
      <c r="A38" s="28" t="s">
        <v>810</v>
      </c>
      <c r="B38" s="55" t="s">
        <v>811</v>
      </c>
      <c r="C38" s="56" t="n">
        <f aca="false">SUM(E38:P38)</f>
        <v>180200</v>
      </c>
      <c r="D38" s="56" t="n">
        <f aca="false">SUM(Q38:AB38)</f>
        <v>0</v>
      </c>
      <c r="E38" s="57" t="n">
        <f aca="false">SUMIFS(Purchase_Orders!$N$6:$N$24,Purchase_Orders!$R$6:$R$24,Assumptions!E$61,Purchase_Orders!$C$6:$C$24,"Textiles")</f>
        <v>0</v>
      </c>
      <c r="F38" s="57" t="n">
        <f aca="false">SUMIFS(Purchase_Orders!$N$6:$N$24,Purchase_Orders!$R$6:$R$24,Assumptions!F$61,Purchase_Orders!$C$6:$C$24,"Textiles")</f>
        <v>50880</v>
      </c>
      <c r="G38" s="57" t="n">
        <f aca="false">SUMIFS(Purchase_Orders!$N$6:$N$24,Purchase_Orders!$R$6:$R$24,Assumptions!G$61,Purchase_Orders!$C$6:$C$24,"Textiles")</f>
        <v>0</v>
      </c>
      <c r="H38" s="57" t="n">
        <f aca="false">SUMIFS(Purchase_Orders!$N$6:$N$24,Purchase_Orders!$R$6:$R$24,Assumptions!H$61,Purchase_Orders!$C$6:$C$24,"Textiles")</f>
        <v>0</v>
      </c>
      <c r="I38" s="57" t="n">
        <f aca="false">SUMIFS(Purchase_Orders!$N$6:$N$24,Purchase_Orders!$R$6:$R$24,Assumptions!I$61,Purchase_Orders!$C$6:$C$24,"Textiles")</f>
        <v>57240</v>
      </c>
      <c r="J38" s="57" t="n">
        <f aca="false">SUMIFS(Purchase_Orders!$N$6:$N$24,Purchase_Orders!$R$6:$R$24,Assumptions!J$61,Purchase_Orders!$C$6:$C$24,"Textiles")</f>
        <v>0</v>
      </c>
      <c r="K38" s="57" t="n">
        <f aca="false">SUMIFS(Purchase_Orders!$N$6:$N$24,Purchase_Orders!$R$6:$R$24,Assumptions!K$61,Purchase_Orders!$C$6:$C$24,"Textiles")</f>
        <v>0</v>
      </c>
      <c r="L38" s="57" t="n">
        <f aca="false">SUMIFS(Purchase_Orders!$N$6:$N$24,Purchase_Orders!$R$6:$R$24,Assumptions!L$61,Purchase_Orders!$C$6:$C$24,"Textiles")</f>
        <v>0</v>
      </c>
      <c r="M38" s="57" t="n">
        <f aca="false">SUMIFS(Purchase_Orders!$N$6:$N$24,Purchase_Orders!$R$6:$R$24,Assumptions!M$61,Purchase_Orders!$C$6:$C$24,"Textiles")</f>
        <v>72080</v>
      </c>
      <c r="N38" s="57" t="n">
        <f aca="false">SUMIFS(Purchase_Orders!$N$6:$N$24,Purchase_Orders!$R$6:$R$24,Assumptions!N$61,Purchase_Orders!$C$6:$C$24,"Textiles")</f>
        <v>0</v>
      </c>
      <c r="O38" s="57" t="n">
        <f aca="false">SUMIFS(Purchase_Orders!$N$6:$N$24,Purchase_Orders!$R$6:$R$24,Assumptions!O$61,Purchase_Orders!$C$6:$C$24,"Textiles")</f>
        <v>0</v>
      </c>
      <c r="P38" s="57" t="n">
        <f aca="false">SUMIFS(Purchase_Orders!$N$6:$N$24,Purchase_Orders!$R$6:$R$24,Assumptions!P$61,Purchase_Orders!$C$6:$C$24,"Textiles")</f>
        <v>0</v>
      </c>
      <c r="Q38" s="57" t="n">
        <f aca="false">SUMIFS(Purchase_Orders!$N$6:$N$24,Purchase_Orders!$R$6:$R$24,Assumptions!Q$61,Purchase_Orders!$C$6:$C$24,"Textiles")</f>
        <v>0</v>
      </c>
      <c r="R38" s="57" t="n">
        <f aca="false">SUMIFS(Purchase_Orders!$N$6:$N$24,Purchase_Orders!$R$6:$R$24,Assumptions!R$61,Purchase_Orders!$C$6:$C$24,"Textiles")</f>
        <v>0</v>
      </c>
      <c r="S38" s="57" t="n">
        <f aca="false">SUMIFS(Purchase_Orders!$N$6:$N$24,Purchase_Orders!$R$6:$R$24,Assumptions!S$61,Purchase_Orders!$C$6:$C$24,"Textiles")</f>
        <v>0</v>
      </c>
      <c r="T38" s="57" t="n">
        <f aca="false">SUMIFS(Purchase_Orders!$N$6:$N$24,Purchase_Orders!$R$6:$R$24,Assumptions!T$61,Purchase_Orders!$C$6:$C$24,"Textiles")</f>
        <v>0</v>
      </c>
      <c r="U38" s="57" t="n">
        <f aca="false">SUMIFS(Purchase_Orders!$N$6:$N$24,Purchase_Orders!$R$6:$R$24,Assumptions!U$61,Purchase_Orders!$C$6:$C$24,"Textiles")</f>
        <v>0</v>
      </c>
      <c r="V38" s="57" t="n">
        <f aca="false">SUMIFS(Purchase_Orders!$N$6:$N$24,Purchase_Orders!$R$6:$R$24,Assumptions!V$61,Purchase_Orders!$C$6:$C$24,"Textiles")</f>
        <v>0</v>
      </c>
      <c r="W38" s="57" t="n">
        <f aca="false">SUMIFS(Purchase_Orders!$N$6:$N$24,Purchase_Orders!$R$6:$R$24,Assumptions!W$61,Purchase_Orders!$C$6:$C$24,"Textiles")</f>
        <v>0</v>
      </c>
      <c r="X38" s="57" t="n">
        <f aca="false">SUMIFS(Purchase_Orders!$N$6:$N$24,Purchase_Orders!$R$6:$R$24,Assumptions!X$61,Purchase_Orders!$C$6:$C$24,"Textiles")</f>
        <v>0</v>
      </c>
      <c r="Y38" s="57" t="n">
        <f aca="false">SUMIFS(Purchase_Orders!$N$6:$N$24,Purchase_Orders!$R$6:$R$24,Assumptions!Y$61,Purchase_Orders!$C$6:$C$24,"Textiles")</f>
        <v>0</v>
      </c>
      <c r="Z38" s="57" t="n">
        <f aca="false">SUMIFS(Purchase_Orders!$N$6:$N$24,Purchase_Orders!$R$6:$R$24,Assumptions!Z$61,Purchase_Orders!$C$6:$C$24,"Textiles")</f>
        <v>0</v>
      </c>
      <c r="AA38" s="57" t="n">
        <f aca="false">SUMIFS(Purchase_Orders!$N$6:$N$24,Purchase_Orders!$R$6:$R$24,Assumptions!AA$61,Purchase_Orders!$C$6:$C$24,"Textiles")</f>
        <v>0</v>
      </c>
      <c r="AB38" s="57" t="n">
        <f aca="false">SUMIFS(Purchase_Orders!$N$6:$N$24,Purchase_Orders!$R$6:$R$24,Assumptions!AB$61,Purchase_Orders!$C$6:$C$24,"Textiles")</f>
        <v>0</v>
      </c>
    </row>
    <row r="39" customFormat="false" ht="15" hidden="false" customHeight="true" outlineLevel="0" collapsed="false">
      <c r="A39" s="28" t="s">
        <v>812</v>
      </c>
      <c r="B39" s="55" t="s">
        <v>813</v>
      </c>
      <c r="E39" s="57" t="n">
        <f aca="false">Assumptions!$F$116*F42/Assumptions!F$67</f>
        <v>45825.8303571429</v>
      </c>
      <c r="F39" s="57" t="n">
        <f aca="false">Assumptions!$F$116*G42/Assumptions!G$67</f>
        <v>50612.4677419355</v>
      </c>
      <c r="G39" s="57" t="n">
        <f aca="false">Assumptions!$F$116*H42/Assumptions!H$67</f>
        <v>55491.475</v>
      </c>
      <c r="H39" s="57" t="n">
        <f aca="false">Assumptions!$F$116*I42/Assumptions!I$67</f>
        <v>57158.7096774194</v>
      </c>
      <c r="I39" s="57" t="n">
        <f aca="false">Assumptions!$F$116*J42/Assumptions!J$67</f>
        <v>53727.3</v>
      </c>
      <c r="J39" s="57" t="n">
        <f aca="false">Assumptions!$F$116*K42/Assumptions!K$67</f>
        <v>51808.3548387097</v>
      </c>
      <c r="K39" s="57" t="n">
        <f aca="false">Assumptions!$F$116*L42/Assumptions!L$67</f>
        <v>53530.9838709677</v>
      </c>
      <c r="L39" s="57" t="n">
        <f aca="false">Assumptions!$F$116*M42/Assumptions!M$67</f>
        <v>60362.702759727</v>
      </c>
      <c r="M39" s="57" t="n">
        <f aca="false">Assumptions!$F$116*N42/Assumptions!N$67</f>
        <v>67660.2241297057</v>
      </c>
      <c r="N39" s="57" t="n">
        <f aca="false">Assumptions!$F$116*O42/Assumptions!O$67</f>
        <v>100986.760985921</v>
      </c>
      <c r="O39" s="57" t="n">
        <f aca="false">Assumptions!$F$116*P42/Assumptions!P$67</f>
        <v>87403.1744293154</v>
      </c>
      <c r="P39" s="57" t="n">
        <f aca="false">Assumptions!$F$116*Q42/Assumptions!Q$67</f>
        <v>55777.3697055124</v>
      </c>
      <c r="Q39" s="57" t="n">
        <f aca="false">Assumptions!$F$116*R42/Assumptions!R$67</f>
        <v>58829.5481431823</v>
      </c>
      <c r="R39" s="57" t="n">
        <f aca="false">Assumptions!$F$116*S42/Assumptions!S$67</f>
        <v>61223.4863806444</v>
      </c>
      <c r="S39" s="57" t="n">
        <f aca="false">Assumptions!$F$116*T42/Assumptions!T$67</f>
        <v>66958.3282738556</v>
      </c>
      <c r="T39" s="57" t="n">
        <f aca="false">Assumptions!$F$116*U42/Assumptions!U$67</f>
        <v>69943.2050896033</v>
      </c>
      <c r="U39" s="57" t="n">
        <f aca="false">Assumptions!$F$116*V42/Assumptions!V$67</f>
        <v>71771.976504513</v>
      </c>
      <c r="V39" s="57" t="n">
        <f aca="false">Assumptions!$F$116*W42/Assumptions!W$67</f>
        <v>67412.2078118928</v>
      </c>
      <c r="W39" s="57" t="n">
        <f aca="false">Assumptions!$F$116*X42/Assumptions!X$67</f>
        <v>67533.3470364224</v>
      </c>
      <c r="X39" s="57" t="n">
        <f aca="false">Assumptions!$F$116*Y42/Assumptions!Y$67</f>
        <v>80442.5434887618</v>
      </c>
      <c r="Y39" s="57" t="n">
        <f aca="false">Assumptions!$F$116*Z42/Assumptions!Z$67</f>
        <v>90248.1608555111</v>
      </c>
      <c r="Z39" s="57" t="n">
        <f aca="false">Assumptions!$F$116*AA42/Assumptions!AA$67</f>
        <v>134823.093788603</v>
      </c>
      <c r="AA39" s="57" t="n">
        <f aca="false">Assumptions!$F$116*AB42/Assumptions!AB$67</f>
        <v>116796.319039935</v>
      </c>
      <c r="AB39" s="57" t="n">
        <f aca="false">Assumptions!$F$116*AB42/Assumptions!AB$67</f>
        <v>116796.319039935</v>
      </c>
    </row>
    <row r="40" customFormat="false" ht="15" hidden="false" customHeight="true" outlineLevel="0" collapsed="false">
      <c r="A40" s="28" t="s">
        <v>814</v>
      </c>
      <c r="B40" s="55" t="s">
        <v>815</v>
      </c>
      <c r="C40" s="56" t="n">
        <f aca="false">SUM(E40:P40)</f>
        <v>19832.7596531956</v>
      </c>
      <c r="D40" s="56" t="n">
        <f aca="false">SUM(Q40:AB40)</f>
        <v>426105.559020643</v>
      </c>
      <c r="E40" s="57" t="n">
        <f aca="false">IF(Assumptions!E$62&lt;=Assumptions!$C$10+Assumptions!$C$36,0,MAX(0,E39-E37-E41+E42+E43-E38))</f>
        <v>0</v>
      </c>
      <c r="F40" s="57" t="n">
        <f aca="false">IF(Assumptions!F$62&lt;=Assumptions!$C$10+Assumptions!$C$36,0,MAX(0,F39-F37-F41+F42+F43-F38))</f>
        <v>0</v>
      </c>
      <c r="G40" s="57" t="n">
        <f aca="false">IF(Assumptions!G$62&lt;=Assumptions!$C$10+Assumptions!$C$36,0,MAX(0,G39-G37-G41+G42+G43-G38))</f>
        <v>0</v>
      </c>
      <c r="H40" s="57" t="n">
        <f aca="false">IF(Assumptions!H$62&lt;=Assumptions!$C$10+Assumptions!$C$36,0,MAX(0,H39-H37-H41+H42+H43-H38))</f>
        <v>0</v>
      </c>
      <c r="I40" s="57" t="n">
        <f aca="false">IF(Assumptions!I$62&lt;=Assumptions!$C$10+Assumptions!$C$36,0,MAX(0,I39-I37-I41+I42+I43-I38))</f>
        <v>0</v>
      </c>
      <c r="J40" s="57" t="n">
        <f aca="false">IF(Assumptions!J$62&lt;=Assumptions!$C$10+Assumptions!$C$36,0,MAX(0,J39-J37-J41+J42+J43-J38))</f>
        <v>0</v>
      </c>
      <c r="K40" s="57" t="n">
        <f aca="false">IF(Assumptions!K$62&lt;=Assumptions!$C$10+Assumptions!$C$36,0,MAX(0,K39-K37-K41+K42+K43-K38))</f>
        <v>0</v>
      </c>
      <c r="L40" s="57" t="n">
        <f aca="false">IF(Assumptions!L$62&lt;=Assumptions!$C$10+Assumptions!$C$36,0,MAX(0,L39-L37-L41+L42+L43-L38))</f>
        <v>0</v>
      </c>
      <c r="M40" s="57" t="n">
        <f aca="false">IF(Assumptions!M$62&lt;=Assumptions!$C$10+Assumptions!$C$36,0,MAX(0,M39-M37-M41+M42+M43-M38))</f>
        <v>0</v>
      </c>
      <c r="N40" s="57" t="n">
        <f aca="false">IF(Assumptions!N$62&lt;=Assumptions!$C$10+Assumptions!$C$36,0,MAX(0,N39-N37-N41+N42+N43-N38))</f>
        <v>0</v>
      </c>
      <c r="O40" s="57" t="n">
        <f aca="false">IF(Assumptions!O$62&lt;=Assumptions!$C$10+Assumptions!$C$36,0,MAX(0,O39-O37-O41+O42+O43-O38))</f>
        <v>0</v>
      </c>
      <c r="P40" s="57" t="n">
        <f aca="false">IF(Assumptions!P$62&lt;=Assumptions!$C$10+Assumptions!$C$36,0,MAX(0,P39-P37-P41+P42+P43-P38))</f>
        <v>19832.7596531956</v>
      </c>
      <c r="Q40" s="57" t="n">
        <f aca="false">IF(Assumptions!Q$62&lt;=Assumptions!$C$10+Assumptions!$C$36,0,MAX(0,Q39-Q37-Q41+Q42+Q43-Q38))</f>
        <v>25080.6422061362</v>
      </c>
      <c r="R40" s="57" t="n">
        <f aca="false">IF(Assumptions!R$62&lt;=Assumptions!$C$10+Assumptions!$C$36,0,MAX(0,R39-R37-R41+R42+R43-R38))</f>
        <v>23378.6145411062</v>
      </c>
      <c r="S40" s="57" t="n">
        <f aca="false">IF(Assumptions!S$62&lt;=Assumptions!$C$10+Assumptions!$C$36,0,MAX(0,S39-S37-S41+S42+S43-S38))</f>
        <v>29912.402534259</v>
      </c>
      <c r="T40" s="57" t="n">
        <f aca="false">IF(Assumptions!T$62&lt;=Assumptions!$C$10+Assumptions!$C$36,0,MAX(0,T39-T37-T41+T42+T43-T38))</f>
        <v>28573.2302887174</v>
      </c>
      <c r="U40" s="57" t="n">
        <f aca="false">IF(Assumptions!U$62&lt;=Assumptions!$C$10+Assumptions!$C$36,0,MAX(0,U39-U37-U41+U42+U43-U38))</f>
        <v>29447.7245415843</v>
      </c>
      <c r="V40" s="57" t="n">
        <f aca="false">IF(Assumptions!V$62&lt;=Assumptions!$C$10+Assumptions!$C$36,0,MAX(0,V39-V37-V41+V42+V43-V38))</f>
        <v>23066.0376014207</v>
      </c>
      <c r="W40" s="57" t="n">
        <f aca="false">IF(Assumptions!W$62&lt;=Assumptions!$C$10+Assumptions!$C$36,0,MAX(0,W39-W37-W41+W42+W43-W38))</f>
        <v>26738.5917350616</v>
      </c>
      <c r="X40" s="57" t="n">
        <f aca="false">IF(Assumptions!X$62&lt;=Assumptions!$C$10+Assumptions!$C$36,0,MAX(0,X39-X37-X41+X42+X43-X38))</f>
        <v>39573.4208092746</v>
      </c>
      <c r="Y40" s="57" t="n">
        <f aca="false">IF(Assumptions!Y$62&lt;=Assumptions!$C$10+Assumptions!$C$36,0,MAX(0,Y39-Y37-Y41+Y42+Y43-Y38))</f>
        <v>40540.9926335725</v>
      </c>
      <c r="Z40" s="57" t="n">
        <f aca="false">IF(Assumptions!Z$62&lt;=Assumptions!$C$10+Assumptions!$C$36,0,MAX(0,Z39-Z37-Z41+Z42+Z43-Z38))</f>
        <v>80204.7628480624</v>
      </c>
      <c r="AA40" s="57" t="n">
        <f aca="false">IF(Assumptions!AA$62&lt;=Assumptions!$C$10+Assumptions!$C$36,0,MAX(0,AA39-AA37-AA41+AA42+AA43-AA38))</f>
        <v>33481.9975737683</v>
      </c>
      <c r="AB40" s="57" t="n">
        <f aca="false">IF(Assumptions!AB$62&lt;=Assumptions!$C$10+Assumptions!$C$36,0,MAX(0,AB39-AB37-AB41+AB42+AB43-AB38))</f>
        <v>46107.1417076802</v>
      </c>
    </row>
    <row r="41" customFormat="false" ht="15" hidden="false" customHeight="true" outlineLevel="0" collapsed="false">
      <c r="A41" s="28" t="s">
        <v>816</v>
      </c>
      <c r="B41" s="55" t="s">
        <v>46</v>
      </c>
      <c r="C41" s="56" t="n">
        <f aca="false">SUM(E41:P41)</f>
        <v>13826.1749256794</v>
      </c>
      <c r="D41" s="56" t="n">
        <f aca="false">SUM(Q41:AB41)</f>
        <v>18247.4539262564</v>
      </c>
      <c r="E41" s="57" t="n">
        <f aca="false">Product_Contribution!E72</f>
        <v>801.104492567313</v>
      </c>
      <c r="F41" s="57" t="n">
        <f aca="false">Product_Contribution!F72</f>
        <v>748.515219535466</v>
      </c>
      <c r="G41" s="57" t="n">
        <f aca="false">Product_Contribution!G72</f>
        <v>992.999498983447</v>
      </c>
      <c r="H41" s="57" t="n">
        <f aca="false">Product_Contribution!H72</f>
        <v>938.953400425685</v>
      </c>
      <c r="I41" s="57" t="n">
        <f aca="false">Product_Contribution!I72</f>
        <v>1090.188490409</v>
      </c>
      <c r="J41" s="57" t="n">
        <f aca="false">Product_Contribution!J72</f>
        <v>1118.12457467117</v>
      </c>
      <c r="K41" s="57" t="n">
        <f aca="false">Product_Contribution!K72</f>
        <v>977.715164254391</v>
      </c>
      <c r="L41" s="57" t="n">
        <f aca="false">Product_Contribution!L72</f>
        <v>1057.13696744988</v>
      </c>
      <c r="M41" s="57" t="n">
        <f aca="false">Product_Contribution!M72</f>
        <v>1143.93189798537</v>
      </c>
      <c r="N41" s="57" t="n">
        <f aca="false">Product_Contribution!N72</f>
        <v>1325.87932800768</v>
      </c>
      <c r="O41" s="57" t="n">
        <f aca="false">Product_Contribution!O72</f>
        <v>1916.45076289142</v>
      </c>
      <c r="P41" s="57" t="n">
        <f aca="false">Product_Contribution!P72</f>
        <v>1715.1751284986</v>
      </c>
      <c r="Q41" s="57" t="n">
        <f aca="false">Product_Contribution!Q72</f>
        <v>1095.34631491369</v>
      </c>
      <c r="R41" s="57" t="n">
        <f aca="false">Product_Contribution!R72</f>
        <v>1044.24409706436</v>
      </c>
      <c r="S41" s="57" t="n">
        <f aca="false">Product_Contribution!S72</f>
        <v>1204.06418606382</v>
      </c>
      <c r="T41" s="57" t="n">
        <f aca="false">Product_Contribution!T72</f>
        <v>1275.32783050113</v>
      </c>
      <c r="U41" s="57" t="n">
        <f aca="false">Product_Contribution!U72</f>
        <v>1377.6345513392</v>
      </c>
      <c r="V41" s="57" t="n">
        <f aca="false">Product_Contribution!V72</f>
        <v>1369.1106795697</v>
      </c>
      <c r="W41" s="57" t="n">
        <f aca="false">Product_Contribution!W72</f>
        <v>1329.85118940383</v>
      </c>
      <c r="X41" s="57" t="n">
        <f aca="false">Product_Contribution!X72</f>
        <v>1333.30043511122</v>
      </c>
      <c r="Y41" s="57" t="n">
        <f aca="false">Product_Contribution!Y72</f>
        <v>1538.17318086796</v>
      </c>
      <c r="Z41" s="57" t="n">
        <f aca="false">Product_Contribution!Z72</f>
        <v>1784.65095810153</v>
      </c>
      <c r="AA41" s="57" t="n">
        <f aca="false">Product_Contribution!AA72</f>
        <v>2582.252905551</v>
      </c>
      <c r="AB41" s="57" t="n">
        <f aca="false">Product_Contribution!AB72</f>
        <v>2313.497597769</v>
      </c>
    </row>
    <row r="42" customFormat="false" ht="15" hidden="false" customHeight="true" outlineLevel="0" collapsed="false">
      <c r="A42" s="28" t="s">
        <v>659</v>
      </c>
      <c r="B42" s="55" t="s">
        <v>46</v>
      </c>
      <c r="C42" s="56" t="n">
        <f aca="false">SUM(E42:P42)</f>
        <v>295895.666902655</v>
      </c>
      <c r="D42" s="56" t="n">
        <f aca="false">SUM(Q42:AB42)</f>
        <v>382187.50110915</v>
      </c>
      <c r="E42" s="57" t="n">
        <f aca="false">-Product_Contribution!E71</f>
        <v>18381.51</v>
      </c>
      <c r="F42" s="57" t="n">
        <f aca="false">-Product_Contribution!F71</f>
        <v>17108.31</v>
      </c>
      <c r="G42" s="57" t="n">
        <f aca="false">-Product_Contribution!G71</f>
        <v>20919.82</v>
      </c>
      <c r="H42" s="57" t="n">
        <f aca="false">-Product_Contribution!H71</f>
        <v>22196.59</v>
      </c>
      <c r="I42" s="57" t="n">
        <f aca="false">-Product_Contribution!I71</f>
        <v>23625.6</v>
      </c>
      <c r="J42" s="57" t="n">
        <f aca="false">-Product_Contribution!J71</f>
        <v>21490.92</v>
      </c>
      <c r="K42" s="57" t="n">
        <f aca="false">-Product_Contribution!K71</f>
        <v>21414.12</v>
      </c>
      <c r="L42" s="57" t="n">
        <f aca="false">-Product_Contribution!L71</f>
        <v>22126.14</v>
      </c>
      <c r="M42" s="57" t="n">
        <f aca="false">-Product_Contribution!M71</f>
        <v>24145.0811038908</v>
      </c>
      <c r="N42" s="57" t="n">
        <f aca="false">-Product_Contribution!N71</f>
        <v>27966.2259736117</v>
      </c>
      <c r="O42" s="57" t="n">
        <f aca="false">-Product_Contribution!O71</f>
        <v>40394.7043943685</v>
      </c>
      <c r="P42" s="57" t="n">
        <f aca="false">-Product_Contribution!P71</f>
        <v>36126.6454307837</v>
      </c>
      <c r="Q42" s="57" t="n">
        <f aca="false">-Product_Contribution!Q71</f>
        <v>23054.6461449451</v>
      </c>
      <c r="R42" s="57" t="n">
        <f aca="false">-Product_Contribution!R71</f>
        <v>21963.0313067881</v>
      </c>
      <c r="S42" s="57" t="n">
        <f aca="false">-Product_Contribution!S71</f>
        <v>25305.7077039997</v>
      </c>
      <c r="T42" s="57" t="n">
        <f aca="false">-Product_Contribution!T71</f>
        <v>26783.3313095422</v>
      </c>
      <c r="U42" s="57" t="n">
        <f aca="false">-Product_Contribution!U71</f>
        <v>28909.8581037027</v>
      </c>
      <c r="V42" s="57" t="n">
        <f aca="false">-Product_Contribution!V71</f>
        <v>28708.7906018052</v>
      </c>
      <c r="W42" s="57" t="n">
        <f aca="false">-Product_Contribution!W71</f>
        <v>27863.712562249</v>
      </c>
      <c r="X42" s="57" t="n">
        <f aca="false">-Product_Contribution!X71</f>
        <v>27913.7834417213</v>
      </c>
      <c r="Y42" s="57" t="n">
        <f aca="false">-Product_Contribution!Y71</f>
        <v>32177.0173955047</v>
      </c>
      <c r="Z42" s="57" t="n">
        <f aca="false">-Product_Contribution!Z71</f>
        <v>37302.5731536112</v>
      </c>
      <c r="AA42" s="57" t="n">
        <f aca="false">-Product_Contribution!AA71</f>
        <v>53929.2375154412</v>
      </c>
      <c r="AB42" s="57" t="n">
        <f aca="false">-Product_Contribution!AB71</f>
        <v>48275.8118698397</v>
      </c>
    </row>
    <row r="43" customFormat="false" ht="15" hidden="false" customHeight="true" outlineLevel="0" collapsed="false">
      <c r="A43" s="28" t="s">
        <v>817</v>
      </c>
      <c r="B43" s="55" t="s">
        <v>818</v>
      </c>
      <c r="C43" s="56" t="n">
        <f aca="false">SUM(E43:P43)</f>
        <v>4185.89797070796</v>
      </c>
      <c r="D43" s="56" t="n">
        <f aca="false">SUM(Q43:AB43)</f>
        <v>1146.56250332745</v>
      </c>
      <c r="E43" s="57" t="n">
        <f aca="false">IF(E$5="A",Inputs_Actuals!E85,Assumptions!$C$34*E42)</f>
        <v>0</v>
      </c>
      <c r="F43" s="57" t="n">
        <f aca="false">IF(F$5="A",Inputs_Actuals!F85,Assumptions!$C$34*F42)</f>
        <v>0</v>
      </c>
      <c r="G43" s="57" t="n">
        <f aca="false">IF(G$5="A",Inputs_Actuals!G85,Assumptions!$C$34*G42)</f>
        <v>3800</v>
      </c>
      <c r="H43" s="57" t="n">
        <f aca="false">IF(H$5="A",Inputs_Actuals!H85,Assumptions!$C$34*H42)</f>
        <v>0</v>
      </c>
      <c r="I43" s="57" t="n">
        <f aca="false">IF(I$5="A",Inputs_Actuals!I85,Assumptions!$C$34*I42)</f>
        <v>0</v>
      </c>
      <c r="J43" s="57" t="n">
        <f aca="false">IF(J$5="A",Inputs_Actuals!J85,Assumptions!$C$34*J42)</f>
        <v>0</v>
      </c>
      <c r="K43" s="57" t="n">
        <f aca="false">IF(K$5="A",Inputs_Actuals!K85,Assumptions!$C$34*K42)</f>
        <v>0</v>
      </c>
      <c r="L43" s="57" t="n">
        <f aca="false">IF(L$5="A",Inputs_Actuals!L85,Assumptions!$C$34*L42)</f>
        <v>0</v>
      </c>
      <c r="M43" s="57" t="n">
        <f aca="false">IF(M$5="A",Inputs_Actuals!M85,Assumptions!$C$34*M42)</f>
        <v>72.4352433116725</v>
      </c>
      <c r="N43" s="57" t="n">
        <f aca="false">IF(N$5="A",Inputs_Actuals!N85,Assumptions!$C$34*N42)</f>
        <v>83.898677920835</v>
      </c>
      <c r="O43" s="57" t="n">
        <f aca="false">IF(O$5="A",Inputs_Actuals!O85,Assumptions!$C$34*O42)</f>
        <v>121.184113183105</v>
      </c>
      <c r="P43" s="57" t="n">
        <f aca="false">IF(P$5="A",Inputs_Actuals!P85,Assumptions!$C$34*P42)</f>
        <v>108.379936292351</v>
      </c>
      <c r="Q43" s="57" t="n">
        <f aca="false">IF(Q$5="A",Inputs_Actuals!Q85,Assumptions!$C$34*Q42)</f>
        <v>69.1639384348353</v>
      </c>
      <c r="R43" s="57" t="n">
        <f aca="false">IF(R$5="A",Inputs_Actuals!R85,Assumptions!$C$34*R42)</f>
        <v>65.8890939203642</v>
      </c>
      <c r="S43" s="57" t="n">
        <f aca="false">IF(S$5="A",Inputs_Actuals!S85,Assumptions!$C$34*S42)</f>
        <v>75.9171231119991</v>
      </c>
      <c r="T43" s="57" t="n">
        <f aca="false">IF(T$5="A",Inputs_Actuals!T85,Assumptions!$C$34*T42)</f>
        <v>80.3499939286267</v>
      </c>
      <c r="U43" s="57" t="n">
        <f aca="false">IF(U$5="A",Inputs_Actuals!U85,Assumptions!$C$34*U42)</f>
        <v>86.7295743111081</v>
      </c>
      <c r="V43" s="57" t="n">
        <f aca="false">IF(V$5="A",Inputs_Actuals!V85,Assumptions!$C$34*V42)</f>
        <v>86.1263718054156</v>
      </c>
      <c r="W43" s="57" t="n">
        <f aca="false">IF(W$5="A",Inputs_Actuals!W85,Assumptions!$C$34*W42)</f>
        <v>83.5911376867471</v>
      </c>
      <c r="X43" s="57" t="n">
        <f aca="false">IF(X$5="A",Inputs_Actuals!X85,Assumptions!$C$34*X42)</f>
        <v>83.7413503251638</v>
      </c>
      <c r="Y43" s="57" t="n">
        <f aca="false">IF(Y$5="A",Inputs_Actuals!Y85,Assumptions!$C$34*Y42)</f>
        <v>96.5310521865141</v>
      </c>
      <c r="Z43" s="57" t="n">
        <f aca="false">IF(Z$5="A",Inputs_Actuals!Z85,Assumptions!$C$34*Z42)</f>
        <v>111.907719460834</v>
      </c>
      <c r="AA43" s="57" t="n">
        <f aca="false">IF(AA$5="A",Inputs_Actuals!AA85,Assumptions!$C$34*AA42)</f>
        <v>161.787712546324</v>
      </c>
      <c r="AB43" s="57" t="n">
        <f aca="false">IF(AB$5="A",Inputs_Actuals!AB85,Assumptions!$C$34*AB42)</f>
        <v>144.827435609519</v>
      </c>
    </row>
    <row r="44" customFormat="false" ht="15" hidden="false" customHeight="true" outlineLevel="0" collapsed="false">
      <c r="A44" s="70" t="s">
        <v>819</v>
      </c>
      <c r="B44" s="71" t="s">
        <v>820</v>
      </c>
      <c r="C44" s="72" t="n">
        <f aca="false">P44</f>
        <v>55777.3697055124</v>
      </c>
      <c r="D44" s="72" t="n">
        <f aca="false">AB44</f>
        <v>116796.319039935</v>
      </c>
      <c r="E44" s="72" t="n">
        <f aca="false">E37+E38+E40+E41-E42-E43</f>
        <v>124419.594492567</v>
      </c>
      <c r="F44" s="72" t="n">
        <f aca="false">F37+F38+F40+F41-F42-F43</f>
        <v>158939.799712103</v>
      </c>
      <c r="G44" s="72" t="n">
        <f aca="false">G37+G38+G40+G41-G42-G43</f>
        <v>135212.979211086</v>
      </c>
      <c r="H44" s="72" t="n">
        <f aca="false">H37+H38+H40+H41-H42-H43</f>
        <v>113955.342611512</v>
      </c>
      <c r="I44" s="72" t="n">
        <f aca="false">I37+I38+I40+I41-I42-I43</f>
        <v>148659.931101921</v>
      </c>
      <c r="J44" s="72" t="n">
        <f aca="false">J37+J38+J40+J41-J42-J43</f>
        <v>128287.135676592</v>
      </c>
      <c r="K44" s="72" t="n">
        <f aca="false">K37+K38+K40+K41-K42-K43</f>
        <v>107850.730840846</v>
      </c>
      <c r="L44" s="72" t="n">
        <f aca="false">L37+L38+L40+L41-L42-L43</f>
        <v>86781.7278082963</v>
      </c>
      <c r="M44" s="72" t="n">
        <f aca="false">M37+M38+M40+M41-M42-M43</f>
        <v>135788.143359079</v>
      </c>
      <c r="N44" s="72" t="n">
        <f aca="false">N37+N38+N40+N41-N42-N43</f>
        <v>109063.898035554</v>
      </c>
      <c r="O44" s="72" t="n">
        <f aca="false">O37+O38+O40+O41-O42-O43</f>
        <v>70464.4602908942</v>
      </c>
      <c r="P44" s="72" t="n">
        <f aca="false">P37+P38+P40+P41-P42-P43</f>
        <v>55777.3697055124</v>
      </c>
      <c r="Q44" s="72" t="n">
        <f aca="false">Q37+Q38+Q40+Q41-Q42-Q43</f>
        <v>58829.5481431823</v>
      </c>
      <c r="R44" s="72" t="n">
        <f aca="false">R37+R38+R40+R41-R42-R43</f>
        <v>61223.4863806444</v>
      </c>
      <c r="S44" s="72" t="n">
        <f aca="false">S37+S38+S40+S41-S42-S43</f>
        <v>66958.3282738556</v>
      </c>
      <c r="T44" s="72" t="n">
        <f aca="false">T37+T38+T40+T41-T42-T43</f>
        <v>69943.2050896033</v>
      </c>
      <c r="U44" s="72" t="n">
        <f aca="false">U37+U38+U40+U41-U42-U43</f>
        <v>71771.976504513</v>
      </c>
      <c r="V44" s="72" t="n">
        <f aca="false">V37+V38+V40+V41-V42-V43</f>
        <v>67412.2078118928</v>
      </c>
      <c r="W44" s="72" t="n">
        <f aca="false">W37+W38+W40+W41-W42-W43</f>
        <v>67533.3470364224</v>
      </c>
      <c r="X44" s="72" t="n">
        <f aca="false">X37+X38+X40+X41-X42-X43</f>
        <v>80442.5434887618</v>
      </c>
      <c r="Y44" s="72" t="n">
        <f aca="false">Y37+Y38+Y40+Y41-Y42-Y43</f>
        <v>90248.1608555111</v>
      </c>
      <c r="Z44" s="72" t="n">
        <f aca="false">Z37+Z38+Z40+Z41-Z42-Z43</f>
        <v>134823.093788603</v>
      </c>
      <c r="AA44" s="72" t="n">
        <f aca="false">AA37+AA38+AA40+AA41-AA42-AA43</f>
        <v>116796.319039935</v>
      </c>
      <c r="AB44" s="72" t="n">
        <f aca="false">AB37+AB38+AB40+AB41-AB42-AB43</f>
        <v>116796.319039935</v>
      </c>
    </row>
    <row r="45" customFormat="false" ht="15" hidden="false" customHeight="true" outlineLevel="0" collapsed="false">
      <c r="A45" s="28" t="s">
        <v>821</v>
      </c>
      <c r="B45" s="55" t="s">
        <v>315</v>
      </c>
      <c r="C45" s="66" t="n">
        <f aca="false">P45</f>
        <v>47.8621372190154</v>
      </c>
      <c r="D45" s="66" t="n">
        <f aca="false">AB45</f>
        <v>75</v>
      </c>
      <c r="E45" s="67" t="n">
        <f aca="false">IF(E42=0,0,E44/E42*Assumptions!E$67)</f>
        <v>209.83082615463</v>
      </c>
      <c r="F45" s="67" t="n">
        <f aca="false">IF(F42=0,0,F44/F42*Assumptions!F$67)</f>
        <v>260.12589156608</v>
      </c>
      <c r="G45" s="67" t="n">
        <f aca="false">IF(G42=0,0,G44/G42*Assumptions!G$67)</f>
        <v>200.365125299533</v>
      </c>
      <c r="H45" s="67" t="n">
        <f aca="false">IF(H42=0,0,H44/H42*Assumptions!H$67)</f>
        <v>154.017363853878</v>
      </c>
      <c r="I45" s="67" t="n">
        <f aca="false">IF(I42=0,0,I44/I42*Assumptions!I$67)</f>
        <v>195.062045584432</v>
      </c>
      <c r="J45" s="67" t="n">
        <f aca="false">IF(J42=0,0,J44/J42*Assumptions!J$67)</f>
        <v>179.080936055681</v>
      </c>
      <c r="K45" s="67" t="n">
        <f aca="false">IF(K42=0,0,K44/K42*Assumptions!K$67)</f>
        <v>156.12935091735</v>
      </c>
      <c r="L45" s="67" t="n">
        <f aca="false">IF(L42=0,0,L44/L42*Assumptions!L$67)</f>
        <v>121.586212599992</v>
      </c>
      <c r="M45" s="67" t="n">
        <f aca="false">IF(M42=0,0,M44/M42*Assumptions!M$67)</f>
        <v>168.715287525621</v>
      </c>
      <c r="N45" s="67" t="n">
        <f aca="false">IF(N42=0,0,N44/N42*Assumptions!N$67)</f>
        <v>120.895141242598</v>
      </c>
      <c r="O45" s="67" t="n">
        <f aca="false">IF(O42=0,0,O44/O42*Assumptions!O$67)</f>
        <v>52.3319539137792</v>
      </c>
      <c r="P45" s="67" t="n">
        <f aca="false">IF(P42=0,0,P44/P42*Assumptions!P$67)</f>
        <v>47.8621372190154</v>
      </c>
      <c r="Q45" s="67" t="n">
        <f aca="false">IF(Q42=0,0,Q44/Q42*Assumptions!Q$67)</f>
        <v>79.104054817103</v>
      </c>
      <c r="R45" s="67" t="n">
        <f aca="false">IF(R42=0,0,R44/R42*Assumptions!R$67)</f>
        <v>78.0519589811003</v>
      </c>
      <c r="S45" s="67" t="n">
        <f aca="false">IF(S42=0,0,S44/S42*Assumptions!S$67)</f>
        <v>82.0252964575832</v>
      </c>
      <c r="T45" s="67" t="n">
        <f aca="false">IF(T42=0,0,T44/T42*Assumptions!T$67)</f>
        <v>78.3433594737533</v>
      </c>
      <c r="U45" s="67" t="n">
        <f aca="false">IF(U42=0,0,U44/U42*Assumptions!U$67)</f>
        <v>76.9609890044718</v>
      </c>
      <c r="V45" s="67" t="n">
        <f aca="false">IF(V42=0,0,V44/V42*Assumptions!V$67)</f>
        <v>70.4441459205745</v>
      </c>
      <c r="W45" s="67" t="n">
        <f aca="false">IF(W42=0,0,W44/W42*Assumptions!W$67)</f>
        <v>75.1347744293597</v>
      </c>
      <c r="X45" s="67" t="n">
        <f aca="false">IF(X42=0,0,X44/X42*Assumptions!X$67)</f>
        <v>89.3364689655213</v>
      </c>
      <c r="Y45" s="67" t="n">
        <f aca="false">IF(Y42=0,0,Y44/Y42*Assumptions!Y$67)</f>
        <v>84.1421935534515</v>
      </c>
      <c r="Z45" s="67" t="n">
        <f aca="false">IF(Z42=0,0,Z44/Z42*Assumptions!Z$67)</f>
        <v>112.043635441328</v>
      </c>
      <c r="AA45" s="67" t="n">
        <f aca="false">IF(AA42=0,0,AA44/AA42*Assumptions!AA$67)</f>
        <v>64.9719842635416</v>
      </c>
      <c r="AB45" s="67" t="n">
        <f aca="false">IF(AB42=0,0,AB44/AB42*Assumptions!AB$67)</f>
        <v>75</v>
      </c>
    </row>
    <row r="46" customFormat="false" ht="15" hidden="false" customHeight="true" outlineLevel="0" collapsed="false">
      <c r="A46" s="28" t="s">
        <v>822</v>
      </c>
      <c r="B46" s="55" t="s">
        <v>315</v>
      </c>
      <c r="E46" s="69" t="n">
        <f aca="false">AVERAGE(E42:E42)</f>
        <v>18381.51</v>
      </c>
      <c r="F46" s="69" t="n">
        <f aca="false">AVERAGE(E42:F42)</f>
        <v>17744.91</v>
      </c>
      <c r="G46" s="69" t="n">
        <f aca="false">AVERAGE(E42:G42)</f>
        <v>18803.2133333333</v>
      </c>
      <c r="H46" s="69" t="n">
        <f aca="false">AVERAGE(F42:H42)</f>
        <v>20074.9066666667</v>
      </c>
      <c r="I46" s="69" t="n">
        <f aca="false">AVERAGE(G42:I42)</f>
        <v>22247.3366666667</v>
      </c>
      <c r="J46" s="69" t="n">
        <f aca="false">AVERAGE(H42:J42)</f>
        <v>22437.7033333333</v>
      </c>
      <c r="K46" s="69" t="n">
        <f aca="false">AVERAGE(I42:K42)</f>
        <v>22176.88</v>
      </c>
      <c r="L46" s="69" t="n">
        <f aca="false">AVERAGE(J42:L42)</f>
        <v>21677.06</v>
      </c>
      <c r="M46" s="69" t="n">
        <f aca="false">AVERAGE(K42:M42)</f>
        <v>22561.7803679636</v>
      </c>
      <c r="N46" s="69" t="n">
        <f aca="false">AVERAGE(L42:N42)</f>
        <v>24745.8156925008</v>
      </c>
      <c r="O46" s="69" t="n">
        <f aca="false">AVERAGE(M42:O42)</f>
        <v>30835.3371572903</v>
      </c>
      <c r="P46" s="69" t="n">
        <f aca="false">AVERAGE(N42:P42)</f>
        <v>34829.1919329213</v>
      </c>
      <c r="Q46" s="69" t="n">
        <f aca="false">AVERAGE(O42:Q42)</f>
        <v>33191.9986566991</v>
      </c>
      <c r="R46" s="69" t="n">
        <f aca="false">AVERAGE(P42:R42)</f>
        <v>27048.1076275056</v>
      </c>
      <c r="S46" s="69" t="n">
        <f aca="false">AVERAGE(Q42:S42)</f>
        <v>23441.1283852443</v>
      </c>
      <c r="T46" s="69" t="n">
        <f aca="false">AVERAGE(R42:T42)</f>
        <v>24684.02344011</v>
      </c>
      <c r="U46" s="69" t="n">
        <f aca="false">AVERAGE(S42:U42)</f>
        <v>26999.6323724149</v>
      </c>
      <c r="V46" s="69" t="n">
        <f aca="false">AVERAGE(T42:V42)</f>
        <v>28133.99333835</v>
      </c>
      <c r="W46" s="69" t="n">
        <f aca="false">AVERAGE(U42:W42)</f>
        <v>28494.1204225856</v>
      </c>
      <c r="X46" s="69" t="n">
        <f aca="false">AVERAGE(V42:X42)</f>
        <v>28162.0955352585</v>
      </c>
      <c r="Y46" s="69" t="n">
        <f aca="false">AVERAGE(W42:Y42)</f>
        <v>29318.1711331583</v>
      </c>
      <c r="Z46" s="69" t="n">
        <f aca="false">AVERAGE(X42:Z42)</f>
        <v>32464.4579969457</v>
      </c>
      <c r="AA46" s="69" t="n">
        <f aca="false">AVERAGE(Y42:AA42)</f>
        <v>41136.276021519</v>
      </c>
      <c r="AB46" s="69" t="n">
        <f aca="false">AVERAGE(Z42:AB42)</f>
        <v>46502.5408462974</v>
      </c>
    </row>
    <row r="47" customFormat="false" ht="15" hidden="false" customHeight="true" outlineLevel="0" collapsed="false">
      <c r="A47" s="28" t="s">
        <v>823</v>
      </c>
      <c r="B47" s="55" t="s">
        <v>71</v>
      </c>
      <c r="C47" s="56" t="n">
        <f aca="false">P47</f>
        <v>0</v>
      </c>
      <c r="D47" s="56" t="n">
        <f aca="false">AB47</f>
        <v>0</v>
      </c>
      <c r="E47" s="57" t="n">
        <f aca="false">MAX(0,E44-Assumptions!$C$32*E46)</f>
        <v>0</v>
      </c>
      <c r="F47" s="57" t="n">
        <f aca="false">MAX(0,F44-Assumptions!$C$32*F46)</f>
        <v>34725.4297121028</v>
      </c>
      <c r="G47" s="57" t="n">
        <f aca="false">MAX(0,G44-Assumptions!$C$32*G46)</f>
        <v>3590.48587775286</v>
      </c>
      <c r="H47" s="57" t="n">
        <f aca="false">MAX(0,H44-Assumptions!$C$32*H46)</f>
        <v>0</v>
      </c>
      <c r="I47" s="57" t="n">
        <f aca="false">MAX(0,I44-Assumptions!$C$32*I46)</f>
        <v>0</v>
      </c>
      <c r="J47" s="57" t="n">
        <f aca="false">MAX(0,J44-Assumptions!$C$32*J46)</f>
        <v>0</v>
      </c>
      <c r="K47" s="57" t="n">
        <f aca="false">MAX(0,K44-Assumptions!$C$32*K46)</f>
        <v>0</v>
      </c>
      <c r="L47" s="57" t="n">
        <f aca="false">MAX(0,L44-Assumptions!$C$32*L46)</f>
        <v>0</v>
      </c>
      <c r="M47" s="57" t="n">
        <f aca="false">MAX(0,M44-Assumptions!$C$32*M46)</f>
        <v>0</v>
      </c>
      <c r="N47" s="57" t="n">
        <f aca="false">MAX(0,N44-Assumptions!$C$32*N46)</f>
        <v>0</v>
      </c>
      <c r="O47" s="57" t="n">
        <f aca="false">MAX(0,O44-Assumptions!$C$32*O46)</f>
        <v>0</v>
      </c>
      <c r="P47" s="57" t="n">
        <f aca="false">MAX(0,P44-Assumptions!$C$32*P46)</f>
        <v>0</v>
      </c>
      <c r="Q47" s="57" t="n">
        <f aca="false">MAX(0,Q44-Assumptions!$C$32*Q46)</f>
        <v>0</v>
      </c>
      <c r="R47" s="57" t="n">
        <f aca="false">MAX(0,R44-Assumptions!$C$32*R46)</f>
        <v>0</v>
      </c>
      <c r="S47" s="57" t="n">
        <f aca="false">MAX(0,S44-Assumptions!$C$32*S46)</f>
        <v>0</v>
      </c>
      <c r="T47" s="57" t="n">
        <f aca="false">MAX(0,T44-Assumptions!$C$32*T46)</f>
        <v>0</v>
      </c>
      <c r="U47" s="57" t="n">
        <f aca="false">MAX(0,U44-Assumptions!$C$32*U46)</f>
        <v>0</v>
      </c>
      <c r="V47" s="57" t="n">
        <f aca="false">MAX(0,V44-Assumptions!$C$32*V46)</f>
        <v>0</v>
      </c>
      <c r="W47" s="57" t="n">
        <f aca="false">MAX(0,W44-Assumptions!$C$32*W46)</f>
        <v>0</v>
      </c>
      <c r="X47" s="57" t="n">
        <f aca="false">MAX(0,X44-Assumptions!$C$32*X46)</f>
        <v>0</v>
      </c>
      <c r="Y47" s="57" t="n">
        <f aca="false">MAX(0,Y44-Assumptions!$C$32*Y46)</f>
        <v>0</v>
      </c>
      <c r="Z47" s="57" t="n">
        <f aca="false">MAX(0,Z44-Assumptions!$C$32*Z46)</f>
        <v>0</v>
      </c>
      <c r="AA47" s="57" t="n">
        <f aca="false">MAX(0,AA44-Assumptions!$C$32*AA46)</f>
        <v>0</v>
      </c>
      <c r="AB47" s="57" t="n">
        <f aca="false">MAX(0,AB44-Assumptions!$C$32*AB46)</f>
        <v>0</v>
      </c>
    </row>
    <row r="48" customFormat="false" ht="15" hidden="false" customHeight="true" outlineLevel="0" collapsed="false">
      <c r="A48" s="28" t="s">
        <v>824</v>
      </c>
      <c r="B48" s="55" t="s">
        <v>825</v>
      </c>
      <c r="C48" s="56" t="n">
        <f aca="false">P48</f>
        <v>0</v>
      </c>
      <c r="D48" s="56" t="n">
        <f aca="false">AB48</f>
        <v>0</v>
      </c>
      <c r="E48" s="57" t="n">
        <f aca="false">Assumptions!$C$33*E47</f>
        <v>0</v>
      </c>
      <c r="F48" s="57" t="n">
        <f aca="false">Assumptions!$C$33*F47</f>
        <v>8681.35742802569</v>
      </c>
      <c r="G48" s="57" t="n">
        <f aca="false">Assumptions!$C$33*G47</f>
        <v>897.621469438214</v>
      </c>
      <c r="H48" s="57" t="n">
        <f aca="false">Assumptions!$C$33*H47</f>
        <v>0</v>
      </c>
      <c r="I48" s="57" t="n">
        <f aca="false">Assumptions!$C$33*I47</f>
        <v>0</v>
      </c>
      <c r="J48" s="57" t="n">
        <f aca="false">Assumptions!$C$33*J47</f>
        <v>0</v>
      </c>
      <c r="K48" s="57" t="n">
        <f aca="false">Assumptions!$C$33*K47</f>
        <v>0</v>
      </c>
      <c r="L48" s="57" t="n">
        <f aca="false">Assumptions!$C$33*L47</f>
        <v>0</v>
      </c>
      <c r="M48" s="57" t="n">
        <f aca="false">Assumptions!$C$33*M47</f>
        <v>0</v>
      </c>
      <c r="N48" s="57" t="n">
        <f aca="false">Assumptions!$C$33*N47</f>
        <v>0</v>
      </c>
      <c r="O48" s="57" t="n">
        <f aca="false">Assumptions!$C$33*O47</f>
        <v>0</v>
      </c>
      <c r="P48" s="57" t="n">
        <f aca="false">Assumptions!$C$33*P47</f>
        <v>0</v>
      </c>
      <c r="Q48" s="57" t="n">
        <f aca="false">Assumptions!$C$33*Q47</f>
        <v>0</v>
      </c>
      <c r="R48" s="57" t="n">
        <f aca="false">Assumptions!$C$33*R47</f>
        <v>0</v>
      </c>
      <c r="S48" s="57" t="n">
        <f aca="false">Assumptions!$C$33*S47</f>
        <v>0</v>
      </c>
      <c r="T48" s="57" t="n">
        <f aca="false">Assumptions!$C$33*T47</f>
        <v>0</v>
      </c>
      <c r="U48" s="57" t="n">
        <f aca="false">Assumptions!$C$33*U47</f>
        <v>0</v>
      </c>
      <c r="V48" s="57" t="n">
        <f aca="false">Assumptions!$C$33*V47</f>
        <v>0</v>
      </c>
      <c r="W48" s="57" t="n">
        <f aca="false">Assumptions!$C$33*W47</f>
        <v>0</v>
      </c>
      <c r="X48" s="57" t="n">
        <f aca="false">Assumptions!$C$33*X47</f>
        <v>0</v>
      </c>
      <c r="Y48" s="57" t="n">
        <f aca="false">Assumptions!$C$33*Y47</f>
        <v>0</v>
      </c>
      <c r="Z48" s="57" t="n">
        <f aca="false">Assumptions!$C$33*Z47</f>
        <v>0</v>
      </c>
      <c r="AA48" s="57" t="n">
        <f aca="false">Assumptions!$C$33*AA47</f>
        <v>0</v>
      </c>
      <c r="AB48" s="57" t="n">
        <f aca="false">Assumptions!$C$33*AB47</f>
        <v>0</v>
      </c>
    </row>
    <row r="50" customFormat="false" ht="15" hidden="false" customHeight="true" outlineLevel="0" collapsed="false">
      <c r="A50" s="22" t="s">
        <v>746</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row>
    <row r="51" customFormat="false" ht="15" hidden="false" customHeight="true" outlineLevel="0" collapsed="false">
      <c r="A51" s="28" t="s">
        <v>808</v>
      </c>
      <c r="B51" s="55" t="s">
        <v>809</v>
      </c>
      <c r="E51" s="57" t="n">
        <f aca="false">Inputs_Actuals!$C$119</f>
        <v>121000</v>
      </c>
      <c r="F51" s="69" t="n">
        <f aca="false">E58</f>
        <v>178968.55310212</v>
      </c>
      <c r="G51" s="69" t="n">
        <f aca="false">F58</f>
        <v>165630.575755914</v>
      </c>
      <c r="H51" s="69" t="n">
        <f aca="false">G58</f>
        <v>150136.203477202</v>
      </c>
      <c r="I51" s="69" t="n">
        <f aca="false">H58</f>
        <v>133834.347400266</v>
      </c>
      <c r="J51" s="69" t="n">
        <f aca="false">I58</f>
        <v>115054.564020147</v>
      </c>
      <c r="K51" s="69" t="n">
        <f aca="false">J58</f>
        <v>161831.892025933</v>
      </c>
      <c r="L51" s="69" t="n">
        <f aca="false">K58</f>
        <v>142086.475706871</v>
      </c>
      <c r="M51" s="69" t="n">
        <f aca="false">L58</f>
        <v>124395.037098237</v>
      </c>
      <c r="N51" s="69" t="n">
        <f aca="false">M58</f>
        <v>104558.810923845</v>
      </c>
      <c r="O51" s="69" t="n">
        <f aca="false">N58</f>
        <v>175794.409478911</v>
      </c>
      <c r="P51" s="69" t="n">
        <f aca="false">O58</f>
        <v>142524.309581979</v>
      </c>
      <c r="Q51" s="69" t="n">
        <f aca="false">P58</f>
        <v>112731.198712635</v>
      </c>
      <c r="R51" s="69" t="n">
        <f aca="false">Q58</f>
        <v>168093.6416591</v>
      </c>
      <c r="S51" s="69" t="n">
        <f aca="false">R58</f>
        <v>149933.65115356</v>
      </c>
      <c r="T51" s="69" t="n">
        <f aca="false">S58</f>
        <v>128981.98899624</v>
      </c>
      <c r="U51" s="69" t="n">
        <f aca="false">T58</f>
        <v>106777.163474156</v>
      </c>
      <c r="V51" s="69" t="n">
        <f aca="false">U58</f>
        <v>82776.8087189782</v>
      </c>
      <c r="W51" s="69" t="n">
        <f aca="false">V58</f>
        <v>58910.694483822</v>
      </c>
      <c r="X51" s="69" t="n">
        <f aca="false">W58</f>
        <v>58809.7861645656</v>
      </c>
      <c r="Y51" s="69" t="n">
        <f aca="false">X58</f>
        <v>70153.8913627884</v>
      </c>
      <c r="Z51" s="69" t="n">
        <f aca="false">Y58</f>
        <v>78821.654453435</v>
      </c>
      <c r="AA51" s="69" t="n">
        <f aca="false">Z58</f>
        <v>117928.636111367</v>
      </c>
      <c r="AB51" s="69" t="n">
        <f aca="false">AA58</f>
        <v>102314.820290609</v>
      </c>
    </row>
    <row r="52" customFormat="false" ht="15" hidden="false" customHeight="true" outlineLevel="0" collapsed="false">
      <c r="A52" s="28" t="s">
        <v>810</v>
      </c>
      <c r="B52" s="55" t="s">
        <v>811</v>
      </c>
      <c r="C52" s="56" t="n">
        <f aca="false">SUM(E52:P52)</f>
        <v>230640</v>
      </c>
      <c r="D52" s="56" t="n">
        <f aca="false">SUM(Q52:AB52)</f>
        <v>74400</v>
      </c>
      <c r="E52" s="57" t="n">
        <f aca="false">SUMIFS(Purchase_Orders!$N$6:$N$24,Purchase_Orders!$R$6:$R$24,Assumptions!E$61,Purchase_Orders!$C$6:$C$24,"Tableware")</f>
        <v>71920</v>
      </c>
      <c r="F52" s="57" t="n">
        <f aca="false">SUMIFS(Purchase_Orders!$N$6:$N$24,Purchase_Orders!$R$6:$R$24,Assumptions!F$61,Purchase_Orders!$C$6:$C$24,"Tableware")</f>
        <v>0</v>
      </c>
      <c r="G52" s="57" t="n">
        <f aca="false">SUMIFS(Purchase_Orders!$N$6:$N$24,Purchase_Orders!$R$6:$R$24,Assumptions!G$61,Purchase_Orders!$C$6:$C$24,"Tableware")</f>
        <v>0</v>
      </c>
      <c r="H52" s="57" t="n">
        <f aca="false">SUMIFS(Purchase_Orders!$N$6:$N$24,Purchase_Orders!$R$6:$R$24,Assumptions!H$61,Purchase_Orders!$C$6:$C$24,"Tableware")</f>
        <v>0</v>
      </c>
      <c r="I52" s="57" t="n">
        <f aca="false">SUMIFS(Purchase_Orders!$N$6:$N$24,Purchase_Orders!$R$6:$R$24,Assumptions!I$61,Purchase_Orders!$C$6:$C$24,"Tableware")</f>
        <v>0</v>
      </c>
      <c r="J52" s="57" t="n">
        <f aca="false">SUMIFS(Purchase_Orders!$N$6:$N$24,Purchase_Orders!$R$6:$R$24,Assumptions!J$61,Purchase_Orders!$C$6:$C$24,"Tableware")</f>
        <v>64480</v>
      </c>
      <c r="K52" s="57" t="n">
        <f aca="false">SUMIFS(Purchase_Orders!$N$6:$N$24,Purchase_Orders!$R$6:$R$24,Assumptions!K$61,Purchase_Orders!$C$6:$C$24,"Tableware")</f>
        <v>0</v>
      </c>
      <c r="L52" s="57" t="n">
        <f aca="false">SUMIFS(Purchase_Orders!$N$6:$N$24,Purchase_Orders!$R$6:$R$24,Assumptions!L$61,Purchase_Orders!$C$6:$C$24,"Tableware")</f>
        <v>0</v>
      </c>
      <c r="M52" s="57" t="n">
        <f aca="false">SUMIFS(Purchase_Orders!$N$6:$N$24,Purchase_Orders!$R$6:$R$24,Assumptions!M$61,Purchase_Orders!$C$6:$C$24,"Tableware")</f>
        <v>0</v>
      </c>
      <c r="N52" s="57" t="n">
        <f aca="false">SUMIFS(Purchase_Orders!$N$6:$N$24,Purchase_Orders!$R$6:$R$24,Assumptions!N$61,Purchase_Orders!$C$6:$C$24,"Tableware")</f>
        <v>94240</v>
      </c>
      <c r="O52" s="57" t="n">
        <f aca="false">SUMIFS(Purchase_Orders!$N$6:$N$24,Purchase_Orders!$R$6:$R$24,Assumptions!O$61,Purchase_Orders!$C$6:$C$24,"Tableware")</f>
        <v>0</v>
      </c>
      <c r="P52" s="57" t="n">
        <f aca="false">SUMIFS(Purchase_Orders!$N$6:$N$24,Purchase_Orders!$R$6:$R$24,Assumptions!P$61,Purchase_Orders!$C$6:$C$24,"Tableware")</f>
        <v>0</v>
      </c>
      <c r="Q52" s="57" t="n">
        <f aca="false">SUMIFS(Purchase_Orders!$N$6:$N$24,Purchase_Orders!$R$6:$R$24,Assumptions!Q$61,Purchase_Orders!$C$6:$C$24,"Tableware")</f>
        <v>74400</v>
      </c>
      <c r="R52" s="57" t="n">
        <f aca="false">SUMIFS(Purchase_Orders!$N$6:$N$24,Purchase_Orders!$R$6:$R$24,Assumptions!R$61,Purchase_Orders!$C$6:$C$24,"Tableware")</f>
        <v>0</v>
      </c>
      <c r="S52" s="57" t="n">
        <f aca="false">SUMIFS(Purchase_Orders!$N$6:$N$24,Purchase_Orders!$R$6:$R$24,Assumptions!S$61,Purchase_Orders!$C$6:$C$24,"Tableware")</f>
        <v>0</v>
      </c>
      <c r="T52" s="57" t="n">
        <f aca="false">SUMIFS(Purchase_Orders!$N$6:$N$24,Purchase_Orders!$R$6:$R$24,Assumptions!T$61,Purchase_Orders!$C$6:$C$24,"Tableware")</f>
        <v>0</v>
      </c>
      <c r="U52" s="57" t="n">
        <f aca="false">SUMIFS(Purchase_Orders!$N$6:$N$24,Purchase_Orders!$R$6:$R$24,Assumptions!U$61,Purchase_Orders!$C$6:$C$24,"Tableware")</f>
        <v>0</v>
      </c>
      <c r="V52" s="57" t="n">
        <f aca="false">SUMIFS(Purchase_Orders!$N$6:$N$24,Purchase_Orders!$R$6:$R$24,Assumptions!V$61,Purchase_Orders!$C$6:$C$24,"Tableware")</f>
        <v>0</v>
      </c>
      <c r="W52" s="57" t="n">
        <f aca="false">SUMIFS(Purchase_Orders!$N$6:$N$24,Purchase_Orders!$R$6:$R$24,Assumptions!W$61,Purchase_Orders!$C$6:$C$24,"Tableware")</f>
        <v>0</v>
      </c>
      <c r="X52" s="57" t="n">
        <f aca="false">SUMIFS(Purchase_Orders!$N$6:$N$24,Purchase_Orders!$R$6:$R$24,Assumptions!X$61,Purchase_Orders!$C$6:$C$24,"Tableware")</f>
        <v>0</v>
      </c>
      <c r="Y52" s="57" t="n">
        <f aca="false">SUMIFS(Purchase_Orders!$N$6:$N$24,Purchase_Orders!$R$6:$R$24,Assumptions!Y$61,Purchase_Orders!$C$6:$C$24,"Tableware")</f>
        <v>0</v>
      </c>
      <c r="Z52" s="57" t="n">
        <f aca="false">SUMIFS(Purchase_Orders!$N$6:$N$24,Purchase_Orders!$R$6:$R$24,Assumptions!Z$61,Purchase_Orders!$C$6:$C$24,"Tableware")</f>
        <v>0</v>
      </c>
      <c r="AA52" s="57" t="n">
        <f aca="false">SUMIFS(Purchase_Orders!$N$6:$N$24,Purchase_Orders!$R$6:$R$24,Assumptions!AA$61,Purchase_Orders!$C$6:$C$24,"Tableware")</f>
        <v>0</v>
      </c>
      <c r="AB52" s="57" t="n">
        <f aca="false">SUMIFS(Purchase_Orders!$N$6:$N$24,Purchase_Orders!$R$6:$R$24,Assumptions!AB$61,Purchase_Orders!$C$6:$C$24,"Tableware")</f>
        <v>0</v>
      </c>
    </row>
    <row r="53" customFormat="false" ht="15" hidden="false" customHeight="true" outlineLevel="0" collapsed="false">
      <c r="A53" s="28" t="s">
        <v>812</v>
      </c>
      <c r="B53" s="55" t="s">
        <v>813</v>
      </c>
      <c r="E53" s="57" t="n">
        <f aca="false">Assumptions!$F$116*F56/Assumptions!F$67</f>
        <v>37321.7142857143</v>
      </c>
      <c r="F53" s="57" t="n">
        <f aca="false">Assumptions!$F$116*G56/Assumptions!G$67</f>
        <v>39292.8387096774</v>
      </c>
      <c r="G53" s="57" t="n">
        <f aca="false">Assumptions!$F$116*H56/Assumptions!H$67</f>
        <v>42440.325</v>
      </c>
      <c r="H53" s="57" t="n">
        <f aca="false">Assumptions!$F$116*I56/Assumptions!I$67</f>
        <v>47429.5161290323</v>
      </c>
      <c r="I53" s="57" t="n">
        <f aca="false">Assumptions!$F$116*J56/Assumptions!J$67</f>
        <v>46509.45</v>
      </c>
      <c r="J53" s="57" t="n">
        <f aca="false">Assumptions!$F$116*K56/Assumptions!K$67</f>
        <v>44574.8225806452</v>
      </c>
      <c r="K53" s="57" t="n">
        <f aca="false">Assumptions!$F$116*L56/Assumptions!L$67</f>
        <v>44836.9838709678</v>
      </c>
      <c r="L53" s="57" t="n">
        <f aca="false">Assumptions!$F$116*M56/Assumptions!M$67</f>
        <v>51777.8308188533</v>
      </c>
      <c r="M53" s="57" t="n">
        <f aca="false">Assumptions!$F$116*N56/Assumptions!N$67</f>
        <v>58112.9778587801</v>
      </c>
      <c r="N53" s="57" t="n">
        <f aca="false">Assumptions!$F$116*O56/Assumptions!O$67</f>
        <v>86851.0010706267</v>
      </c>
      <c r="O53" s="57" t="n">
        <f aca="false">Assumptions!$F$116*P56/Assumptions!P$67</f>
        <v>75268.7133821625</v>
      </c>
      <c r="P53" s="57" t="n">
        <f aca="false">Assumptions!$F$116*Q56/Assumptions!Q$67</f>
        <v>48098.1616490036</v>
      </c>
      <c r="Q53" s="57" t="n">
        <f aca="false">Assumptions!$F$116*R56/Assumptions!R$67</f>
        <v>50799.0307902132</v>
      </c>
      <c r="R53" s="57" t="n">
        <f aca="false">Assumptions!$F$116*S56/Assumptions!S$67</f>
        <v>52938.7624969916</v>
      </c>
      <c r="S53" s="57" t="n">
        <f aca="false">Assumptions!$F$116*T56/Assumptions!T$67</f>
        <v>57977.9069159028</v>
      </c>
      <c r="T53" s="57" t="n">
        <f aca="false">Assumptions!$F$116*U56/Assumptions!U$67</f>
        <v>60647.3861445755</v>
      </c>
      <c r="U53" s="57" t="n">
        <f aca="false">Assumptions!$F$116*V56/Assumptions!V$67</f>
        <v>62321.3069458928</v>
      </c>
      <c r="V53" s="57" t="n">
        <f aca="false">Assumptions!$F$116*W56/Assumptions!W$67</f>
        <v>58619.4550394969</v>
      </c>
      <c r="W53" s="57" t="n">
        <f aca="false">Assumptions!$F$116*X56/Assumptions!X$67</f>
        <v>58809.7861645656</v>
      </c>
      <c r="X53" s="57" t="n">
        <f aca="false">Assumptions!$F$116*Y56/Assumptions!Y$67</f>
        <v>70153.8913627884</v>
      </c>
      <c r="Y53" s="57" t="n">
        <f aca="false">Assumptions!$F$116*Z56/Assumptions!Z$67</f>
        <v>78821.6544534349</v>
      </c>
      <c r="Z53" s="57" t="n">
        <f aca="false">Assumptions!$F$116*AA56/Assumptions!AA$67</f>
        <v>117928.636111367</v>
      </c>
      <c r="AA53" s="57" t="n">
        <f aca="false">Assumptions!$F$116*AB56/Assumptions!AB$67</f>
        <v>102314.820290609</v>
      </c>
      <c r="AB53" s="57" t="n">
        <f aca="false">Assumptions!$F$116*AB56/Assumptions!AB$67</f>
        <v>102314.820290609</v>
      </c>
    </row>
    <row r="54" customFormat="false" ht="15" hidden="false" customHeight="true" outlineLevel="0" collapsed="false">
      <c r="A54" s="28" t="s">
        <v>814</v>
      </c>
      <c r="B54" s="55" t="s">
        <v>815</v>
      </c>
      <c r="C54" s="56" t="n">
        <f aca="false">SUM(E54:P54)</f>
        <v>0</v>
      </c>
      <c r="D54" s="56" t="n">
        <f aca="false">SUM(Q54:AB54)</f>
        <v>233543.080871764</v>
      </c>
      <c r="E54" s="57" t="n">
        <f aca="false">IF(Assumptions!E$62&lt;=Assumptions!$C$10+Assumptions!$C$36,0,MAX(0,E53-E51-E55+E56+E57-E52))</f>
        <v>0</v>
      </c>
      <c r="F54" s="57" t="n">
        <f aca="false">IF(Assumptions!F$62&lt;=Assumptions!$C$10+Assumptions!$C$36,0,MAX(0,F53-F51-F55+F56+F57-F52))</f>
        <v>0</v>
      </c>
      <c r="G54" s="57" t="n">
        <f aca="false">IF(Assumptions!G$62&lt;=Assumptions!$C$10+Assumptions!$C$36,0,MAX(0,G53-G51-G55+G56+G57-G52))</f>
        <v>0</v>
      </c>
      <c r="H54" s="57" t="n">
        <f aca="false">IF(Assumptions!H$62&lt;=Assumptions!$C$10+Assumptions!$C$36,0,MAX(0,H53-H51-H55+H56+H57-H52))</f>
        <v>0</v>
      </c>
      <c r="I54" s="57" t="n">
        <f aca="false">IF(Assumptions!I$62&lt;=Assumptions!$C$10+Assumptions!$C$36,0,MAX(0,I53-I51-I55+I56+I57-I52))</f>
        <v>0</v>
      </c>
      <c r="J54" s="57" t="n">
        <f aca="false">IF(Assumptions!J$62&lt;=Assumptions!$C$10+Assumptions!$C$36,0,MAX(0,J53-J51-J55+J56+J57-J52))</f>
        <v>0</v>
      </c>
      <c r="K54" s="57" t="n">
        <f aca="false">IF(Assumptions!K$62&lt;=Assumptions!$C$10+Assumptions!$C$36,0,MAX(0,K53-K51-K55+K56+K57-K52))</f>
        <v>0</v>
      </c>
      <c r="L54" s="57" t="n">
        <f aca="false">IF(Assumptions!L$62&lt;=Assumptions!$C$10+Assumptions!$C$36,0,MAX(0,L53-L51-L55+L56+L57-L52))</f>
        <v>0</v>
      </c>
      <c r="M54" s="57" t="n">
        <f aca="false">IF(Assumptions!M$62&lt;=Assumptions!$C$10+Assumptions!$C$36,0,MAX(0,M53-M51-M55+M56+M57-M52))</f>
        <v>0</v>
      </c>
      <c r="N54" s="57" t="n">
        <f aca="false">IF(Assumptions!N$62&lt;=Assumptions!$C$10+Assumptions!$C$36,0,MAX(0,N53-N51-N55+N56+N57-N52))</f>
        <v>0</v>
      </c>
      <c r="O54" s="57" t="n">
        <f aca="false">IF(Assumptions!O$62&lt;=Assumptions!$C$10+Assumptions!$C$36,0,MAX(0,O53-O51-O55+O56+O57-O52))</f>
        <v>0</v>
      </c>
      <c r="P54" s="57" t="n">
        <f aca="false">IF(Assumptions!P$62&lt;=Assumptions!$C$10+Assumptions!$C$36,0,MAX(0,P53-P51-P55+P56+P57-P52))</f>
        <v>0</v>
      </c>
      <c r="Q54" s="57" t="n">
        <f aca="false">IF(Assumptions!Q$62&lt;=Assumptions!$C$10+Assumptions!$C$36,0,MAX(0,Q53-Q51-Q55+Q56+Q57-Q52))</f>
        <v>0</v>
      </c>
      <c r="R54" s="57" t="n">
        <f aca="false">IF(Assumptions!R$62&lt;=Assumptions!$C$10+Assumptions!$C$36,0,MAX(0,R53-R51-R55+R56+R57-R52))</f>
        <v>0</v>
      </c>
      <c r="S54" s="57" t="n">
        <f aca="false">IF(Assumptions!S$62&lt;=Assumptions!$C$10+Assumptions!$C$36,0,MAX(0,S53-S51-S55+S56+S57-S52))</f>
        <v>0</v>
      </c>
      <c r="T54" s="57" t="n">
        <f aca="false">IF(Assumptions!T$62&lt;=Assumptions!$C$10+Assumptions!$C$36,0,MAX(0,T53-T51-T55+T56+T57-T52))</f>
        <v>0</v>
      </c>
      <c r="U54" s="57" t="n">
        <f aca="false">IF(Assumptions!U$62&lt;=Assumptions!$C$10+Assumptions!$C$36,0,MAX(0,U53-U51-U55+U56+U57-U52))</f>
        <v>0</v>
      </c>
      <c r="V54" s="57" t="n">
        <f aca="false">IF(Assumptions!V$62&lt;=Assumptions!$C$10+Assumptions!$C$36,0,MAX(0,V53-V51-V55+V56+V57-V52))</f>
        <v>0</v>
      </c>
      <c r="W54" s="57" t="n">
        <f aca="false">IF(Assumptions!W$62&lt;=Assumptions!$C$10+Assumptions!$C$36,0,MAX(0,W53-W51-W55+W56+W57-W52))</f>
        <v>23094.7729297798</v>
      </c>
      <c r="X54" s="57" t="n">
        <f aca="false">IF(Assumptions!X$62&lt;=Assumptions!$C$10+Assumptions!$C$36,0,MAX(0,X53-X51-X55+X56+X57-X52))</f>
        <v>34614.0007249696</v>
      </c>
      <c r="Y54" s="57" t="n">
        <f aca="false">IF(Assumptions!Y$62&lt;=Assumptions!$C$10+Assumptions!$C$36,0,MAX(0,Y53-Y51-Y55+Y56+Y57-Y52))</f>
        <v>35529.5785195106</v>
      </c>
      <c r="Z54" s="57" t="n">
        <f aca="false">IF(Assumptions!Z$62&lt;=Assumptions!$C$10+Assumptions!$C$36,0,MAX(0,Z53-Z51-Z55+Z56+Z57-Z52))</f>
        <v>70292.1794641559</v>
      </c>
      <c r="AA54" s="57" t="n">
        <f aca="false">IF(Assumptions!AA$62&lt;=Assumptions!$C$10+Assumptions!$C$36,0,MAX(0,AA53-AA51-AA55+AA56+AA57-AA52))</f>
        <v>29536.4630956374</v>
      </c>
      <c r="AB54" s="57" t="n">
        <f aca="false">IF(Assumptions!AB$62&lt;=Assumptions!$C$10+Assumptions!$C$36,0,MAX(0,AB53-AB51-AB55+AB56+AB57-AB52))</f>
        <v>40476.0861377104</v>
      </c>
    </row>
    <row r="55" customFormat="false" ht="15" hidden="false" customHeight="true" outlineLevel="0" collapsed="false">
      <c r="A55" s="28" t="s">
        <v>816</v>
      </c>
      <c r="B55" s="55" t="s">
        <v>46</v>
      </c>
      <c r="C55" s="56" t="n">
        <f aca="false">SUM(E55:P55)</f>
        <v>10980.2284100893</v>
      </c>
      <c r="D55" s="56" t="n">
        <f aca="false">SUM(Q55:AB55)</f>
        <v>15192.5492842139</v>
      </c>
      <c r="E55" s="57" t="n">
        <f aca="false">Product_Contribution!E92</f>
        <v>607.733102119513</v>
      </c>
      <c r="F55" s="57" t="n">
        <f aca="false">Product_Contribution!F92</f>
        <v>595.462653794244</v>
      </c>
      <c r="G55" s="57" t="n">
        <f aca="false">Product_Contribution!G92</f>
        <v>746.667721288128</v>
      </c>
      <c r="H55" s="57" t="n">
        <f aca="false">Product_Contribution!H92</f>
        <v>674.273923064214</v>
      </c>
      <c r="I55" s="57" t="n">
        <f aca="false">Product_Contribution!I92</f>
        <v>824.41661988101</v>
      </c>
      <c r="J55" s="57" t="n">
        <f aca="false">Product_Contribution!J92</f>
        <v>901.108005785492</v>
      </c>
      <c r="K55" s="57" t="n">
        <f aca="false">Product_Contribution!K92</f>
        <v>778.843680938678</v>
      </c>
      <c r="L55" s="57" t="n">
        <f aca="false">Product_Contribution!L92</f>
        <v>841.181391365305</v>
      </c>
      <c r="M55" s="57" t="n">
        <f aca="false">Product_Contribution!M92</f>
        <v>937.039550132647</v>
      </c>
      <c r="N55" s="57" t="n">
        <f aca="false">Product_Contribution!N92</f>
        <v>1087.68949590606</v>
      </c>
      <c r="O55" s="57" t="n">
        <f aca="false">Product_Contribution!O92</f>
        <v>1574.52173260356</v>
      </c>
      <c r="P55" s="57" t="n">
        <f aca="false">Product_Contribution!P92</f>
        <v>1411.29053321046</v>
      </c>
      <c r="Q55" s="57" t="n">
        <f aca="false">Product_Contribution!Q92</f>
        <v>902.658148498408</v>
      </c>
      <c r="R55" s="57" t="n">
        <f aca="false">Product_Contribution!R92</f>
        <v>861.875903957216</v>
      </c>
      <c r="S55" s="57" t="n">
        <f aca="false">Product_Contribution!S92</f>
        <v>995.337073599937</v>
      </c>
      <c r="T55" s="57" t="n">
        <f aca="false">Product_Contribution!T92</f>
        <v>1055.91073257593</v>
      </c>
      <c r="U55" s="57" t="n">
        <f aca="false">Product_Contribution!U92</f>
        <v>1142.43427673287</v>
      </c>
      <c r="V55" s="57" t="n">
        <f aca="false">Product_Contribution!V92</f>
        <v>1137.19411153605</v>
      </c>
      <c r="W55" s="57" t="n">
        <f aca="false">Product_Contribution!W92</f>
        <v>1106.38162487145</v>
      </c>
      <c r="X55" s="57" t="n">
        <f aca="false">Product_Contribution!X92</f>
        <v>1111.07355611776</v>
      </c>
      <c r="Y55" s="57" t="n">
        <f aca="false">Product_Contribution!Y92</f>
        <v>1283.92578588659</v>
      </c>
      <c r="Z55" s="57" t="n">
        <f aca="false">Product_Contribution!Z92</f>
        <v>1492.15821938457</v>
      </c>
      <c r="AA55" s="57" t="n">
        <f aca="false">Product_Contribution!AA92</f>
        <v>2162.68989148489</v>
      </c>
      <c r="AB55" s="57" t="n">
        <f aca="false">Product_Contribution!AB92</f>
        <v>1940.90995956829</v>
      </c>
    </row>
    <row r="56" customFormat="false" ht="15" hidden="false" customHeight="true" outlineLevel="0" collapsed="false">
      <c r="A56" s="28" t="s">
        <v>659</v>
      </c>
      <c r="B56" s="55" t="s">
        <v>46</v>
      </c>
      <c r="C56" s="56" t="n">
        <f aca="false">SUM(E56:P56)</f>
        <v>247457.281802048</v>
      </c>
      <c r="D56" s="56" t="n">
        <f aca="false">SUM(Q56:AB56)</f>
        <v>332554.34554138</v>
      </c>
      <c r="E56" s="57" t="n">
        <f aca="false">-Product_Contribution!E91</f>
        <v>14559.18</v>
      </c>
      <c r="F56" s="57" t="n">
        <f aca="false">-Product_Contribution!F91</f>
        <v>13933.44</v>
      </c>
      <c r="G56" s="57" t="n">
        <f aca="false">-Product_Contribution!G91</f>
        <v>16241.04</v>
      </c>
      <c r="H56" s="57" t="n">
        <f aca="false">-Product_Contribution!H91</f>
        <v>16976.13</v>
      </c>
      <c r="I56" s="57" t="n">
        <f aca="false">-Product_Contribution!I91</f>
        <v>19604.2</v>
      </c>
      <c r="J56" s="57" t="n">
        <f aca="false">-Product_Contribution!J91</f>
        <v>18603.78</v>
      </c>
      <c r="K56" s="57" t="n">
        <f aca="false">-Product_Contribution!K91</f>
        <v>18424.26</v>
      </c>
      <c r="L56" s="57" t="n">
        <f aca="false">-Product_Contribution!L91</f>
        <v>18532.62</v>
      </c>
      <c r="M56" s="57" t="n">
        <f aca="false">-Product_Contribution!M91</f>
        <v>20711.1323275413</v>
      </c>
      <c r="N56" s="57" t="n">
        <f aca="false">-Product_Contribution!N91</f>
        <v>24020.0308482958</v>
      </c>
      <c r="O56" s="57" t="n">
        <f aca="false">-Product_Contribution!O91</f>
        <v>34740.4004282507</v>
      </c>
      <c r="P56" s="57" t="n">
        <f aca="false">-Product_Contribution!P91</f>
        <v>31111.0681979605</v>
      </c>
      <c r="Q56" s="57" t="n">
        <f aca="false">-Product_Contribution!Q91</f>
        <v>19880.5734815882</v>
      </c>
      <c r="R56" s="57" t="n">
        <f aca="false">-Product_Contribution!R91</f>
        <v>18964.9714950129</v>
      </c>
      <c r="S56" s="57" t="n">
        <f aca="false">-Product_Contribution!S91</f>
        <v>21881.3551654232</v>
      </c>
      <c r="T56" s="57" t="n">
        <f aca="false">-Product_Contribution!T91</f>
        <v>23191.1627663611</v>
      </c>
      <c r="U56" s="57" t="n">
        <f aca="false">-Product_Contribution!U91</f>
        <v>25067.5862730912</v>
      </c>
      <c r="V56" s="57" t="n">
        <f aca="false">-Product_Contribution!V91</f>
        <v>24928.5227783571</v>
      </c>
      <c r="W56" s="57" t="n">
        <f aca="false">-Product_Contribution!W91</f>
        <v>24229.3747496587</v>
      </c>
      <c r="X56" s="57" t="n">
        <f aca="false">-Product_Contribution!X91</f>
        <v>24308.0449480204</v>
      </c>
      <c r="Y56" s="57" t="n">
        <f aca="false">-Product_Contribution!Y91</f>
        <v>28061.5565451154</v>
      </c>
      <c r="Z56" s="57" t="n">
        <f aca="false">-Product_Contribution!Z91</f>
        <v>32579.6171740864</v>
      </c>
      <c r="AA56" s="57" t="n">
        <f aca="false">-Product_Contribution!AA91</f>
        <v>47171.4544445467</v>
      </c>
      <c r="AB56" s="57" t="n">
        <f aca="false">-Product_Contribution!AB91</f>
        <v>42290.1257201183</v>
      </c>
    </row>
    <row r="57" customFormat="false" ht="15" hidden="false" customHeight="true" outlineLevel="0" collapsed="false">
      <c r="A57" s="28" t="s">
        <v>817</v>
      </c>
      <c r="B57" s="55" t="s">
        <v>818</v>
      </c>
      <c r="C57" s="56" t="n">
        <f aca="false">SUM(E57:P57)</f>
        <v>2431.74789540615</v>
      </c>
      <c r="D57" s="56" t="n">
        <f aca="false">SUM(Q57:AB57)</f>
        <v>997.663036624139</v>
      </c>
      <c r="E57" s="57" t="n">
        <f aca="false">IF(E$5="A",Inputs_Actuals!E86,Assumptions!$C$34*E56)</f>
        <v>0</v>
      </c>
      <c r="F57" s="57" t="n">
        <f aca="false">IF(F$5="A",Inputs_Actuals!F86,Assumptions!$C$34*F56)</f>
        <v>0</v>
      </c>
      <c r="G57" s="57" t="n">
        <f aca="false">IF(G$5="A",Inputs_Actuals!G86,Assumptions!$C$34*G56)</f>
        <v>0</v>
      </c>
      <c r="H57" s="57" t="n">
        <f aca="false">IF(H$5="A",Inputs_Actuals!H86,Assumptions!$C$34*H56)</f>
        <v>0</v>
      </c>
      <c r="I57" s="57" t="n">
        <f aca="false">IF(I$5="A",Inputs_Actuals!I86,Assumptions!$C$34*I56)</f>
        <v>0</v>
      </c>
      <c r="J57" s="57" t="n">
        <f aca="false">IF(J$5="A",Inputs_Actuals!J86,Assumptions!$C$34*J56)</f>
        <v>0</v>
      </c>
      <c r="K57" s="57" t="n">
        <f aca="false">IF(K$5="A",Inputs_Actuals!K86,Assumptions!$C$34*K56)</f>
        <v>2100</v>
      </c>
      <c r="L57" s="57" t="n">
        <f aca="false">IF(L$5="A",Inputs_Actuals!L86,Assumptions!$C$34*L56)</f>
        <v>0</v>
      </c>
      <c r="M57" s="57" t="n">
        <f aca="false">IF(M$5="A",Inputs_Actuals!M86,Assumptions!$C$34*M56)</f>
        <v>62.1333969826239</v>
      </c>
      <c r="N57" s="57" t="n">
        <f aca="false">IF(N$5="A",Inputs_Actuals!N86,Assumptions!$C$34*N56)</f>
        <v>72.0600925448873</v>
      </c>
      <c r="O57" s="57" t="n">
        <f aca="false">IF(O$5="A",Inputs_Actuals!O86,Assumptions!$C$34*O56)</f>
        <v>104.221201284752</v>
      </c>
      <c r="P57" s="57" t="n">
        <f aca="false">IF(P$5="A",Inputs_Actuals!P86,Assumptions!$C$34*P56)</f>
        <v>93.3332045938815</v>
      </c>
      <c r="Q57" s="57" t="n">
        <f aca="false">IF(Q$5="A",Inputs_Actuals!Q86,Assumptions!$C$34*Q56)</f>
        <v>59.6417204447645</v>
      </c>
      <c r="R57" s="57" t="n">
        <f aca="false">IF(R$5="A",Inputs_Actuals!R86,Assumptions!$C$34*R56)</f>
        <v>56.8949144850388</v>
      </c>
      <c r="S57" s="57" t="n">
        <f aca="false">IF(S$5="A",Inputs_Actuals!S86,Assumptions!$C$34*S56)</f>
        <v>65.6440654962696</v>
      </c>
      <c r="T57" s="57" t="n">
        <f aca="false">IF(T$5="A",Inputs_Actuals!T86,Assumptions!$C$34*T56)</f>
        <v>69.5734882990834</v>
      </c>
      <c r="U57" s="57" t="n">
        <f aca="false">IF(U$5="A",Inputs_Actuals!U86,Assumptions!$C$34*U56)</f>
        <v>75.2027588192737</v>
      </c>
      <c r="V57" s="57" t="n">
        <f aca="false">IF(V$5="A",Inputs_Actuals!V86,Assumptions!$C$34*V56)</f>
        <v>74.7855683350714</v>
      </c>
      <c r="W57" s="57" t="n">
        <f aca="false">IF(W$5="A",Inputs_Actuals!W86,Assumptions!$C$34*W56)</f>
        <v>72.6881242489762</v>
      </c>
      <c r="X57" s="57" t="n">
        <f aca="false">IF(X$5="A",Inputs_Actuals!X86,Assumptions!$C$34*X56)</f>
        <v>72.9241348440613</v>
      </c>
      <c r="Y57" s="57" t="n">
        <f aca="false">IF(Y$5="A",Inputs_Actuals!Y86,Assumptions!$C$34*Y56)</f>
        <v>84.1846696353461</v>
      </c>
      <c r="Z57" s="57" t="n">
        <f aca="false">IF(Z$5="A",Inputs_Actuals!Z86,Assumptions!$C$34*Z56)</f>
        <v>97.7388515222593</v>
      </c>
      <c r="AA57" s="57" t="n">
        <f aca="false">IF(AA$5="A",Inputs_Actuals!AA86,Assumptions!$C$34*AA56)</f>
        <v>141.51436333364</v>
      </c>
      <c r="AB57" s="57" t="n">
        <f aca="false">IF(AB$5="A",Inputs_Actuals!AB86,Assumptions!$C$34*AB56)</f>
        <v>126.870377160355</v>
      </c>
    </row>
    <row r="58" customFormat="false" ht="15" hidden="false" customHeight="true" outlineLevel="0" collapsed="false">
      <c r="A58" s="70" t="s">
        <v>819</v>
      </c>
      <c r="B58" s="71" t="s">
        <v>820</v>
      </c>
      <c r="C58" s="72" t="n">
        <f aca="false">P58</f>
        <v>112731.198712635</v>
      </c>
      <c r="D58" s="72" t="n">
        <f aca="false">AB58</f>
        <v>102314.820290609</v>
      </c>
      <c r="E58" s="72" t="n">
        <f aca="false">E51+E52+E54+E55-E56-E57</f>
        <v>178968.55310212</v>
      </c>
      <c r="F58" s="72" t="n">
        <f aca="false">F51+F52+F54+F55-F56-F57</f>
        <v>165630.575755914</v>
      </c>
      <c r="G58" s="72" t="n">
        <f aca="false">G51+G52+G54+G55-G56-G57</f>
        <v>150136.203477202</v>
      </c>
      <c r="H58" s="72" t="n">
        <f aca="false">H51+H52+H54+H55-H56-H57</f>
        <v>133834.347400266</v>
      </c>
      <c r="I58" s="72" t="n">
        <f aca="false">I51+I52+I54+I55-I56-I57</f>
        <v>115054.564020147</v>
      </c>
      <c r="J58" s="72" t="n">
        <f aca="false">J51+J52+J54+J55-J56-J57</f>
        <v>161831.892025933</v>
      </c>
      <c r="K58" s="72" t="n">
        <f aca="false">K51+K52+K54+K55-K56-K57</f>
        <v>142086.475706871</v>
      </c>
      <c r="L58" s="72" t="n">
        <f aca="false">L51+L52+L54+L55-L56-L57</f>
        <v>124395.037098237</v>
      </c>
      <c r="M58" s="72" t="n">
        <f aca="false">M51+M52+M54+M55-M56-M57</f>
        <v>104558.810923845</v>
      </c>
      <c r="N58" s="72" t="n">
        <f aca="false">N51+N52+N54+N55-N56-N57</f>
        <v>175794.409478911</v>
      </c>
      <c r="O58" s="72" t="n">
        <f aca="false">O51+O52+O54+O55-O56-O57</f>
        <v>142524.309581979</v>
      </c>
      <c r="P58" s="72" t="n">
        <f aca="false">P51+P52+P54+P55-P56-P57</f>
        <v>112731.198712635</v>
      </c>
      <c r="Q58" s="72" t="n">
        <f aca="false">Q51+Q52+Q54+Q55-Q56-Q57</f>
        <v>168093.6416591</v>
      </c>
      <c r="R58" s="72" t="n">
        <f aca="false">R51+R52+R54+R55-R56-R57</f>
        <v>149933.65115356</v>
      </c>
      <c r="S58" s="72" t="n">
        <f aca="false">S51+S52+S54+S55-S56-S57</f>
        <v>128981.98899624</v>
      </c>
      <c r="T58" s="72" t="n">
        <f aca="false">T51+T52+T54+T55-T56-T57</f>
        <v>106777.163474156</v>
      </c>
      <c r="U58" s="72" t="n">
        <f aca="false">U51+U52+U54+U55-U56-U57</f>
        <v>82776.8087189782</v>
      </c>
      <c r="V58" s="72" t="n">
        <f aca="false">V51+V52+V54+V55-V56-V57</f>
        <v>58910.694483822</v>
      </c>
      <c r="W58" s="72" t="n">
        <f aca="false">W51+W52+W54+W55-W56-W57</f>
        <v>58809.7861645656</v>
      </c>
      <c r="X58" s="72" t="n">
        <f aca="false">X51+X52+X54+X55-X56-X57</f>
        <v>70153.8913627884</v>
      </c>
      <c r="Y58" s="72" t="n">
        <f aca="false">Y51+Y52+Y54+Y55-Y56-Y57</f>
        <v>78821.654453435</v>
      </c>
      <c r="Z58" s="72" t="n">
        <f aca="false">Z51+Z52+Z54+Z55-Z56-Z57</f>
        <v>117928.636111367</v>
      </c>
      <c r="AA58" s="72" t="n">
        <f aca="false">AA51+AA52+AA54+AA55-AA56-AA57</f>
        <v>102314.820290609</v>
      </c>
      <c r="AB58" s="72" t="n">
        <f aca="false">AB51+AB52+AB54+AB55-AB56-AB57</f>
        <v>102314.820290609</v>
      </c>
    </row>
    <row r="59" customFormat="false" ht="15" hidden="false" customHeight="true" outlineLevel="0" collapsed="false">
      <c r="A59" s="28" t="s">
        <v>821</v>
      </c>
      <c r="B59" s="55" t="s">
        <v>315</v>
      </c>
      <c r="C59" s="66" t="n">
        <f aca="false">P59</f>
        <v>112.328742229454</v>
      </c>
      <c r="D59" s="66" t="n">
        <f aca="false">AB59</f>
        <v>75</v>
      </c>
      <c r="E59" s="67" t="n">
        <f aca="false">IF(E56=0,0,E58/E56*Assumptions!E$67)</f>
        <v>381.067144314838</v>
      </c>
      <c r="F59" s="67" t="n">
        <f aca="false">IF(F56=0,0,F58/F56*Assumptions!F$67)</f>
        <v>332.843585013147</v>
      </c>
      <c r="G59" s="67" t="n">
        <f aca="false">IF(G56=0,0,G58/G56*Assumptions!G$67)</f>
        <v>286.571691701594</v>
      </c>
      <c r="H59" s="67" t="n">
        <f aca="false">IF(H56=0,0,H58/H56*Assumptions!H$67)</f>
        <v>236.510348472118</v>
      </c>
      <c r="I59" s="67" t="n">
        <f aca="false">IF(I56=0,0,I58/I56*Assumptions!I$67)</f>
        <v>181.93506925172</v>
      </c>
      <c r="J59" s="67" t="n">
        <f aca="false">IF(J56=0,0,J58/J56*Assumptions!J$67)</f>
        <v>260.966145631586</v>
      </c>
      <c r="K59" s="67" t="n">
        <f aca="false">IF(K56=0,0,K58/K56*Assumptions!K$67)</f>
        <v>239.069615111435</v>
      </c>
      <c r="L59" s="67" t="n">
        <f aca="false">IF(L56=0,0,L58/L56*Assumptions!L$67)</f>
        <v>208.078844224148</v>
      </c>
      <c r="M59" s="67" t="n">
        <f aca="false">IF(M56=0,0,M58/M56*Assumptions!M$67)</f>
        <v>151.453058099781</v>
      </c>
      <c r="N59" s="67" t="n">
        <f aca="false">IF(N56=0,0,N58/N56*Assumptions!N$67)</f>
        <v>226.878421941447</v>
      </c>
      <c r="O59" s="67" t="n">
        <f aca="false">IF(O56=0,0,O58/O56*Assumptions!O$67)</f>
        <v>123.076568915492</v>
      </c>
      <c r="P59" s="67" t="n">
        <f aca="false">IF(P56=0,0,P58/P56*Assumptions!P$67)</f>
        <v>112.328742229454</v>
      </c>
      <c r="Q59" s="67" t="n">
        <f aca="false">IF(Q56=0,0,Q58/Q56*Assumptions!Q$67)</f>
        <v>262.110290543582</v>
      </c>
      <c r="R59" s="67" t="n">
        <f aca="false">IF(R56=0,0,R58/R56*Assumptions!R$67)</f>
        <v>221.362960308357</v>
      </c>
      <c r="S59" s="67" t="n">
        <f aca="false">IF(S56=0,0,S58/S56*Assumptions!S$67)</f>
        <v>182.732816530567</v>
      </c>
      <c r="T59" s="67" t="n">
        <f aca="false">IF(T56=0,0,T58/T56*Assumptions!T$67)</f>
        <v>138.126532787355</v>
      </c>
      <c r="U59" s="67" t="n">
        <f aca="false">IF(U56=0,0,U58/U56*Assumptions!U$67)</f>
        <v>102.36650000255</v>
      </c>
      <c r="V59" s="67" t="n">
        <f aca="false">IF(V56=0,0,V58/V56*Assumptions!V$67)</f>
        <v>70.8955300010414</v>
      </c>
      <c r="W59" s="67" t="n">
        <f aca="false">IF(W56=0,0,W58/W56*Assumptions!W$67)</f>
        <v>75.2435170093364</v>
      </c>
      <c r="X59" s="67" t="n">
        <f aca="false">IF(X56=0,0,X58/X56*Assumptions!X$67)</f>
        <v>89.4671141548776</v>
      </c>
      <c r="Y59" s="67" t="n">
        <f aca="false">IF(Y56=0,0,Y58/Y56*Assumptions!Y$67)</f>
        <v>84.2665170694054</v>
      </c>
      <c r="Z59" s="67" t="n">
        <f aca="false">IF(Z56=0,0,Z58/Z56*Assumptions!Z$67)</f>
        <v>112.21088633172</v>
      </c>
      <c r="AA59" s="67" t="n">
        <f aca="false">IF(AA56=0,0,AA58/AA56*Assumptions!AA$67)</f>
        <v>65.0699590432728</v>
      </c>
      <c r="AB59" s="67" t="n">
        <f aca="false">IF(AB56=0,0,AB58/AB56*Assumptions!AB$67)</f>
        <v>75</v>
      </c>
    </row>
    <row r="60" customFormat="false" ht="15" hidden="false" customHeight="true" outlineLevel="0" collapsed="false">
      <c r="A60" s="28" t="s">
        <v>822</v>
      </c>
      <c r="B60" s="55" t="s">
        <v>315</v>
      </c>
      <c r="E60" s="69" t="n">
        <f aca="false">AVERAGE(E56:E56)</f>
        <v>14559.18</v>
      </c>
      <c r="F60" s="69" t="n">
        <f aca="false">AVERAGE(E56:F56)</f>
        <v>14246.31</v>
      </c>
      <c r="G60" s="69" t="n">
        <f aca="false">AVERAGE(E56:G56)</f>
        <v>14911.22</v>
      </c>
      <c r="H60" s="69" t="n">
        <f aca="false">AVERAGE(F56:H56)</f>
        <v>15716.87</v>
      </c>
      <c r="I60" s="69" t="n">
        <f aca="false">AVERAGE(G56:I56)</f>
        <v>17607.1233333333</v>
      </c>
      <c r="J60" s="69" t="n">
        <f aca="false">AVERAGE(H56:J56)</f>
        <v>18394.7033333333</v>
      </c>
      <c r="K60" s="69" t="n">
        <f aca="false">AVERAGE(I56:K56)</f>
        <v>18877.4133333333</v>
      </c>
      <c r="L60" s="69" t="n">
        <f aca="false">AVERAGE(J56:L56)</f>
        <v>18520.22</v>
      </c>
      <c r="M60" s="69" t="n">
        <f aca="false">AVERAGE(K56:M56)</f>
        <v>19222.6707758471</v>
      </c>
      <c r="N60" s="69" t="n">
        <f aca="false">AVERAGE(L56:N56)</f>
        <v>21087.927725279</v>
      </c>
      <c r="O60" s="69" t="n">
        <f aca="false">AVERAGE(M56:O56)</f>
        <v>26490.5212013626</v>
      </c>
      <c r="P60" s="69" t="n">
        <f aca="false">AVERAGE(N56:P56)</f>
        <v>29957.1664915023</v>
      </c>
      <c r="Q60" s="69" t="n">
        <f aca="false">AVERAGE(O56:Q56)</f>
        <v>28577.3473692664</v>
      </c>
      <c r="R60" s="69" t="n">
        <f aca="false">AVERAGE(P56:R56)</f>
        <v>23318.8710581872</v>
      </c>
      <c r="S60" s="69" t="n">
        <f aca="false">AVERAGE(Q56:S56)</f>
        <v>20242.3000473414</v>
      </c>
      <c r="T60" s="69" t="n">
        <f aca="false">AVERAGE(R56:T56)</f>
        <v>21345.8298089324</v>
      </c>
      <c r="U60" s="69" t="n">
        <f aca="false">AVERAGE(S56:U56)</f>
        <v>23380.0347349585</v>
      </c>
      <c r="V60" s="69" t="n">
        <f aca="false">AVERAGE(T56:V56)</f>
        <v>24395.7572726032</v>
      </c>
      <c r="W60" s="69" t="n">
        <f aca="false">AVERAGE(U56:W56)</f>
        <v>24741.8279337024</v>
      </c>
      <c r="X60" s="69" t="n">
        <f aca="false">AVERAGE(V56:X56)</f>
        <v>24488.6474920121</v>
      </c>
      <c r="Y60" s="69" t="n">
        <f aca="false">AVERAGE(W56:Y56)</f>
        <v>25532.9920809315</v>
      </c>
      <c r="Z60" s="69" t="n">
        <f aca="false">AVERAGE(X56:Z56)</f>
        <v>28316.4062224074</v>
      </c>
      <c r="AA60" s="69" t="n">
        <f aca="false">AVERAGE(Y56:AA56)</f>
        <v>35937.5427212495</v>
      </c>
      <c r="AB60" s="69" t="n">
        <f aca="false">AVERAGE(Z56:AB56)</f>
        <v>40680.3991129171</v>
      </c>
    </row>
    <row r="61" customFormat="false" ht="15" hidden="false" customHeight="true" outlineLevel="0" collapsed="false">
      <c r="A61" s="28" t="s">
        <v>823</v>
      </c>
      <c r="B61" s="55" t="s">
        <v>71</v>
      </c>
      <c r="C61" s="56" t="n">
        <f aca="false">P61</f>
        <v>0</v>
      </c>
      <c r="D61" s="56" t="n">
        <f aca="false">AB61</f>
        <v>0</v>
      </c>
      <c r="E61" s="57" t="n">
        <f aca="false">MAX(0,E58-Assumptions!$C$32*E60)</f>
        <v>77054.2931021195</v>
      </c>
      <c r="F61" s="57" t="n">
        <f aca="false">MAX(0,F58-Assumptions!$C$32*F60)</f>
        <v>65906.4057559138</v>
      </c>
      <c r="G61" s="57" t="n">
        <f aca="false">MAX(0,G58-Assumptions!$C$32*G60)</f>
        <v>45757.6634772019</v>
      </c>
      <c r="H61" s="57" t="n">
        <f aca="false">MAX(0,H58-Assumptions!$C$32*H60)</f>
        <v>23816.2574002661</v>
      </c>
      <c r="I61" s="57" t="n">
        <f aca="false">MAX(0,I58-Assumptions!$C$32*I60)</f>
        <v>0</v>
      </c>
      <c r="J61" s="57" t="n">
        <f aca="false">MAX(0,J58-Assumptions!$C$32*J60)</f>
        <v>33068.9686925992</v>
      </c>
      <c r="K61" s="57" t="n">
        <f aca="false">MAX(0,K58-Assumptions!$C$32*K60)</f>
        <v>9944.58237353791</v>
      </c>
      <c r="L61" s="57" t="n">
        <f aca="false">MAX(0,L58-Assumptions!$C$32*L60)</f>
        <v>0</v>
      </c>
      <c r="M61" s="57" t="n">
        <f aca="false">MAX(0,M58-Assumptions!$C$32*M60)</f>
        <v>0</v>
      </c>
      <c r="N61" s="57" t="n">
        <f aca="false">MAX(0,N58-Assumptions!$C$32*N60)</f>
        <v>28178.9154019575</v>
      </c>
      <c r="O61" s="57" t="n">
        <f aca="false">MAX(0,O58-Assumptions!$C$32*O60)</f>
        <v>0</v>
      </c>
      <c r="P61" s="57" t="n">
        <f aca="false">MAX(0,P58-Assumptions!$C$32*P60)</f>
        <v>0</v>
      </c>
      <c r="Q61" s="57" t="n">
        <f aca="false">MAX(0,Q58-Assumptions!$C$32*Q60)</f>
        <v>0</v>
      </c>
      <c r="R61" s="57" t="n">
        <f aca="false">MAX(0,R58-Assumptions!$C$32*R60)</f>
        <v>0</v>
      </c>
      <c r="S61" s="57" t="n">
        <f aca="false">MAX(0,S58-Assumptions!$C$32*S60)</f>
        <v>0</v>
      </c>
      <c r="T61" s="57" t="n">
        <f aca="false">MAX(0,T58-Assumptions!$C$32*T60)</f>
        <v>0</v>
      </c>
      <c r="U61" s="57" t="n">
        <f aca="false">MAX(0,U58-Assumptions!$C$32*U60)</f>
        <v>0</v>
      </c>
      <c r="V61" s="57" t="n">
        <f aca="false">MAX(0,V58-Assumptions!$C$32*V60)</f>
        <v>0</v>
      </c>
      <c r="W61" s="57" t="n">
        <f aca="false">MAX(0,W58-Assumptions!$C$32*W60)</f>
        <v>0</v>
      </c>
      <c r="X61" s="57" t="n">
        <f aca="false">MAX(0,X58-Assumptions!$C$32*X60)</f>
        <v>0</v>
      </c>
      <c r="Y61" s="57" t="n">
        <f aca="false">MAX(0,Y58-Assumptions!$C$32*Y60)</f>
        <v>0</v>
      </c>
      <c r="Z61" s="57" t="n">
        <f aca="false">MAX(0,Z58-Assumptions!$C$32*Z60)</f>
        <v>0</v>
      </c>
      <c r="AA61" s="57" t="n">
        <f aca="false">MAX(0,AA58-Assumptions!$C$32*AA60)</f>
        <v>0</v>
      </c>
      <c r="AB61" s="57" t="n">
        <f aca="false">MAX(0,AB58-Assumptions!$C$32*AB60)</f>
        <v>0</v>
      </c>
    </row>
    <row r="62" customFormat="false" ht="15" hidden="false" customHeight="true" outlineLevel="0" collapsed="false">
      <c r="A62" s="28" t="s">
        <v>824</v>
      </c>
      <c r="B62" s="55" t="s">
        <v>825</v>
      </c>
      <c r="C62" s="56" t="n">
        <f aca="false">P62</f>
        <v>0</v>
      </c>
      <c r="D62" s="56" t="n">
        <f aca="false">AB62</f>
        <v>0</v>
      </c>
      <c r="E62" s="57" t="n">
        <f aca="false">Assumptions!$C$33*E61</f>
        <v>19263.5732755299</v>
      </c>
      <c r="F62" s="57" t="n">
        <f aca="false">Assumptions!$C$33*F61</f>
        <v>16476.6014389784</v>
      </c>
      <c r="G62" s="57" t="n">
        <f aca="false">Assumptions!$C$33*G61</f>
        <v>11439.4158693005</v>
      </c>
      <c r="H62" s="57" t="n">
        <f aca="false">Assumptions!$C$33*H61</f>
        <v>5954.06435006652</v>
      </c>
      <c r="I62" s="57" t="n">
        <f aca="false">Assumptions!$C$33*I61</f>
        <v>0</v>
      </c>
      <c r="J62" s="57" t="n">
        <f aca="false">Assumptions!$C$33*J61</f>
        <v>8267.24217314981</v>
      </c>
      <c r="K62" s="57" t="n">
        <f aca="false">Assumptions!$C$33*K61</f>
        <v>2486.14559338448</v>
      </c>
      <c r="L62" s="57" t="n">
        <f aca="false">Assumptions!$C$33*L61</f>
        <v>0</v>
      </c>
      <c r="M62" s="57" t="n">
        <f aca="false">Assumptions!$C$33*M61</f>
        <v>0</v>
      </c>
      <c r="N62" s="57" t="n">
        <f aca="false">Assumptions!$C$33*N61</f>
        <v>7044.72885048937</v>
      </c>
      <c r="O62" s="57" t="n">
        <f aca="false">Assumptions!$C$33*O61</f>
        <v>0</v>
      </c>
      <c r="P62" s="57" t="n">
        <f aca="false">Assumptions!$C$33*P61</f>
        <v>0</v>
      </c>
      <c r="Q62" s="57" t="n">
        <f aca="false">Assumptions!$C$33*Q61</f>
        <v>0</v>
      </c>
      <c r="R62" s="57" t="n">
        <f aca="false">Assumptions!$C$33*R61</f>
        <v>0</v>
      </c>
      <c r="S62" s="57" t="n">
        <f aca="false">Assumptions!$C$33*S61</f>
        <v>0</v>
      </c>
      <c r="T62" s="57" t="n">
        <f aca="false">Assumptions!$C$33*T61</f>
        <v>0</v>
      </c>
      <c r="U62" s="57" t="n">
        <f aca="false">Assumptions!$C$33*U61</f>
        <v>0</v>
      </c>
      <c r="V62" s="57" t="n">
        <f aca="false">Assumptions!$C$33*V61</f>
        <v>0</v>
      </c>
      <c r="W62" s="57" t="n">
        <f aca="false">Assumptions!$C$33*W61</f>
        <v>0</v>
      </c>
      <c r="X62" s="57" t="n">
        <f aca="false">Assumptions!$C$33*X61</f>
        <v>0</v>
      </c>
      <c r="Y62" s="57" t="n">
        <f aca="false">Assumptions!$C$33*Y61</f>
        <v>0</v>
      </c>
      <c r="Z62" s="57" t="n">
        <f aca="false">Assumptions!$C$33*Z61</f>
        <v>0</v>
      </c>
      <c r="AA62" s="57" t="n">
        <f aca="false">Assumptions!$C$33*AA61</f>
        <v>0</v>
      </c>
      <c r="AB62" s="57" t="n">
        <f aca="false">Assumptions!$C$33*AB61</f>
        <v>0</v>
      </c>
    </row>
    <row r="64" customFormat="false" ht="15" hidden="false" customHeight="true" outlineLevel="0" collapsed="false">
      <c r="A64" s="22" t="s">
        <v>747</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row>
    <row r="65" customFormat="false" ht="15" hidden="false" customHeight="true" outlineLevel="0" collapsed="false">
      <c r="A65" s="28" t="s">
        <v>808</v>
      </c>
      <c r="B65" s="55" t="s">
        <v>809</v>
      </c>
      <c r="E65" s="57" t="n">
        <f aca="false">Inputs_Actuals!$C$120</f>
        <v>96000</v>
      </c>
      <c r="F65" s="69" t="n">
        <f aca="false">E72</f>
        <v>87431.3718833775</v>
      </c>
      <c r="G65" s="69" t="n">
        <f aca="false">F72</f>
        <v>79561.7557841018</v>
      </c>
      <c r="H65" s="69" t="n">
        <f aca="false">G72</f>
        <v>113486.869446374</v>
      </c>
      <c r="I65" s="69" t="n">
        <f aca="false">H72</f>
        <v>103666.366102738</v>
      </c>
      <c r="J65" s="69" t="n">
        <f aca="false">I72</f>
        <v>93076.1239902822</v>
      </c>
      <c r="K65" s="69" t="n">
        <f aca="false">J72</f>
        <v>82324.0450099352</v>
      </c>
      <c r="L65" s="69" t="n">
        <f aca="false">K72</f>
        <v>72373.1019832636</v>
      </c>
      <c r="M65" s="69" t="n">
        <f aca="false">L72</f>
        <v>103051.072642911</v>
      </c>
      <c r="N65" s="69" t="n">
        <f aca="false">M72</f>
        <v>91546.0895351322</v>
      </c>
      <c r="O65" s="69" t="n">
        <f aca="false">N72</f>
        <v>78213.825776873</v>
      </c>
      <c r="P65" s="69" t="n">
        <f aca="false">O72</f>
        <v>58947.0437801255</v>
      </c>
      <c r="Q65" s="69" t="n">
        <f aca="false">P72</f>
        <v>75307.3672228846</v>
      </c>
      <c r="R65" s="69" t="n">
        <f aca="false">Q72</f>
        <v>64300.1206759807</v>
      </c>
      <c r="S65" s="69" t="n">
        <f aca="false">R72</f>
        <v>53808.7238540808</v>
      </c>
      <c r="T65" s="69" t="n">
        <f aca="false">S72</f>
        <v>41714.3781572111</v>
      </c>
      <c r="U65" s="69" t="n">
        <f aca="false">T72</f>
        <v>34837.5067694544</v>
      </c>
      <c r="V65" s="69" t="n">
        <f aca="false">U72</f>
        <v>35768.6040760302</v>
      </c>
      <c r="W65" s="69" t="n">
        <f aca="false">V72</f>
        <v>33615.0329287388</v>
      </c>
      <c r="X65" s="69" t="n">
        <f aca="false">W72</f>
        <v>33694.850779253</v>
      </c>
      <c r="Y65" s="69" t="n">
        <f aca="false">X72</f>
        <v>40159.0756886155</v>
      </c>
      <c r="Z65" s="69" t="n">
        <f aca="false">Y72</f>
        <v>45080.7688535975</v>
      </c>
      <c r="AA65" s="69" t="n">
        <f aca="false">Z72</f>
        <v>67386.7759905677</v>
      </c>
      <c r="AB65" s="69" t="n">
        <f aca="false">AA72</f>
        <v>58411.6380407301</v>
      </c>
    </row>
    <row r="66" customFormat="false" ht="15" hidden="false" customHeight="true" outlineLevel="0" collapsed="false">
      <c r="A66" s="28" t="s">
        <v>810</v>
      </c>
      <c r="B66" s="55" t="s">
        <v>811</v>
      </c>
      <c r="C66" s="56" t="n">
        <f aca="false">SUM(E66:P66)</f>
        <v>117600</v>
      </c>
      <c r="D66" s="56" t="n">
        <f aca="false">SUM(Q66:AB66)</f>
        <v>0</v>
      </c>
      <c r="E66" s="57" t="n">
        <f aca="false">SUMIFS(Purchase_Orders!$N$6:$N$24,Purchase_Orders!$R$6:$R$24,Assumptions!E$61,Purchase_Orders!$C$6:$C$24,"Storage")</f>
        <v>0</v>
      </c>
      <c r="F66" s="57" t="n">
        <f aca="false">SUMIFS(Purchase_Orders!$N$6:$N$24,Purchase_Orders!$R$6:$R$24,Assumptions!F$61,Purchase_Orders!$C$6:$C$24,"Storage")</f>
        <v>0</v>
      </c>
      <c r="G66" s="57" t="n">
        <f aca="false">SUMIFS(Purchase_Orders!$N$6:$N$24,Purchase_Orders!$R$6:$R$24,Assumptions!G$61,Purchase_Orders!$C$6:$C$24,"Storage")</f>
        <v>43200</v>
      </c>
      <c r="H66" s="57" t="n">
        <f aca="false">SUMIFS(Purchase_Orders!$N$6:$N$24,Purchase_Orders!$R$6:$R$24,Assumptions!H$61,Purchase_Orders!$C$6:$C$24,"Storage")</f>
        <v>0</v>
      </c>
      <c r="I66" s="57" t="n">
        <f aca="false">SUMIFS(Purchase_Orders!$N$6:$N$24,Purchase_Orders!$R$6:$R$24,Assumptions!I$61,Purchase_Orders!$C$6:$C$24,"Storage")</f>
        <v>0</v>
      </c>
      <c r="J66" s="57" t="n">
        <f aca="false">SUMIFS(Purchase_Orders!$N$6:$N$24,Purchase_Orders!$R$6:$R$24,Assumptions!J$61,Purchase_Orders!$C$6:$C$24,"Storage")</f>
        <v>0</v>
      </c>
      <c r="K66" s="57" t="n">
        <f aca="false">SUMIFS(Purchase_Orders!$N$6:$N$24,Purchase_Orders!$R$6:$R$24,Assumptions!K$61,Purchase_Orders!$C$6:$C$24,"Storage")</f>
        <v>0</v>
      </c>
      <c r="L66" s="57" t="n">
        <f aca="false">SUMIFS(Purchase_Orders!$N$6:$N$24,Purchase_Orders!$R$6:$R$24,Assumptions!L$61,Purchase_Orders!$C$6:$C$24,"Storage")</f>
        <v>40800</v>
      </c>
      <c r="M66" s="57" t="n">
        <f aca="false">SUMIFS(Purchase_Orders!$N$6:$N$24,Purchase_Orders!$R$6:$R$24,Assumptions!M$61,Purchase_Orders!$C$6:$C$24,"Storage")</f>
        <v>0</v>
      </c>
      <c r="N66" s="57" t="n">
        <f aca="false">SUMIFS(Purchase_Orders!$N$6:$N$24,Purchase_Orders!$R$6:$R$24,Assumptions!N$61,Purchase_Orders!$C$6:$C$24,"Storage")</f>
        <v>0</v>
      </c>
      <c r="O66" s="57" t="n">
        <f aca="false">SUMIFS(Purchase_Orders!$N$6:$N$24,Purchase_Orders!$R$6:$R$24,Assumptions!O$61,Purchase_Orders!$C$6:$C$24,"Storage")</f>
        <v>0</v>
      </c>
      <c r="P66" s="57" t="n">
        <f aca="false">SUMIFS(Purchase_Orders!$N$6:$N$24,Purchase_Orders!$R$6:$R$24,Assumptions!P$61,Purchase_Orders!$C$6:$C$24,"Storage")</f>
        <v>33600</v>
      </c>
      <c r="Q66" s="57" t="n">
        <f aca="false">SUMIFS(Purchase_Orders!$N$6:$N$24,Purchase_Orders!$R$6:$R$24,Assumptions!Q$61,Purchase_Orders!$C$6:$C$24,"Storage")</f>
        <v>0</v>
      </c>
      <c r="R66" s="57" t="n">
        <f aca="false">SUMIFS(Purchase_Orders!$N$6:$N$24,Purchase_Orders!$R$6:$R$24,Assumptions!R$61,Purchase_Orders!$C$6:$C$24,"Storage")</f>
        <v>0</v>
      </c>
      <c r="S66" s="57" t="n">
        <f aca="false">SUMIFS(Purchase_Orders!$N$6:$N$24,Purchase_Orders!$R$6:$R$24,Assumptions!S$61,Purchase_Orders!$C$6:$C$24,"Storage")</f>
        <v>0</v>
      </c>
      <c r="T66" s="57" t="n">
        <f aca="false">SUMIFS(Purchase_Orders!$N$6:$N$24,Purchase_Orders!$R$6:$R$24,Assumptions!T$61,Purchase_Orders!$C$6:$C$24,"Storage")</f>
        <v>0</v>
      </c>
      <c r="U66" s="57" t="n">
        <f aca="false">SUMIFS(Purchase_Orders!$N$6:$N$24,Purchase_Orders!$R$6:$R$24,Assumptions!U$61,Purchase_Orders!$C$6:$C$24,"Storage")</f>
        <v>0</v>
      </c>
      <c r="V66" s="57" t="n">
        <f aca="false">SUMIFS(Purchase_Orders!$N$6:$N$24,Purchase_Orders!$R$6:$R$24,Assumptions!V$61,Purchase_Orders!$C$6:$C$24,"Storage")</f>
        <v>0</v>
      </c>
      <c r="W66" s="57" t="n">
        <f aca="false">SUMIFS(Purchase_Orders!$N$6:$N$24,Purchase_Orders!$R$6:$R$24,Assumptions!W$61,Purchase_Orders!$C$6:$C$24,"Storage")</f>
        <v>0</v>
      </c>
      <c r="X66" s="57" t="n">
        <f aca="false">SUMIFS(Purchase_Orders!$N$6:$N$24,Purchase_Orders!$R$6:$R$24,Assumptions!X$61,Purchase_Orders!$C$6:$C$24,"Storage")</f>
        <v>0</v>
      </c>
      <c r="Y66" s="57" t="n">
        <f aca="false">SUMIFS(Purchase_Orders!$N$6:$N$24,Purchase_Orders!$R$6:$R$24,Assumptions!Y$61,Purchase_Orders!$C$6:$C$24,"Storage")</f>
        <v>0</v>
      </c>
      <c r="Z66" s="57" t="n">
        <f aca="false">SUMIFS(Purchase_Orders!$N$6:$N$24,Purchase_Orders!$R$6:$R$24,Assumptions!Z$61,Purchase_Orders!$C$6:$C$24,"Storage")</f>
        <v>0</v>
      </c>
      <c r="AA66" s="57" t="n">
        <f aca="false">SUMIFS(Purchase_Orders!$N$6:$N$24,Purchase_Orders!$R$6:$R$24,Assumptions!AA$61,Purchase_Orders!$C$6:$C$24,"Storage")</f>
        <v>0</v>
      </c>
      <c r="AB66" s="57" t="n">
        <f aca="false">SUMIFS(Purchase_Orders!$N$6:$N$24,Purchase_Orders!$R$6:$R$24,Assumptions!AB$61,Purchase_Orders!$C$6:$C$24,"Storage")</f>
        <v>0</v>
      </c>
    </row>
    <row r="67" customFormat="false" ht="15" hidden="false" customHeight="true" outlineLevel="0" collapsed="false">
      <c r="A67" s="28" t="s">
        <v>812</v>
      </c>
      <c r="B67" s="55" t="s">
        <v>813</v>
      </c>
      <c r="E67" s="57" t="n">
        <f aca="false">Assumptions!$F$116*F70/Assumptions!F$67</f>
        <v>21955.3392857143</v>
      </c>
      <c r="F67" s="57" t="n">
        <f aca="false">Assumptions!$F$116*G70/Assumptions!G$67</f>
        <v>23456.7338709677</v>
      </c>
      <c r="G67" s="57" t="n">
        <f aca="false">Assumptions!$F$116*H70/Assumptions!H$67</f>
        <v>25506.75</v>
      </c>
      <c r="H67" s="57" t="n">
        <f aca="false">Assumptions!$F$116*I70/Assumptions!I$67</f>
        <v>26692.9838709677</v>
      </c>
      <c r="I67" s="57" t="n">
        <f aca="false">Assumptions!$F$116*J70/Assumptions!J$67</f>
        <v>28167.75</v>
      </c>
      <c r="J67" s="57" t="n">
        <f aca="false">Assumptions!$F$116*K70/Assumptions!K$67</f>
        <v>25089.5806451613</v>
      </c>
      <c r="K67" s="57" t="n">
        <f aca="false">Assumptions!$F$116*L70/Assumptions!L$67</f>
        <v>25575.3387096774</v>
      </c>
      <c r="L67" s="57" t="n">
        <f aca="false">Assumptions!$F$116*M70/Assumptions!M$67</f>
        <v>29935.6655609731</v>
      </c>
      <c r="M67" s="57" t="n">
        <f aca="false">Assumptions!$F$116*N70/Assumptions!N$67</f>
        <v>33572.2856272383</v>
      </c>
      <c r="N67" s="57" t="n">
        <f aca="false">Assumptions!$F$116*O70/Assumptions!O$67</f>
        <v>50135.0422693207</v>
      </c>
      <c r="O67" s="57" t="n">
        <f aca="false">Assumptions!$F$116*P70/Assumptions!P$67</f>
        <v>43414.6057413475</v>
      </c>
      <c r="P67" s="57" t="n">
        <f aca="false">Assumptions!$F$116*Q70/Assumptions!Q$67</f>
        <v>27720.4747597787</v>
      </c>
      <c r="Q67" s="57" t="n">
        <f aca="false">Assumptions!$F$116*R70/Assumptions!R$67</f>
        <v>29253.269194974</v>
      </c>
      <c r="R67" s="57" t="n">
        <f aca="false">Assumptions!$F$116*S70/Assumptions!S$67</f>
        <v>30460.3937192792</v>
      </c>
      <c r="S67" s="57" t="n">
        <f aca="false">Assumptions!$F$116*T70/Assumptions!T$67</f>
        <v>33332.1197540465</v>
      </c>
      <c r="T67" s="57" t="n">
        <f aca="false">Assumptions!$F$116*U70/Assumptions!U$67</f>
        <v>34837.5067694544</v>
      </c>
      <c r="U67" s="57" t="n">
        <f aca="false">Assumptions!$F$116*V70/Assumptions!V$67</f>
        <v>35768.6040760302</v>
      </c>
      <c r="V67" s="57" t="n">
        <f aca="false">Assumptions!$F$116*W70/Assumptions!W$67</f>
        <v>33615.0329287388</v>
      </c>
      <c r="W67" s="57" t="n">
        <f aca="false">Assumptions!$F$116*X70/Assumptions!X$67</f>
        <v>33694.850779253</v>
      </c>
      <c r="X67" s="57" t="n">
        <f aca="false">Assumptions!$F$116*Y70/Assumptions!Y$67</f>
        <v>40159.0756886155</v>
      </c>
      <c r="Y67" s="57" t="n">
        <f aca="false">Assumptions!$F$116*Z70/Assumptions!Z$67</f>
        <v>45080.7688535975</v>
      </c>
      <c r="Z67" s="57" t="n">
        <f aca="false">Assumptions!$F$116*AA70/Assumptions!AA$67</f>
        <v>67386.7759905677</v>
      </c>
      <c r="AA67" s="57" t="n">
        <f aca="false">Assumptions!$F$116*AB70/Assumptions!AB$67</f>
        <v>58411.6380407301</v>
      </c>
      <c r="AB67" s="57" t="n">
        <f aca="false">Assumptions!$F$116*AB70/Assumptions!AB$67</f>
        <v>58411.6380407301</v>
      </c>
    </row>
    <row r="68" customFormat="false" ht="15" hidden="false" customHeight="true" outlineLevel="0" collapsed="false">
      <c r="A68" s="28" t="s">
        <v>814</v>
      </c>
      <c r="B68" s="55" t="s">
        <v>815</v>
      </c>
      <c r="C68" s="56" t="n">
        <f aca="false">SUM(E68:P68)</f>
        <v>0</v>
      </c>
      <c r="D68" s="56" t="n">
        <f aca="false">SUM(Q68:AB68)</f>
        <v>166190.04795508</v>
      </c>
      <c r="E68" s="57" t="n">
        <f aca="false">IF(Assumptions!E$62&lt;=Assumptions!$C$10+Assumptions!$C$36,0,MAX(0,E67-E65-E69+E70+E71-E66))</f>
        <v>0</v>
      </c>
      <c r="F68" s="57" t="n">
        <f aca="false">IF(Assumptions!F$62&lt;=Assumptions!$C$10+Assumptions!$C$36,0,MAX(0,F67-F65-F69+F70+F71-F66))</f>
        <v>0</v>
      </c>
      <c r="G68" s="57" t="n">
        <f aca="false">IF(Assumptions!G$62&lt;=Assumptions!$C$10+Assumptions!$C$36,0,MAX(0,G67-G65-G69+G70+G71-G66))</f>
        <v>0</v>
      </c>
      <c r="H68" s="57" t="n">
        <f aca="false">IF(Assumptions!H$62&lt;=Assumptions!$C$10+Assumptions!$C$36,0,MAX(0,H67-H65-H69+H70+H71-H66))</f>
        <v>0</v>
      </c>
      <c r="I68" s="57" t="n">
        <f aca="false">IF(Assumptions!I$62&lt;=Assumptions!$C$10+Assumptions!$C$36,0,MAX(0,I67-I65-I69+I70+I71-I66))</f>
        <v>0</v>
      </c>
      <c r="J68" s="57" t="n">
        <f aca="false">IF(Assumptions!J$62&lt;=Assumptions!$C$10+Assumptions!$C$36,0,MAX(0,J67-J65-J69+J70+J71-J66))</f>
        <v>0</v>
      </c>
      <c r="K68" s="57" t="n">
        <f aca="false">IF(Assumptions!K$62&lt;=Assumptions!$C$10+Assumptions!$C$36,0,MAX(0,K67-K65-K69+K70+K71-K66))</f>
        <v>0</v>
      </c>
      <c r="L68" s="57" t="n">
        <f aca="false">IF(Assumptions!L$62&lt;=Assumptions!$C$10+Assumptions!$C$36,0,MAX(0,L67-L65-L69+L70+L71-L66))</f>
        <v>0</v>
      </c>
      <c r="M68" s="57" t="n">
        <f aca="false">IF(Assumptions!M$62&lt;=Assumptions!$C$10+Assumptions!$C$36,0,MAX(0,M67-M65-M69+M70+M71-M66))</f>
        <v>0</v>
      </c>
      <c r="N68" s="57" t="n">
        <f aca="false">IF(Assumptions!N$62&lt;=Assumptions!$C$10+Assumptions!$C$36,0,MAX(0,N67-N65-N69+N70+N71-N66))</f>
        <v>0</v>
      </c>
      <c r="O68" s="57" t="n">
        <f aca="false">IF(Assumptions!O$62&lt;=Assumptions!$C$10+Assumptions!$C$36,0,MAX(0,O67-O65-O69+O70+O71-O66))</f>
        <v>0</v>
      </c>
      <c r="P68" s="57" t="n">
        <f aca="false">IF(Assumptions!P$62&lt;=Assumptions!$C$10+Assumptions!$C$36,0,MAX(0,P67-P65-P69+P70+P71-P66))</f>
        <v>0</v>
      </c>
      <c r="Q68" s="57" t="n">
        <f aca="false">IF(Assumptions!Q$62&lt;=Assumptions!$C$10+Assumptions!$C$36,0,MAX(0,Q67-Q65-Q69+Q70+Q71-Q66))</f>
        <v>0</v>
      </c>
      <c r="R68" s="57" t="n">
        <f aca="false">IF(Assumptions!R$62&lt;=Assumptions!$C$10+Assumptions!$C$36,0,MAX(0,R67-R65-R69+R70+R71-R66))</f>
        <v>0</v>
      </c>
      <c r="S68" s="57" t="n">
        <f aca="false">IF(Assumptions!S$62&lt;=Assumptions!$C$10+Assumptions!$C$36,0,MAX(0,S67-S65-S69+S70+S71-S66))</f>
        <v>0</v>
      </c>
      <c r="T68" s="57" t="n">
        <f aca="false">IF(Assumptions!T$62&lt;=Assumptions!$C$10+Assumptions!$C$36,0,MAX(0,T67-T65-T69+T70+T71-T66))</f>
        <v>5930.30563247979</v>
      </c>
      <c r="U68" s="57" t="n">
        <f aca="false">IF(Assumptions!U$62&lt;=Assumptions!$C$10+Assumptions!$C$36,0,MAX(0,U67-U65-U69+U70+U71-U66))</f>
        <v>14762.3587370379</v>
      </c>
      <c r="V68" s="57" t="n">
        <f aca="false">IF(Assumptions!V$62&lt;=Assumptions!$C$10+Assumptions!$C$36,0,MAX(0,V67-V65-V69+V70+V71-V66))</f>
        <v>11588.7417851202</v>
      </c>
      <c r="W68" s="57" t="n">
        <f aca="false">IF(Assumptions!W$62&lt;=Assumptions!$C$10+Assumptions!$C$36,0,MAX(0,W67-W65-W69+W70+W71-W66))</f>
        <v>13424.711869699</v>
      </c>
      <c r="X68" s="57" t="n">
        <f aca="false">IF(Assumptions!X$62&lt;=Assumptions!$C$10+Assumptions!$C$36,0,MAX(0,X67-X65-X69+X70+X71-X66))</f>
        <v>19840.2840204226</v>
      </c>
      <c r="Y68" s="57" t="n">
        <f aca="false">IF(Assumptions!Y$62&lt;=Assumptions!$C$10+Assumptions!$C$36,0,MAX(0,Y67-Y65-Y69+Y70+Y71-Y66))</f>
        <v>20349.0210649442</v>
      </c>
      <c r="Z68" s="57" t="n">
        <f aca="false">IF(Assumptions!Z$62&lt;=Assumptions!$C$10+Assumptions!$C$36,0,MAX(0,Z67-Z65-Z69+Z70+Z71-Z66))</f>
        <v>40200.5784137728</v>
      </c>
      <c r="AA68" s="57" t="n">
        <f aca="false">IF(Assumptions!AA$62&lt;=Assumptions!$C$10+Assumptions!$C$36,0,MAX(0,AA67-AA65-AA69+AA70+AA71-AA66))</f>
        <v>16909.7629993795</v>
      </c>
      <c r="AB68" s="57" t="n">
        <f aca="false">IF(Assumptions!AB$62&lt;=Assumptions!$C$10+Assumptions!$C$36,0,MAX(0,AB67-AB65-AB69+AB70+AB71-AB66))</f>
        <v>23184.2834322238</v>
      </c>
    </row>
    <row r="69" customFormat="false" ht="15" hidden="false" customHeight="true" outlineLevel="0" collapsed="false">
      <c r="A69" s="28" t="s">
        <v>816</v>
      </c>
      <c r="B69" s="55" t="s">
        <v>46</v>
      </c>
      <c r="C69" s="56" t="n">
        <f aca="false">SUM(E69:P69)</f>
        <v>6005.91738204438</v>
      </c>
      <c r="D69" s="56" t="n">
        <f aca="false">SUM(Q69:AB69)</f>
        <v>8111.82596203475</v>
      </c>
      <c r="E69" s="57" t="n">
        <f aca="false">Product_Contribution!E112</f>
        <v>352.331883377454</v>
      </c>
      <c r="F69" s="57" t="n">
        <f aca="false">Product_Contribution!F112</f>
        <v>327.043900724386</v>
      </c>
      <c r="G69" s="57" t="n">
        <f aca="false">Product_Contribution!G112</f>
        <v>420.563662272113</v>
      </c>
      <c r="H69" s="57" t="n">
        <f aca="false">Product_Contribution!H112</f>
        <v>382.196656364295</v>
      </c>
      <c r="I69" s="57" t="n">
        <f aca="false">Product_Contribution!I112</f>
        <v>442.857887543932</v>
      </c>
      <c r="J69" s="57" t="n">
        <f aca="false">Product_Contribution!J112</f>
        <v>515.021019653058</v>
      </c>
      <c r="K69" s="57" t="n">
        <f aca="false">Product_Contribution!K112</f>
        <v>419.416973328366</v>
      </c>
      <c r="L69" s="57" t="n">
        <f aca="false">Product_Contribution!L112</f>
        <v>449.110659647168</v>
      </c>
      <c r="M69" s="57" t="n">
        <f aca="false">Product_Contribution!M112</f>
        <v>505.205915283878</v>
      </c>
      <c r="N69" s="57" t="n">
        <f aca="false">Product_Contribution!N112</f>
        <v>585.910601843675</v>
      </c>
      <c r="O69" s="57" t="n">
        <f aca="false">Product_Contribution!O112</f>
        <v>847.396961704042</v>
      </c>
      <c r="P69" s="57" t="n">
        <f aca="false">Product_Contribution!P112</f>
        <v>758.861260302009</v>
      </c>
      <c r="Q69" s="57" t="n">
        <f aca="false">Product_Contribution!Q112</f>
        <v>484.923075840048</v>
      </c>
      <c r="R69" s="57" t="n">
        <f aca="false">Product_Contribution!R112</f>
        <v>462.587339055423</v>
      </c>
      <c r="S69" s="57" t="n">
        <f aca="false">Product_Contribution!S112</f>
        <v>533.721261977614</v>
      </c>
      <c r="T69" s="57" t="n">
        <f aca="false">Product_Contribution!T112</f>
        <v>565.669425086938</v>
      </c>
      <c r="U69" s="57" t="n">
        <f aca="false">Product_Contribution!U112</f>
        <v>611.439875973176</v>
      </c>
      <c r="V69" s="57" t="n">
        <f aca="false">Product_Contribution!V112</f>
        <v>608.051022891644</v>
      </c>
      <c r="W69" s="57" t="n">
        <f aca="false">Product_Contribution!W112</f>
        <v>591.002232192173</v>
      </c>
      <c r="X69" s="57" t="n">
        <f aca="false">Product_Contribution!X112</f>
        <v>592.927492664015</v>
      </c>
      <c r="Y69" s="57" t="n">
        <f aca="false">Product_Contribution!Y112</f>
        <v>684.493266310388</v>
      </c>
      <c r="Z69" s="57" t="n">
        <f aca="false">Product_Contribution!Z112</f>
        <v>794.713336062844</v>
      </c>
      <c r="AA69" s="57" t="n">
        <f aca="false">Product_Contribution!AA112</f>
        <v>1150.67357819867</v>
      </c>
      <c r="AB69" s="57" t="n">
        <f aca="false">Product_Contribution!AB112</f>
        <v>1031.62405578181</v>
      </c>
    </row>
    <row r="70" customFormat="false" ht="15" hidden="false" customHeight="true" outlineLevel="0" collapsed="false">
      <c r="A70" s="28" t="s">
        <v>659</v>
      </c>
      <c r="B70" s="55" t="s">
        <v>46</v>
      </c>
      <c r="C70" s="56" t="n">
        <f aca="false">SUM(E70:P70)</f>
        <v>144107.001564466</v>
      </c>
      <c r="D70" s="56" t="n">
        <f aca="false">SUM(Q70:AB70)</f>
        <v>190625.725921505</v>
      </c>
      <c r="E70" s="57" t="n">
        <f aca="false">-Product_Contribution!E111</f>
        <v>8920.96</v>
      </c>
      <c r="F70" s="57" t="n">
        <f aca="false">-Product_Contribution!F111</f>
        <v>8196.66</v>
      </c>
      <c r="G70" s="57" t="n">
        <f aca="false">-Product_Contribution!G111</f>
        <v>9695.45</v>
      </c>
      <c r="H70" s="57" t="n">
        <f aca="false">-Product_Contribution!H111</f>
        <v>10202.7</v>
      </c>
      <c r="I70" s="57" t="n">
        <f aca="false">-Product_Contribution!I111</f>
        <v>11033.1</v>
      </c>
      <c r="J70" s="57" t="n">
        <f aca="false">-Product_Contribution!J111</f>
        <v>11267.1</v>
      </c>
      <c r="K70" s="57" t="n">
        <f aca="false">-Product_Contribution!K111</f>
        <v>10370.36</v>
      </c>
      <c r="L70" s="57" t="n">
        <f aca="false">-Product_Contribution!L111</f>
        <v>10571.14</v>
      </c>
      <c r="M70" s="57" t="n">
        <f aca="false">-Product_Contribution!M111</f>
        <v>11974.2662243892</v>
      </c>
      <c r="N70" s="57" t="n">
        <f aca="false">-Product_Contribution!N111</f>
        <v>13876.5447259252</v>
      </c>
      <c r="O70" s="57" t="n">
        <f aca="false">-Product_Contribution!O111</f>
        <v>20054.0169077283</v>
      </c>
      <c r="P70" s="57" t="n">
        <f aca="false">-Product_Contribution!P111</f>
        <v>17944.7037064236</v>
      </c>
      <c r="Q70" s="57" t="n">
        <f aca="false">-Product_Contribution!Q111</f>
        <v>11457.7962340419</v>
      </c>
      <c r="R70" s="57" t="n">
        <f aca="false">-Product_Contribution!R111</f>
        <v>10921.220499457</v>
      </c>
      <c r="S70" s="57" t="n">
        <f aca="false">-Product_Contribution!S111</f>
        <v>12590.2960706354</v>
      </c>
      <c r="T70" s="57" t="n">
        <f aca="false">-Product_Contribution!T111</f>
        <v>13332.8479016186</v>
      </c>
      <c r="U70" s="57" t="n">
        <f aca="false">-Product_Contribution!U111</f>
        <v>14399.5027980411</v>
      </c>
      <c r="V70" s="57" t="n">
        <f aca="false">-Product_Contribution!V111</f>
        <v>14307.4416304121</v>
      </c>
      <c r="W70" s="57" t="n">
        <f aca="false">-Product_Contribution!W111</f>
        <v>13894.2136105454</v>
      </c>
      <c r="X70" s="57" t="n">
        <f aca="false">-Product_Contribution!X111</f>
        <v>13927.2049887579</v>
      </c>
      <c r="Y70" s="57" t="n">
        <f aca="false">-Product_Contribution!Y111</f>
        <v>16063.6302754462</v>
      </c>
      <c r="Z70" s="57" t="n">
        <f aca="false">-Product_Contribution!Z111</f>
        <v>18633.384459487</v>
      </c>
      <c r="AA70" s="57" t="n">
        <f aca="false">-Product_Contribution!AA111</f>
        <v>26954.7103962271</v>
      </c>
      <c r="AB70" s="57" t="n">
        <f aca="false">-Product_Contribution!AB111</f>
        <v>24143.4770568351</v>
      </c>
    </row>
    <row r="71" customFormat="false" ht="15" hidden="false" customHeight="true" outlineLevel="0" collapsed="false">
      <c r="A71" s="28" t="s">
        <v>817</v>
      </c>
      <c r="B71" s="55" t="s">
        <v>818</v>
      </c>
      <c r="C71" s="56" t="n">
        <f aca="false">SUM(E71:P71)</f>
        <v>191.548594693399</v>
      </c>
      <c r="D71" s="56" t="n">
        <f aca="false">SUM(Q71:AB71)</f>
        <v>571.877177764514</v>
      </c>
      <c r="E71" s="57" t="n">
        <f aca="false">IF(E$5="A",Inputs_Actuals!E87,Assumptions!$C$34*E70)</f>
        <v>0</v>
      </c>
      <c r="F71" s="57" t="n">
        <f aca="false">IF(F$5="A",Inputs_Actuals!F87,Assumptions!$C$34*F70)</f>
        <v>0</v>
      </c>
      <c r="G71" s="57" t="n">
        <f aca="false">IF(G$5="A",Inputs_Actuals!G87,Assumptions!$C$34*G70)</f>
        <v>0</v>
      </c>
      <c r="H71" s="57" t="n">
        <f aca="false">IF(H$5="A",Inputs_Actuals!H87,Assumptions!$C$34*H70)</f>
        <v>0</v>
      </c>
      <c r="I71" s="57" t="n">
        <f aca="false">IF(I$5="A",Inputs_Actuals!I87,Assumptions!$C$34*I70)</f>
        <v>0</v>
      </c>
      <c r="J71" s="57" t="n">
        <f aca="false">IF(J$5="A",Inputs_Actuals!J87,Assumptions!$C$34*J70)</f>
        <v>0</v>
      </c>
      <c r="K71" s="57" t="n">
        <f aca="false">IF(K$5="A",Inputs_Actuals!K87,Assumptions!$C$34*K70)</f>
        <v>0</v>
      </c>
      <c r="L71" s="57" t="n">
        <f aca="false">IF(L$5="A",Inputs_Actuals!L87,Assumptions!$C$34*L70)</f>
        <v>0</v>
      </c>
      <c r="M71" s="57" t="n">
        <f aca="false">IF(M$5="A",Inputs_Actuals!M87,Assumptions!$C$34*M70)</f>
        <v>35.9227986731677</v>
      </c>
      <c r="N71" s="57" t="n">
        <f aca="false">IF(N$5="A",Inputs_Actuals!N87,Assumptions!$C$34*N70)</f>
        <v>41.6296341777755</v>
      </c>
      <c r="O71" s="57" t="n">
        <f aca="false">IF(O$5="A",Inputs_Actuals!O87,Assumptions!$C$34*O70)</f>
        <v>60.1620507231849</v>
      </c>
      <c r="P71" s="57" t="n">
        <f aca="false">IF(P$5="A",Inputs_Actuals!P87,Assumptions!$C$34*P70)</f>
        <v>53.8341111192708</v>
      </c>
      <c r="Q71" s="57" t="n">
        <f aca="false">IF(Q$5="A",Inputs_Actuals!Q87,Assumptions!$C$34*Q70)</f>
        <v>34.3733887021256</v>
      </c>
      <c r="R71" s="57" t="n">
        <f aca="false">IF(R$5="A",Inputs_Actuals!R87,Assumptions!$C$34*R70)</f>
        <v>32.7636614983709</v>
      </c>
      <c r="S71" s="57" t="n">
        <f aca="false">IF(S$5="A",Inputs_Actuals!S87,Assumptions!$C$34*S70)</f>
        <v>37.7708882119063</v>
      </c>
      <c r="T71" s="57" t="n">
        <f aca="false">IF(T$5="A",Inputs_Actuals!T87,Assumptions!$C$34*T70)</f>
        <v>39.9985437048558</v>
      </c>
      <c r="U71" s="57" t="n">
        <f aca="false">IF(U$5="A",Inputs_Actuals!U87,Assumptions!$C$34*U70)</f>
        <v>43.1985083941234</v>
      </c>
      <c r="V71" s="57" t="n">
        <f aca="false">IF(V$5="A",Inputs_Actuals!V87,Assumptions!$C$34*V70)</f>
        <v>42.9223248912362</v>
      </c>
      <c r="W71" s="57" t="n">
        <f aca="false">IF(W$5="A",Inputs_Actuals!W87,Assumptions!$C$34*W70)</f>
        <v>41.6826408316361</v>
      </c>
      <c r="X71" s="57" t="n">
        <f aca="false">IF(X$5="A",Inputs_Actuals!X87,Assumptions!$C$34*X70)</f>
        <v>41.7816149662737</v>
      </c>
      <c r="Y71" s="57" t="n">
        <f aca="false">IF(Y$5="A",Inputs_Actuals!Y87,Assumptions!$C$34*Y70)</f>
        <v>48.1908908263385</v>
      </c>
      <c r="Z71" s="57" t="n">
        <f aca="false">IF(Z$5="A",Inputs_Actuals!Z87,Assumptions!$C$34*Z70)</f>
        <v>55.9001533784609</v>
      </c>
      <c r="AA71" s="57" t="n">
        <f aca="false">IF(AA$5="A",Inputs_Actuals!AA87,Assumptions!$C$34*AA70)</f>
        <v>80.8641311886812</v>
      </c>
      <c r="AB71" s="57" t="n">
        <f aca="false">IF(AB$5="A",Inputs_Actuals!AB87,Assumptions!$C$34*AB70)</f>
        <v>72.4304311705053</v>
      </c>
    </row>
    <row r="72" customFormat="false" ht="15" hidden="false" customHeight="true" outlineLevel="0" collapsed="false">
      <c r="A72" s="70" t="s">
        <v>819</v>
      </c>
      <c r="B72" s="71" t="s">
        <v>820</v>
      </c>
      <c r="C72" s="72" t="n">
        <f aca="false">P72</f>
        <v>75307.3672228846</v>
      </c>
      <c r="D72" s="72" t="n">
        <f aca="false">AB72</f>
        <v>58411.6380407301</v>
      </c>
      <c r="E72" s="72" t="n">
        <f aca="false">E65+E66+E68+E69-E70-E71</f>
        <v>87431.3718833775</v>
      </c>
      <c r="F72" s="72" t="n">
        <f aca="false">F65+F66+F68+F69-F70-F71</f>
        <v>79561.7557841018</v>
      </c>
      <c r="G72" s="72" t="n">
        <f aca="false">G65+G66+G68+G69-G70-G71</f>
        <v>113486.869446374</v>
      </c>
      <c r="H72" s="72" t="n">
        <f aca="false">H65+H66+H68+H69-H70-H71</f>
        <v>103666.366102738</v>
      </c>
      <c r="I72" s="72" t="n">
        <f aca="false">I65+I66+I68+I69-I70-I71</f>
        <v>93076.1239902822</v>
      </c>
      <c r="J72" s="72" t="n">
        <f aca="false">J65+J66+J68+J69-J70-J71</f>
        <v>82324.0450099352</v>
      </c>
      <c r="K72" s="72" t="n">
        <f aca="false">K65+K66+K68+K69-K70-K71</f>
        <v>72373.1019832636</v>
      </c>
      <c r="L72" s="72" t="n">
        <f aca="false">L65+L66+L68+L69-L70-L71</f>
        <v>103051.072642911</v>
      </c>
      <c r="M72" s="72" t="n">
        <f aca="false">M65+M66+M68+M69-M70-M71</f>
        <v>91546.0895351322</v>
      </c>
      <c r="N72" s="72" t="n">
        <f aca="false">N65+N66+N68+N69-N70-N71</f>
        <v>78213.825776873</v>
      </c>
      <c r="O72" s="72" t="n">
        <f aca="false">O65+O66+O68+O69-O70-O71</f>
        <v>58947.0437801255</v>
      </c>
      <c r="P72" s="72" t="n">
        <f aca="false">P65+P66+P68+P69-P70-P71</f>
        <v>75307.3672228846</v>
      </c>
      <c r="Q72" s="72" t="n">
        <f aca="false">Q65+Q66+Q68+Q69-Q70-Q71</f>
        <v>64300.1206759807</v>
      </c>
      <c r="R72" s="72" t="n">
        <f aca="false">R65+R66+R68+R69-R70-R71</f>
        <v>53808.7238540808</v>
      </c>
      <c r="S72" s="72" t="n">
        <f aca="false">S65+S66+S68+S69-S70-S71</f>
        <v>41714.3781572111</v>
      </c>
      <c r="T72" s="72" t="n">
        <f aca="false">T65+T66+T68+T69-T70-T71</f>
        <v>34837.5067694544</v>
      </c>
      <c r="U72" s="72" t="n">
        <f aca="false">U65+U66+U68+U69-U70-U71</f>
        <v>35768.6040760302</v>
      </c>
      <c r="V72" s="72" t="n">
        <f aca="false">V65+V66+V68+V69-V70-V71</f>
        <v>33615.0329287388</v>
      </c>
      <c r="W72" s="72" t="n">
        <f aca="false">W65+W66+W68+W69-W70-W71</f>
        <v>33694.850779253</v>
      </c>
      <c r="X72" s="72" t="n">
        <f aca="false">X65+X66+X68+X69-X70-X71</f>
        <v>40159.0756886155</v>
      </c>
      <c r="Y72" s="72" t="n">
        <f aca="false">Y65+Y66+Y68+Y69-Y70-Y71</f>
        <v>45080.7688535975</v>
      </c>
      <c r="Z72" s="72" t="n">
        <f aca="false">Z65+Z66+Z68+Z69-Z70-Z71</f>
        <v>67386.7759905677</v>
      </c>
      <c r="AA72" s="72" t="n">
        <f aca="false">AA65+AA66+AA68+AA69-AA70-AA71</f>
        <v>58411.6380407301</v>
      </c>
      <c r="AB72" s="72" t="n">
        <f aca="false">AB65+AB66+AB68+AB69-AB70-AB71</f>
        <v>58411.6380407301</v>
      </c>
    </row>
    <row r="73" customFormat="false" ht="15" hidden="false" customHeight="true" outlineLevel="0" collapsed="false">
      <c r="A73" s="28" t="s">
        <v>821</v>
      </c>
      <c r="B73" s="55" t="s">
        <v>315</v>
      </c>
      <c r="C73" s="66" t="n">
        <f aca="false">P73</f>
        <v>130.09567737102</v>
      </c>
      <c r="D73" s="66" t="n">
        <f aca="false">AB73</f>
        <v>75</v>
      </c>
      <c r="E73" s="67" t="n">
        <f aca="false">IF(E70=0,0,E72/E70*Assumptions!E$67)</f>
        <v>303.820724270112</v>
      </c>
      <c r="F73" s="67" t="n">
        <f aca="false">IF(F70=0,0,F72/F70*Assumptions!F$67)</f>
        <v>271.784990710222</v>
      </c>
      <c r="G73" s="67" t="n">
        <f aca="false">IF(G70=0,0,G72/G70*Assumptions!G$67)</f>
        <v>362.860202758778</v>
      </c>
      <c r="H73" s="67" t="n">
        <f aca="false">IF(H70=0,0,H72/H70*Assumptions!H$67)</f>
        <v>304.820389022724</v>
      </c>
      <c r="I73" s="67" t="n">
        <f aca="false">IF(I70=0,0,I72/I70*Assumptions!I$67)</f>
        <v>261.518507373154</v>
      </c>
      <c r="J73" s="67" t="n">
        <f aca="false">IF(J70=0,0,J72/J70*Assumptions!J$67)</f>
        <v>219.197606331537</v>
      </c>
      <c r="K73" s="67" t="n">
        <f aca="false">IF(K70=0,0,K72/K70*Assumptions!K$67)</f>
        <v>216.344096201209</v>
      </c>
      <c r="L73" s="67" t="n">
        <f aca="false">IF(L70=0,0,L72/L70*Assumptions!L$67)</f>
        <v>302.19855681887</v>
      </c>
      <c r="M73" s="67" t="n">
        <f aca="false">IF(M70=0,0,M72/M70*Assumptions!M$67)</f>
        <v>229.357075798108</v>
      </c>
      <c r="N73" s="67" t="n">
        <f aca="false">IF(N70=0,0,N72/N70*Assumptions!N$67)</f>
        <v>174.728554331915</v>
      </c>
      <c r="O73" s="67" t="n">
        <f aca="false">IF(O70=0,0,O72/O70*Assumptions!O$67)</f>
        <v>88.1823986456432</v>
      </c>
      <c r="P73" s="67" t="n">
        <f aca="false">IF(P70=0,0,P72/P70*Assumptions!P$67)</f>
        <v>130.09567737102</v>
      </c>
      <c r="Q73" s="67" t="n">
        <f aca="false">IF(Q70=0,0,Q72/Q70*Assumptions!Q$67)</f>
        <v>173.969208409656</v>
      </c>
      <c r="R73" s="67" t="n">
        <f aca="false">IF(R70=0,0,R72/R70*Assumptions!R$67)</f>
        <v>137.955667865984</v>
      </c>
      <c r="S73" s="67" t="n">
        <f aca="false">IF(S70=0,0,S72/S70*Assumptions!S$67)</f>
        <v>102.709715134466</v>
      </c>
      <c r="T73" s="67" t="n">
        <f aca="false">IF(T70=0,0,T72/T70*Assumptions!T$67)</f>
        <v>78.3872441053464</v>
      </c>
      <c r="U73" s="67" t="n">
        <f aca="false">IF(U70=0,0,U72/U70*Assumptions!U$67)</f>
        <v>77.0045148022595</v>
      </c>
      <c r="V73" s="67" t="n">
        <f aca="false">IF(V70=0,0,V72/V70*Assumptions!V$67)</f>
        <v>70.4843684784698</v>
      </c>
      <c r="W73" s="67" t="n">
        <f aca="false">IF(W70=0,0,W72/W70*Assumptions!W$67)</f>
        <v>75.1780851680633</v>
      </c>
      <c r="X73" s="67" t="n">
        <f aca="false">IF(X70=0,0,X72/X70*Assumptions!X$67)</f>
        <v>89.38845571326</v>
      </c>
      <c r="Y73" s="67" t="n">
        <f aca="false">IF(Y70=0,0,Y72/Y70*Assumptions!Y$67)</f>
        <v>84.1916205999307</v>
      </c>
      <c r="Z73" s="67" t="n">
        <f aca="false">IF(Z70=0,0,Z72/Z70*Assumptions!Z$67)</f>
        <v>112.11007105282</v>
      </c>
      <c r="AA73" s="67" t="n">
        <f aca="false">IF(AA70=0,0,AA72/AA70*Assumptions!AA$67)</f>
        <v>65.0108688041102</v>
      </c>
      <c r="AB73" s="67" t="n">
        <f aca="false">IF(AB70=0,0,AB72/AB70*Assumptions!AB$67)</f>
        <v>75</v>
      </c>
    </row>
    <row r="74" customFormat="false" ht="15" hidden="false" customHeight="true" outlineLevel="0" collapsed="false">
      <c r="A74" s="28" t="s">
        <v>822</v>
      </c>
      <c r="B74" s="55" t="s">
        <v>315</v>
      </c>
      <c r="E74" s="69" t="n">
        <f aca="false">AVERAGE(E70:E70)</f>
        <v>8920.96</v>
      </c>
      <c r="F74" s="69" t="n">
        <f aca="false">AVERAGE(E70:F70)</f>
        <v>8558.81</v>
      </c>
      <c r="G74" s="69" t="n">
        <f aca="false">AVERAGE(E70:G70)</f>
        <v>8937.69</v>
      </c>
      <c r="H74" s="69" t="n">
        <f aca="false">AVERAGE(F70:H70)</f>
        <v>9364.93666666667</v>
      </c>
      <c r="I74" s="69" t="n">
        <f aca="false">AVERAGE(G70:I70)</f>
        <v>10310.4166666667</v>
      </c>
      <c r="J74" s="69" t="n">
        <f aca="false">AVERAGE(H70:J70)</f>
        <v>10834.3</v>
      </c>
      <c r="K74" s="69" t="n">
        <f aca="false">AVERAGE(I70:K70)</f>
        <v>10890.1866666667</v>
      </c>
      <c r="L74" s="69" t="n">
        <f aca="false">AVERAGE(J70:L70)</f>
        <v>10736.2</v>
      </c>
      <c r="M74" s="69" t="n">
        <f aca="false">AVERAGE(K70:M70)</f>
        <v>10971.9220747964</v>
      </c>
      <c r="N74" s="69" t="n">
        <f aca="false">AVERAGE(L70:N70)</f>
        <v>12140.6503167715</v>
      </c>
      <c r="O74" s="69" t="n">
        <f aca="false">AVERAGE(M70:O70)</f>
        <v>15301.6092860142</v>
      </c>
      <c r="P74" s="69" t="n">
        <f aca="false">AVERAGE(N70:P70)</f>
        <v>17291.755113359</v>
      </c>
      <c r="Q74" s="69" t="n">
        <f aca="false">AVERAGE(O70:Q70)</f>
        <v>16485.5056160646</v>
      </c>
      <c r="R74" s="69" t="n">
        <f aca="false">AVERAGE(P70:R70)</f>
        <v>13441.2401466408</v>
      </c>
      <c r="S74" s="69" t="n">
        <f aca="false">AVERAGE(Q70:S70)</f>
        <v>11656.4376013781</v>
      </c>
      <c r="T74" s="69" t="n">
        <f aca="false">AVERAGE(R70:T70)</f>
        <v>12281.4548239037</v>
      </c>
      <c r="U74" s="69" t="n">
        <f aca="false">AVERAGE(S70:U70)</f>
        <v>13440.8822567651</v>
      </c>
      <c r="V74" s="69" t="n">
        <f aca="false">AVERAGE(T70:V70)</f>
        <v>14013.2641100239</v>
      </c>
      <c r="W74" s="69" t="n">
        <f aca="false">AVERAGE(U70:W70)</f>
        <v>14200.3860129995</v>
      </c>
      <c r="X74" s="69" t="n">
        <f aca="false">AVERAGE(V70:X70)</f>
        <v>14042.9534099051</v>
      </c>
      <c r="Y74" s="69" t="n">
        <f aca="false">AVERAGE(W70:Y70)</f>
        <v>14628.3496249165</v>
      </c>
      <c r="Z74" s="69" t="n">
        <f aca="false">AVERAGE(X70:Z70)</f>
        <v>16208.0732412304</v>
      </c>
      <c r="AA74" s="69" t="n">
        <f aca="false">AVERAGE(Y70:AA70)</f>
        <v>20550.5750437201</v>
      </c>
      <c r="AB74" s="69" t="n">
        <f aca="false">AVERAGE(Z70:AB70)</f>
        <v>23243.8573041831</v>
      </c>
    </row>
    <row r="75" customFormat="false" ht="15" hidden="false" customHeight="true" outlineLevel="0" collapsed="false">
      <c r="A75" s="28" t="s">
        <v>823</v>
      </c>
      <c r="B75" s="55" t="s">
        <v>71</v>
      </c>
      <c r="C75" s="56" t="n">
        <f aca="false">P75</f>
        <v>0</v>
      </c>
      <c r="D75" s="56" t="n">
        <f aca="false">AB75</f>
        <v>0</v>
      </c>
      <c r="E75" s="57" t="n">
        <f aca="false">MAX(0,E72-Assumptions!$C$32*E74)</f>
        <v>24984.6518833774</v>
      </c>
      <c r="F75" s="57" t="n">
        <f aca="false">MAX(0,F72-Assumptions!$C$32*F74)</f>
        <v>19650.0857841018</v>
      </c>
      <c r="G75" s="57" t="n">
        <f aca="false">MAX(0,G72-Assumptions!$C$32*G74)</f>
        <v>50923.0394463739</v>
      </c>
      <c r="H75" s="57" t="n">
        <f aca="false">MAX(0,H72-Assumptions!$C$32*H74)</f>
        <v>38111.8094360716</v>
      </c>
      <c r="I75" s="57" t="n">
        <f aca="false">MAX(0,I72-Assumptions!$C$32*I74)</f>
        <v>20903.2073236155</v>
      </c>
      <c r="J75" s="57" t="n">
        <f aca="false">MAX(0,J72-Assumptions!$C$32*J74)</f>
        <v>6483.94500993523</v>
      </c>
      <c r="K75" s="57" t="n">
        <f aca="false">MAX(0,K72-Assumptions!$C$32*K74)</f>
        <v>0</v>
      </c>
      <c r="L75" s="57" t="n">
        <f aca="false">MAX(0,L72-Assumptions!$C$32*L74)</f>
        <v>27897.6726429108</v>
      </c>
      <c r="M75" s="57" t="n">
        <f aca="false">MAX(0,M72-Assumptions!$C$32*M74)</f>
        <v>14742.6350115574</v>
      </c>
      <c r="N75" s="57" t="n">
        <f aca="false">MAX(0,N72-Assumptions!$C$32*N74)</f>
        <v>0</v>
      </c>
      <c r="O75" s="57" t="n">
        <f aca="false">MAX(0,O72-Assumptions!$C$32*O74)</f>
        <v>0</v>
      </c>
      <c r="P75" s="57" t="n">
        <f aca="false">MAX(0,P72-Assumptions!$C$32*P74)</f>
        <v>0</v>
      </c>
      <c r="Q75" s="57" t="n">
        <f aca="false">MAX(0,Q72-Assumptions!$C$32*Q74)</f>
        <v>0</v>
      </c>
      <c r="R75" s="57" t="n">
        <f aca="false">MAX(0,R72-Assumptions!$C$32*R74)</f>
        <v>0</v>
      </c>
      <c r="S75" s="57" t="n">
        <f aca="false">MAX(0,S72-Assumptions!$C$32*S74)</f>
        <v>0</v>
      </c>
      <c r="T75" s="57" t="n">
        <f aca="false">MAX(0,T72-Assumptions!$C$32*T74)</f>
        <v>0</v>
      </c>
      <c r="U75" s="57" t="n">
        <f aca="false">MAX(0,U72-Assumptions!$C$32*U74)</f>
        <v>0</v>
      </c>
      <c r="V75" s="57" t="n">
        <f aca="false">MAX(0,V72-Assumptions!$C$32*V74)</f>
        <v>0</v>
      </c>
      <c r="W75" s="57" t="n">
        <f aca="false">MAX(0,W72-Assumptions!$C$32*W74)</f>
        <v>0</v>
      </c>
      <c r="X75" s="57" t="n">
        <f aca="false">MAX(0,X72-Assumptions!$C$32*X74)</f>
        <v>0</v>
      </c>
      <c r="Y75" s="57" t="n">
        <f aca="false">MAX(0,Y72-Assumptions!$C$32*Y74)</f>
        <v>0</v>
      </c>
      <c r="Z75" s="57" t="n">
        <f aca="false">MAX(0,Z72-Assumptions!$C$32*Z74)</f>
        <v>0</v>
      </c>
      <c r="AA75" s="57" t="n">
        <f aca="false">MAX(0,AA72-Assumptions!$C$32*AA74)</f>
        <v>0</v>
      </c>
      <c r="AB75" s="57" t="n">
        <f aca="false">MAX(0,AB72-Assumptions!$C$32*AB74)</f>
        <v>0</v>
      </c>
    </row>
    <row r="76" customFormat="false" ht="15" hidden="false" customHeight="true" outlineLevel="0" collapsed="false">
      <c r="A76" s="28" t="s">
        <v>824</v>
      </c>
      <c r="B76" s="55" t="s">
        <v>825</v>
      </c>
      <c r="C76" s="56" t="n">
        <f aca="false">P76</f>
        <v>0</v>
      </c>
      <c r="D76" s="56" t="n">
        <f aca="false">AB76</f>
        <v>0</v>
      </c>
      <c r="E76" s="57" t="n">
        <f aca="false">Assumptions!$C$33*E75</f>
        <v>6246.16297084436</v>
      </c>
      <c r="F76" s="57" t="n">
        <f aca="false">Assumptions!$C$33*F75</f>
        <v>4912.52144602545</v>
      </c>
      <c r="G76" s="57" t="n">
        <f aca="false">Assumptions!$C$33*G75</f>
        <v>12730.7598615935</v>
      </c>
      <c r="H76" s="57" t="n">
        <f aca="false">Assumptions!$C$33*H75</f>
        <v>9527.95235901789</v>
      </c>
      <c r="I76" s="57" t="n">
        <f aca="false">Assumptions!$C$33*I75</f>
        <v>5225.80183090387</v>
      </c>
      <c r="J76" s="57" t="n">
        <f aca="false">Assumptions!$C$33*J75</f>
        <v>1620.98625248381</v>
      </c>
      <c r="K76" s="57" t="n">
        <f aca="false">Assumptions!$C$33*K75</f>
        <v>0</v>
      </c>
      <c r="L76" s="57" t="n">
        <f aca="false">Assumptions!$C$33*L75</f>
        <v>6974.41816072769</v>
      </c>
      <c r="M76" s="57" t="n">
        <f aca="false">Assumptions!$C$33*M75</f>
        <v>3685.65875288934</v>
      </c>
      <c r="N76" s="57" t="n">
        <f aca="false">Assumptions!$C$33*N75</f>
        <v>0</v>
      </c>
      <c r="O76" s="57" t="n">
        <f aca="false">Assumptions!$C$33*O75</f>
        <v>0</v>
      </c>
      <c r="P76" s="57" t="n">
        <f aca="false">Assumptions!$C$33*P75</f>
        <v>0</v>
      </c>
      <c r="Q76" s="57" t="n">
        <f aca="false">Assumptions!$C$33*Q75</f>
        <v>0</v>
      </c>
      <c r="R76" s="57" t="n">
        <f aca="false">Assumptions!$C$33*R75</f>
        <v>0</v>
      </c>
      <c r="S76" s="57" t="n">
        <f aca="false">Assumptions!$C$33*S75</f>
        <v>0</v>
      </c>
      <c r="T76" s="57" t="n">
        <f aca="false">Assumptions!$C$33*T75</f>
        <v>0</v>
      </c>
      <c r="U76" s="57" t="n">
        <f aca="false">Assumptions!$C$33*U75</f>
        <v>0</v>
      </c>
      <c r="V76" s="57" t="n">
        <f aca="false">Assumptions!$C$33*V75</f>
        <v>0</v>
      </c>
      <c r="W76" s="57" t="n">
        <f aca="false">Assumptions!$C$33*W75</f>
        <v>0</v>
      </c>
      <c r="X76" s="57" t="n">
        <f aca="false">Assumptions!$C$33*X75</f>
        <v>0</v>
      </c>
      <c r="Y76" s="57" t="n">
        <f aca="false">Assumptions!$C$33*Y75</f>
        <v>0</v>
      </c>
      <c r="Z76" s="57" t="n">
        <f aca="false">Assumptions!$C$33*Z75</f>
        <v>0</v>
      </c>
      <c r="AA76" s="57" t="n">
        <f aca="false">Assumptions!$C$33*AA75</f>
        <v>0</v>
      </c>
      <c r="AB76" s="57" t="n">
        <f aca="false">Assumptions!$C$33*AB75</f>
        <v>0</v>
      </c>
    </row>
    <row r="78" customFormat="false" ht="15" hidden="false" customHeight="true" outlineLevel="0" collapsed="false">
      <c r="A78" s="22" t="s">
        <v>826</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row>
    <row r="79" customFormat="false" ht="15" hidden="false" customHeight="true" outlineLevel="0" collapsed="false">
      <c r="A79" s="28" t="s">
        <v>808</v>
      </c>
      <c r="B79" s="55" t="s">
        <v>749</v>
      </c>
      <c r="E79" s="69" t="n">
        <f aca="false">E9+E23+E37+E51+E65</f>
        <v>643000</v>
      </c>
      <c r="F79" s="69" t="n">
        <f aca="false">F9+F23+F37+F51+F65</f>
        <v>734632.17</v>
      </c>
      <c r="G79" s="69" t="n">
        <f aca="false">G9+G23+G37+G51+G65</f>
        <v>693600.55</v>
      </c>
      <c r="H79" s="69" t="n">
        <f aca="false">H9+H23+H37+H51+H65</f>
        <v>671167.56</v>
      </c>
      <c r="I79" s="69" t="n">
        <f aca="false">I9+I23+I37+I51+I65</f>
        <v>555934.38</v>
      </c>
      <c r="J79" s="69" t="n">
        <f aca="false">J9+J23+J37+J51+J65</f>
        <v>591361.56</v>
      </c>
      <c r="K79" s="69" t="n">
        <f aca="false">K9+K23+K37+K51+K65</f>
        <v>532501.08</v>
      </c>
      <c r="L79" s="69" t="n">
        <f aca="false">L9+L23+L37+L51+L65</f>
        <v>467854.25</v>
      </c>
      <c r="M79" s="69" t="n">
        <f aca="false">M9+M23+M37+M51+M65</f>
        <v>390173.13</v>
      </c>
      <c r="N79" s="69" t="n">
        <f aca="false">N9+N23+N37+N51+N65</f>
        <v>518586.507970427</v>
      </c>
      <c r="O79" s="69" t="n">
        <f aca="false">O9+O23+O37+O51+O65</f>
        <v>631432.396407788</v>
      </c>
      <c r="P79" s="69" t="n">
        <f aca="false">P9+P23+P37+P51+P65</f>
        <v>478554.853053368</v>
      </c>
      <c r="Q79" s="69" t="n">
        <f aca="false">Q9+Q23+Q37+Q51+Q65</f>
        <v>435689.783239396</v>
      </c>
      <c r="R79" s="69" t="n">
        <f aca="false">R9+R23+R37+R51+R65</f>
        <v>552788.975271565</v>
      </c>
      <c r="S79" s="69" t="n">
        <f aca="false">S9+S23+S37+S51+S65</f>
        <v>478424.882693761</v>
      </c>
      <c r="T79" s="69" t="n">
        <f aca="false">T9+T23+T37+T51+T65</f>
        <v>468862.320711011</v>
      </c>
      <c r="U79" s="69" t="n">
        <f aca="false">U9+U23+U37+U51+U65</f>
        <v>453385.625918179</v>
      </c>
      <c r="V79" s="69" t="n">
        <f aca="false">V9+V23+V37+V51+V65</f>
        <v>438794.795232587</v>
      </c>
      <c r="W79" s="69" t="n">
        <f aca="false">W9+W23+W37+W51+W65</f>
        <v>393633.427969154</v>
      </c>
      <c r="X79" s="69" t="n">
        <f aca="false">X9+X23+X37+X51+X65</f>
        <v>394470.743193935</v>
      </c>
      <c r="Y79" s="69" t="n">
        <f aca="false">Y9+Y23+Y37+Y51+Y65</f>
        <v>470384.738068628</v>
      </c>
      <c r="Z79" s="69" t="n">
        <f aca="false">Z9+Z23+Z37+Z51+Z65</f>
        <v>528303.017317679</v>
      </c>
      <c r="AA79" s="69" t="n">
        <f aca="false">AA9+AA23+AA37+AA51+AA65</f>
        <v>790119.455030334</v>
      </c>
      <c r="AB79" s="69" t="n">
        <f aca="false">AB9+AB23+AB37+AB51+AB65</f>
        <v>685248.076029954</v>
      </c>
    </row>
    <row r="80" customFormat="false" ht="15" hidden="false" customHeight="true" outlineLevel="0" collapsed="false">
      <c r="A80" s="28" t="s">
        <v>827</v>
      </c>
      <c r="B80" s="55" t="s">
        <v>749</v>
      </c>
      <c r="C80" s="56" t="n">
        <f aca="false">SUM(E80:P80)</f>
        <v>1285740</v>
      </c>
      <c r="D80" s="56" t="n">
        <f aca="false">SUM(Q80:AB80)</f>
        <v>193960</v>
      </c>
      <c r="E80" s="69" t="n">
        <f aca="false">E10+E24+E38+E52+E66</f>
        <v>189040</v>
      </c>
      <c r="F80" s="69" t="n">
        <f aca="false">F10+F24+F38+F52+F66</f>
        <v>50880</v>
      </c>
      <c r="G80" s="69" t="n">
        <f aca="false">G10+G24+G38+G52+G66</f>
        <v>89940</v>
      </c>
      <c r="H80" s="69" t="n">
        <f aca="false">H10+H24+H38+H52+H66</f>
        <v>0</v>
      </c>
      <c r="I80" s="69" t="n">
        <f aca="false">I10+I24+I38+I52+I66</f>
        <v>164600</v>
      </c>
      <c r="J80" s="69" t="n">
        <f aca="false">J10+J24+J38+J52+J66</f>
        <v>64480</v>
      </c>
      <c r="K80" s="69" t="n">
        <f aca="false">K10+K24+K38+K52+K66</f>
        <v>52440</v>
      </c>
      <c r="L80" s="69" t="n">
        <f aca="false">L10+L24+L38+L52+L66</f>
        <v>40800</v>
      </c>
      <c r="M80" s="69" t="n">
        <f aca="false">M10+M24+M38+M52+M66</f>
        <v>261800</v>
      </c>
      <c r="N80" s="69" t="n">
        <f aca="false">N10+N24+N38+N52+N66</f>
        <v>267480</v>
      </c>
      <c r="O80" s="69" t="n">
        <f aca="false">O10+O24+O38+O52+O66</f>
        <v>70680</v>
      </c>
      <c r="P80" s="69" t="n">
        <f aca="false">P10+P24+P38+P52+P66</f>
        <v>33600</v>
      </c>
      <c r="Q80" s="69" t="n">
        <f aca="false">Q10+Q24+Q38+Q52+Q66</f>
        <v>193960</v>
      </c>
      <c r="R80" s="69" t="n">
        <f aca="false">R10+R24+R38+R52+R66</f>
        <v>0</v>
      </c>
      <c r="S80" s="69" t="n">
        <f aca="false">S10+S24+S38+S52+S66</f>
        <v>0</v>
      </c>
      <c r="T80" s="69" t="n">
        <f aca="false">T10+T24+T38+T52+T66</f>
        <v>0</v>
      </c>
      <c r="U80" s="69" t="n">
        <f aca="false">U10+U24+U38+U52+U66</f>
        <v>0</v>
      </c>
      <c r="V80" s="69" t="n">
        <f aca="false">V10+V24+V38+V52+V66</f>
        <v>0</v>
      </c>
      <c r="W80" s="69" t="n">
        <f aca="false">W10+W24+W38+W52+W66</f>
        <v>0</v>
      </c>
      <c r="X80" s="69" t="n">
        <f aca="false">X10+X24+X38+X52+X66</f>
        <v>0</v>
      </c>
      <c r="Y80" s="69" t="n">
        <f aca="false">Y10+Y24+Y38+Y52+Y66</f>
        <v>0</v>
      </c>
      <c r="Z80" s="69" t="n">
        <f aca="false">Z10+Z24+Z38+Z52+Z66</f>
        <v>0</v>
      </c>
      <c r="AA80" s="69" t="n">
        <f aca="false">AA10+AA24+AA38+AA52+AA66</f>
        <v>0</v>
      </c>
      <c r="AB80" s="69" t="n">
        <f aca="false">AB10+AB24+AB38+AB52+AB66</f>
        <v>0</v>
      </c>
    </row>
    <row r="81" customFormat="false" ht="15" hidden="false" customHeight="true" outlineLevel="0" collapsed="false">
      <c r="A81" s="28" t="s">
        <v>828</v>
      </c>
      <c r="B81" s="55" t="s">
        <v>749</v>
      </c>
      <c r="C81" s="56" t="n">
        <f aca="false">SUM(E81:P81)</f>
        <v>123655.467356909</v>
      </c>
      <c r="D81" s="56" t="n">
        <f aca="false">SUM(Q81:AB81)</f>
        <v>2188183.63190845</v>
      </c>
      <c r="E81" s="69" t="n">
        <f aca="false">E12+E26+E40+E54+E68</f>
        <v>0</v>
      </c>
      <c r="F81" s="69" t="n">
        <f aca="false">F12+F26+F40+F54+F68</f>
        <v>0</v>
      </c>
      <c r="G81" s="69" t="n">
        <f aca="false">G12+G26+G40+G54+G68</f>
        <v>0</v>
      </c>
      <c r="H81" s="69" t="n">
        <f aca="false">H12+H26+H40+H54+H68</f>
        <v>0</v>
      </c>
      <c r="I81" s="69" t="n">
        <f aca="false">I12+I26+I40+I54+I68</f>
        <v>0</v>
      </c>
      <c r="J81" s="69" t="n">
        <f aca="false">J12+J26+J40+J54+J68</f>
        <v>0</v>
      </c>
      <c r="K81" s="69" t="n">
        <f aca="false">K12+K26+K40+K54+K68</f>
        <v>0</v>
      </c>
      <c r="L81" s="69" t="n">
        <f aca="false">L12+L26+L40+L54+L68</f>
        <v>0</v>
      </c>
      <c r="M81" s="69" t="n">
        <f aca="false">M12+M26+M40+M54+M68</f>
        <v>0</v>
      </c>
      <c r="N81" s="69" t="n">
        <f aca="false">N12+N26+N40+N54+N68</f>
        <v>0</v>
      </c>
      <c r="O81" s="69" t="n">
        <f aca="false">O12+O26+O40+O54+O68</f>
        <v>0</v>
      </c>
      <c r="P81" s="69" t="n">
        <f aca="false">P12+P26+P40+P54+P68</f>
        <v>123655.467356909</v>
      </c>
      <c r="Q81" s="69" t="n">
        <f aca="false">Q12+Q26+Q40+Q54+Q68</f>
        <v>50967.5897407278</v>
      </c>
      <c r="R81" s="69" t="n">
        <f aca="false">R12+R26+R40+R54+R68</f>
        <v>47526.9558899659</v>
      </c>
      <c r="S81" s="69" t="n">
        <f aca="false">S12+S26+S40+S54+S68</f>
        <v>131014.514324896</v>
      </c>
      <c r="T81" s="69" t="n">
        <f aca="false">T12+T26+T40+T54+T68</f>
        <v>133453.579969365</v>
      </c>
      <c r="U81" s="69" t="n">
        <f aca="false">U12+U26+U40+U54+U68</f>
        <v>146322.741040417</v>
      </c>
      <c r="V81" s="69" t="n">
        <f aca="false">V12+V26+V40+V54+V68</f>
        <v>114792.931660012</v>
      </c>
      <c r="W81" s="69" t="n">
        <f aca="false">W12+W26+W40+W54+W68</f>
        <v>156240.650823179</v>
      </c>
      <c r="X81" s="69" t="n">
        <f aca="false">X12+X26+X40+X54+X68</f>
        <v>231756.697057804</v>
      </c>
      <c r="Y81" s="69" t="n">
        <f aca="false">Y12+Y26+Y40+Y54+Y68</f>
        <v>237749.906718116</v>
      </c>
      <c r="Z81" s="69" t="n">
        <f aca="false">Z12+Z26+Z40+Z54+Z68</f>
        <v>470514.182545709</v>
      </c>
      <c r="AA81" s="69" t="n">
        <f aca="false">AA12+AA26+AA40+AA54+AA68</f>
        <v>197171.157025839</v>
      </c>
      <c r="AB81" s="69" t="n">
        <f aca="false">AB12+AB26+AB40+AB54+AB68</f>
        <v>270672.725112424</v>
      </c>
    </row>
    <row r="82" customFormat="false" ht="15" hidden="false" customHeight="true" outlineLevel="0" collapsed="false">
      <c r="A82" s="28" t="s">
        <v>829</v>
      </c>
      <c r="B82" s="55" t="s">
        <v>830</v>
      </c>
      <c r="C82" s="56" t="n">
        <f aca="false">SUM(E82:P82)</f>
        <v>1409395.46735691</v>
      </c>
      <c r="D82" s="56" t="n">
        <f aca="false">SUM(Q82:AB82)</f>
        <v>2382143.63190845</v>
      </c>
      <c r="E82" s="69" t="n">
        <f aca="false">E80+E81</f>
        <v>189040</v>
      </c>
      <c r="F82" s="69" t="n">
        <f aca="false">F80+F81</f>
        <v>50880</v>
      </c>
      <c r="G82" s="69" t="n">
        <f aca="false">G80+G81</f>
        <v>89940</v>
      </c>
      <c r="H82" s="69" t="n">
        <f aca="false">H80+H81</f>
        <v>0</v>
      </c>
      <c r="I82" s="69" t="n">
        <f aca="false">I80+I81</f>
        <v>164600</v>
      </c>
      <c r="J82" s="69" t="n">
        <f aca="false">J80+J81</f>
        <v>64480</v>
      </c>
      <c r="K82" s="69" t="n">
        <f aca="false">K80+K81</f>
        <v>52440</v>
      </c>
      <c r="L82" s="69" t="n">
        <f aca="false">L80+L81</f>
        <v>40800</v>
      </c>
      <c r="M82" s="69" t="n">
        <f aca="false">M80+M81</f>
        <v>261800</v>
      </c>
      <c r="N82" s="69" t="n">
        <f aca="false">N80+N81</f>
        <v>267480</v>
      </c>
      <c r="O82" s="69" t="n">
        <f aca="false">O80+O81</f>
        <v>70680</v>
      </c>
      <c r="P82" s="69" t="n">
        <f aca="false">P80+P81</f>
        <v>157255.467356909</v>
      </c>
      <c r="Q82" s="69" t="n">
        <f aca="false">Q80+Q81</f>
        <v>244927.589740728</v>
      </c>
      <c r="R82" s="69" t="n">
        <f aca="false">R80+R81</f>
        <v>47526.9558899659</v>
      </c>
      <c r="S82" s="69" t="n">
        <f aca="false">S80+S81</f>
        <v>131014.514324896</v>
      </c>
      <c r="T82" s="69" t="n">
        <f aca="false">T80+T81</f>
        <v>133453.579969365</v>
      </c>
      <c r="U82" s="69" t="n">
        <f aca="false">U80+U81</f>
        <v>146322.741040417</v>
      </c>
      <c r="V82" s="69" t="n">
        <f aca="false">V80+V81</f>
        <v>114792.931660012</v>
      </c>
      <c r="W82" s="69" t="n">
        <f aca="false">W80+W81</f>
        <v>156240.650823179</v>
      </c>
      <c r="X82" s="69" t="n">
        <f aca="false">X80+X81</f>
        <v>231756.697057804</v>
      </c>
      <c r="Y82" s="69" t="n">
        <f aca="false">Y80+Y81</f>
        <v>237749.906718116</v>
      </c>
      <c r="Z82" s="69" t="n">
        <f aca="false">Z80+Z81</f>
        <v>470514.182545709</v>
      </c>
      <c r="AA82" s="69" t="n">
        <f aca="false">AA80+AA81</f>
        <v>197171.157025839</v>
      </c>
      <c r="AB82" s="69" t="n">
        <f aca="false">AB80+AB81</f>
        <v>270672.725112424</v>
      </c>
    </row>
    <row r="83" customFormat="false" ht="15" hidden="false" customHeight="true" outlineLevel="0" collapsed="false">
      <c r="A83" s="28" t="s">
        <v>714</v>
      </c>
      <c r="B83" s="55" t="s">
        <v>749</v>
      </c>
      <c r="C83" s="56" t="n">
        <f aca="false">SUM(E83:P83)</f>
        <v>77485.3109553636</v>
      </c>
      <c r="D83" s="56" t="n">
        <f aca="false">SUM(Q83:AB83)</f>
        <v>105241.873826914</v>
      </c>
      <c r="E83" s="69" t="n">
        <f aca="false">E13+E27+E41+E55+E69</f>
        <v>4379</v>
      </c>
      <c r="F83" s="69" t="n">
        <f aca="false">F13+F27+F41+F55+F69</f>
        <v>4195</v>
      </c>
      <c r="G83" s="69" t="n">
        <f aca="false">G13+G27+G41+G55+G69</f>
        <v>5358</v>
      </c>
      <c r="H83" s="69" t="n">
        <f aca="false">H13+H27+H41+H55+H69</f>
        <v>4977</v>
      </c>
      <c r="I83" s="69" t="n">
        <f aca="false">I13+I27+I41+I55+I69</f>
        <v>6033</v>
      </c>
      <c r="J83" s="69" t="n">
        <f aca="false">J13+J27+J41+J55+J69</f>
        <v>6515</v>
      </c>
      <c r="K83" s="69" t="n">
        <f aca="false">K13+K27+K41+K55+K69</f>
        <v>5325</v>
      </c>
      <c r="L83" s="69" t="n">
        <f aca="false">L13+L27+L41+L55+L69</f>
        <v>5839</v>
      </c>
      <c r="M83" s="69" t="n">
        <f aca="false">M13+M27+M41+M55+M69</f>
        <v>6525.60913969992</v>
      </c>
      <c r="N83" s="69" t="n">
        <f aca="false">N13+N27+N41+N55+N69</f>
        <v>7570.97548715572</v>
      </c>
      <c r="O83" s="69" t="n">
        <f aca="false">O13+O27+O41+O55+O69</f>
        <v>10954.1400415917</v>
      </c>
      <c r="P83" s="69" t="n">
        <f aca="false">P13+P27+P41+P55+P69</f>
        <v>9813.58628691627</v>
      </c>
      <c r="Q83" s="69" t="n">
        <f aca="false">Q13+Q27+Q41+Q55+Q69</f>
        <v>6273.57777794363</v>
      </c>
      <c r="R83" s="69" t="n">
        <f aca="false">R13+R27+R41+R55+R69</f>
        <v>5987.09801539023</v>
      </c>
      <c r="S83" s="69" t="n">
        <f aca="false">S13+S27+S41+S55+S69</f>
        <v>6910.67483890486</v>
      </c>
      <c r="T83" s="69" t="n">
        <f aca="false">T13+T27+T41+T55+T69</f>
        <v>7327.48850507945</v>
      </c>
      <c r="U83" s="69" t="n">
        <f aca="false">U13+U27+U41+U55+U69</f>
        <v>7923.84294286263</v>
      </c>
      <c r="V83" s="69" t="n">
        <f aca="false">V13+V27+V41+V55+V69</f>
        <v>7883.425612507</v>
      </c>
      <c r="W83" s="69" t="n">
        <f aca="false">W13+W27+W41+W55+W69</f>
        <v>7665.84663896876</v>
      </c>
      <c r="X83" s="69" t="n">
        <f aca="false">X13+X27+X41+X55+X69</f>
        <v>7694.34872527672</v>
      </c>
      <c r="Y83" s="69" t="n">
        <f aca="false">Y13+Y27+Y41+Y55+Y69</f>
        <v>8886.72944406777</v>
      </c>
      <c r="Z83" s="69" t="n">
        <f aca="false">Z13+Z27+Z41+Z55+Z69</f>
        <v>10322.5980663947</v>
      </c>
      <c r="AA83" s="69" t="n">
        <f aca="false">AA13+AA27+AA41+AA55+AA69</f>
        <v>14953.3893319507</v>
      </c>
      <c r="AB83" s="69" t="n">
        <f aca="false">AB13+AB27+AB41+AB55+AB69</f>
        <v>13412.8539275674</v>
      </c>
    </row>
    <row r="84" customFormat="false" ht="15" hidden="false" customHeight="true" outlineLevel="0" collapsed="false">
      <c r="A84" s="28" t="s">
        <v>659</v>
      </c>
      <c r="B84" s="55" t="s">
        <v>749</v>
      </c>
      <c r="C84" s="56" t="n">
        <f aca="false">SUM(E84:P84)</f>
        <v>1686058.00466887</v>
      </c>
      <c r="D84" s="56" t="n">
        <f aca="false">SUM(Q84:AB84)</f>
        <v>2231133.81151028</v>
      </c>
      <c r="E84" s="69" t="n">
        <f aca="false">E14+E28+E42+E56+E70</f>
        <v>101786.83</v>
      </c>
      <c r="F84" s="69" t="n">
        <f aca="false">F14+F28+F42+F56+F70</f>
        <v>96106.62</v>
      </c>
      <c r="G84" s="69" t="n">
        <f aca="false">G14+G28+G42+G56+G70</f>
        <v>113930.99</v>
      </c>
      <c r="H84" s="69" t="n">
        <f aca="false">H14+H28+H42+H56+H70</f>
        <v>120210.18</v>
      </c>
      <c r="I84" s="69" t="n">
        <f aca="false">I14+I28+I42+I56+I70</f>
        <v>135205.82</v>
      </c>
      <c r="J84" s="69" t="n">
        <f aca="false">J14+J28+J42+J56+J70</f>
        <v>129855.48</v>
      </c>
      <c r="K84" s="69" t="n">
        <f aca="false">K14+K28+K42+K56+K70</f>
        <v>120311.83</v>
      </c>
      <c r="L84" s="69" t="n">
        <f aca="false">L14+L28+L42+L56+L70</f>
        <v>124320.12</v>
      </c>
      <c r="M84" s="69" t="n">
        <f aca="false">M14+M28+M42+M56+M70</f>
        <v>139493.749919515</v>
      </c>
      <c r="N84" s="69" t="n">
        <f aca="false">N14+N28+N42+N56+N70</f>
        <v>161719.927267991</v>
      </c>
      <c r="O84" s="69" t="n">
        <f aca="false">O14+O28+O42+O56+O70</f>
        <v>233810.252638096</v>
      </c>
      <c r="P84" s="69" t="n">
        <f aca="false">P14+P28+P42+P56+P70</f>
        <v>209306.204843269</v>
      </c>
      <c r="Q84" s="69" t="n">
        <f aca="false">Q14+Q28+Q42+Q56+Q70</f>
        <v>133700.872867899</v>
      </c>
      <c r="R84" s="69" t="n">
        <f aca="false">R14+R28+R42+R56+R70</f>
        <v>127495.659504646</v>
      </c>
      <c r="S84" s="69" t="n">
        <f aca="false">S14+S28+S42+S56+S70</f>
        <v>147046.611312612</v>
      </c>
      <c r="T84" s="69" t="n">
        <f aca="false">T14+T28+T42+T56+T70</f>
        <v>155790.392091004</v>
      </c>
      <c r="U84" s="69" t="n">
        <f aca="false">U14+U28+U42+U56+U70</f>
        <v>168332.417416621</v>
      </c>
      <c r="V84" s="69" t="n">
        <f aca="false">V14+V28+V42+V56+V70</f>
        <v>167335.717383801</v>
      </c>
      <c r="W84" s="69" t="n">
        <f aca="false">W14+W28+W42+W56+W70</f>
        <v>162581.437923596</v>
      </c>
      <c r="X84" s="69" t="n">
        <f aca="false">X14+X28+X42+X56+X70</f>
        <v>163047.907186826</v>
      </c>
      <c r="Y84" s="69" t="n">
        <f aca="false">Y14+Y28+Y42+Y56+Y70</f>
        <v>188153.895227451</v>
      </c>
      <c r="Z84" s="69" t="n">
        <f aca="false">Z14+Z28+Z42+Z56+Z70</f>
        <v>218365.247157974</v>
      </c>
      <c r="AA84" s="69" t="n">
        <f aca="false">AA14+AA28+AA42+AA56+AA70</f>
        <v>316047.782012134</v>
      </c>
      <c r="AB84" s="69" t="n">
        <f aca="false">AB14+AB28+AB42+AB56+AB70</f>
        <v>283235.871425714</v>
      </c>
    </row>
    <row r="85" customFormat="false" ht="15" hidden="false" customHeight="true" outlineLevel="0" collapsed="false">
      <c r="A85" s="28" t="s">
        <v>831</v>
      </c>
      <c r="B85" s="55" t="s">
        <v>749</v>
      </c>
      <c r="C85" s="56" t="n">
        <f aca="false">SUM(E85:P85)</f>
        <v>8132.99040400661</v>
      </c>
      <c r="D85" s="56" t="n">
        <f aca="false">SUM(Q85:AB85)</f>
        <v>6693.40143453083</v>
      </c>
      <c r="E85" s="69" t="n">
        <f aca="false">E15+E29+E43+E57+E71</f>
        <v>0</v>
      </c>
      <c r="F85" s="69" t="n">
        <f aca="false">F15+F29+F43+F57+F71</f>
        <v>0</v>
      </c>
      <c r="G85" s="69" t="n">
        <f aca="false">G15+G29+G43+G57+G71</f>
        <v>3800</v>
      </c>
      <c r="H85" s="69" t="n">
        <f aca="false">H15+H29+H43+H57+H71</f>
        <v>0</v>
      </c>
      <c r="I85" s="69" t="n">
        <f aca="false">I15+I29+I43+I57+I71</f>
        <v>0</v>
      </c>
      <c r="J85" s="69" t="n">
        <f aca="false">J15+J29+J43+J57+J71</f>
        <v>0</v>
      </c>
      <c r="K85" s="69" t="n">
        <f aca="false">K15+K29+K43+K57+K71</f>
        <v>2100</v>
      </c>
      <c r="L85" s="69" t="n">
        <f aca="false">L15+L29+L43+L57+L71</f>
        <v>0</v>
      </c>
      <c r="M85" s="69" t="n">
        <f aca="false">M15+M29+M43+M57+M71</f>
        <v>418.481249758544</v>
      </c>
      <c r="N85" s="69" t="n">
        <f aca="false">N15+N29+N43+N57+N71</f>
        <v>485.159781803973</v>
      </c>
      <c r="O85" s="69" t="n">
        <f aca="false">O15+O29+O43+O57+O71</f>
        <v>701.430757914289</v>
      </c>
      <c r="P85" s="69" t="n">
        <f aca="false">P15+P29+P43+P57+P71</f>
        <v>627.918614529806</v>
      </c>
      <c r="Q85" s="69" t="n">
        <f aca="false">Q15+Q29+Q43+Q57+Q71</f>
        <v>401.102618603696</v>
      </c>
      <c r="R85" s="69" t="n">
        <f aca="false">R15+R29+R43+R57+R71</f>
        <v>382.486978513939</v>
      </c>
      <c r="S85" s="69" t="n">
        <f aca="false">S15+S29+S43+S57+S71</f>
        <v>441.139833937836</v>
      </c>
      <c r="T85" s="69" t="n">
        <f aca="false">T15+T29+T43+T57+T71</f>
        <v>467.371176273011</v>
      </c>
      <c r="U85" s="69" t="n">
        <f aca="false">U15+U29+U43+U57+U71</f>
        <v>504.997252249862</v>
      </c>
      <c r="V85" s="69" t="n">
        <f aca="false">V15+V29+V43+V57+V71</f>
        <v>502.007152151402</v>
      </c>
      <c r="W85" s="69" t="n">
        <f aca="false">W15+W29+W43+W57+W71</f>
        <v>487.744313770788</v>
      </c>
      <c r="X85" s="69" t="n">
        <f aca="false">X15+X29+X43+X57+X71</f>
        <v>489.143721560479</v>
      </c>
      <c r="Y85" s="69" t="n">
        <f aca="false">Y15+Y29+Y43+Y57+Y71</f>
        <v>564.461685682354</v>
      </c>
      <c r="Z85" s="69" t="n">
        <f aca="false">Z15+Z29+Z43+Z57+Z71</f>
        <v>655.095741473921</v>
      </c>
      <c r="AA85" s="69" t="n">
        <f aca="false">AA15+AA29+AA43+AA57+AA71</f>
        <v>948.143346036401</v>
      </c>
      <c r="AB85" s="69" t="n">
        <f aca="false">AB15+AB29+AB43+AB57+AB71</f>
        <v>849.707614277143</v>
      </c>
    </row>
    <row r="86" customFormat="false" ht="15" hidden="false" customHeight="true" outlineLevel="0" collapsed="false">
      <c r="A86" s="70" t="s">
        <v>832</v>
      </c>
      <c r="B86" s="71" t="s">
        <v>749</v>
      </c>
      <c r="C86" s="72" t="n">
        <f aca="false">P86</f>
        <v>435689.783239396</v>
      </c>
      <c r="D86" s="72" t="n">
        <f aca="false">AB86</f>
        <v>685248.076029954</v>
      </c>
      <c r="E86" s="72" t="n">
        <f aca="false">E16+E30+E44+E58+E72</f>
        <v>734632.17</v>
      </c>
      <c r="F86" s="72" t="n">
        <f aca="false">F16+F30+F44+F58+F72</f>
        <v>693600.55</v>
      </c>
      <c r="G86" s="72" t="n">
        <f aca="false">G16+G30+G44+G58+G72</f>
        <v>671167.56</v>
      </c>
      <c r="H86" s="72" t="n">
        <f aca="false">H16+H30+H44+H58+H72</f>
        <v>555934.38</v>
      </c>
      <c r="I86" s="72" t="n">
        <f aca="false">I16+I30+I44+I58+I72</f>
        <v>591361.56</v>
      </c>
      <c r="J86" s="72" t="n">
        <f aca="false">J16+J30+J44+J58+J72</f>
        <v>532501.08</v>
      </c>
      <c r="K86" s="72" t="n">
        <f aca="false">K16+K30+K44+K58+K72</f>
        <v>467854.25</v>
      </c>
      <c r="L86" s="72" t="n">
        <f aca="false">L16+L30+L44+L58+L72</f>
        <v>390173.13</v>
      </c>
      <c r="M86" s="72" t="n">
        <f aca="false">M16+M30+M44+M58+M72</f>
        <v>518586.507970427</v>
      </c>
      <c r="N86" s="72" t="n">
        <f aca="false">N16+N30+N44+N58+N72</f>
        <v>631432.396407788</v>
      </c>
      <c r="O86" s="72" t="n">
        <f aca="false">O16+O30+O44+O58+O72</f>
        <v>478554.853053368</v>
      </c>
      <c r="P86" s="72" t="n">
        <f aca="false">P16+P30+P44+P58+P72</f>
        <v>435689.783239396</v>
      </c>
      <c r="Q86" s="72" t="n">
        <f aca="false">Q16+Q30+Q44+Q58+Q72</f>
        <v>552788.975271565</v>
      </c>
      <c r="R86" s="72" t="n">
        <f aca="false">R16+R30+R44+R58+R72</f>
        <v>478424.882693761</v>
      </c>
      <c r="S86" s="72" t="n">
        <f aca="false">S16+S30+S44+S58+S72</f>
        <v>468862.320711011</v>
      </c>
      <c r="T86" s="72" t="n">
        <f aca="false">T16+T30+T44+T58+T72</f>
        <v>453385.625918179</v>
      </c>
      <c r="U86" s="72" t="n">
        <f aca="false">U16+U30+U44+U58+U72</f>
        <v>438794.795232587</v>
      </c>
      <c r="V86" s="72" t="n">
        <f aca="false">V16+V30+V44+V58+V72</f>
        <v>393633.427969154</v>
      </c>
      <c r="W86" s="72" t="n">
        <f aca="false">W16+W30+W44+W58+W72</f>
        <v>394470.743193935</v>
      </c>
      <c r="X86" s="72" t="n">
        <f aca="false">X16+X30+X44+X58+X72</f>
        <v>470384.738068628</v>
      </c>
      <c r="Y86" s="72" t="n">
        <f aca="false">Y16+Y30+Y44+Y58+Y72</f>
        <v>528303.017317679</v>
      </c>
      <c r="Z86" s="72" t="n">
        <f aca="false">Z16+Z30+Z44+Z58+Z72</f>
        <v>790119.455030334</v>
      </c>
      <c r="AA86" s="72" t="n">
        <f aca="false">AA16+AA30+AA44+AA58+AA72</f>
        <v>685248.076029954</v>
      </c>
      <c r="AB86" s="72" t="n">
        <f aca="false">AB16+AB30+AB44+AB58+AB72</f>
        <v>685248.076029954</v>
      </c>
    </row>
    <row r="87" customFormat="false" ht="15" hidden="false" customHeight="true" outlineLevel="0" collapsed="false">
      <c r="A87" s="28" t="s">
        <v>824</v>
      </c>
      <c r="B87" s="55" t="s">
        <v>749</v>
      </c>
      <c r="C87" s="56" t="n">
        <f aca="false">P87</f>
        <v>0</v>
      </c>
      <c r="D87" s="56" t="n">
        <f aca="false">AB87</f>
        <v>0</v>
      </c>
      <c r="E87" s="69" t="n">
        <f aca="false">E20+E34+E48+E62+E76</f>
        <v>25509.7362463742</v>
      </c>
      <c r="F87" s="69" t="n">
        <f aca="false">F20+F34+F48+F62+F76</f>
        <v>30070.4803130296</v>
      </c>
      <c r="G87" s="69" t="n">
        <f aca="false">G20+G34+G48+G62+G76</f>
        <v>25067.7972003322</v>
      </c>
      <c r="H87" s="69" t="n">
        <f aca="false">H20+H34+H48+H62+H76</f>
        <v>15482.0167090844</v>
      </c>
      <c r="I87" s="69" t="n">
        <f aca="false">I20+I34+I48+I62+I76</f>
        <v>5225.80183090387</v>
      </c>
      <c r="J87" s="69" t="n">
        <f aca="false">J20+J34+J48+J62+J76</f>
        <v>9888.22842563362</v>
      </c>
      <c r="K87" s="69" t="n">
        <f aca="false">K20+K34+K48+K62+K76</f>
        <v>2486.14559338448</v>
      </c>
      <c r="L87" s="69" t="n">
        <f aca="false">L20+L34+L48+L62+L76</f>
        <v>6974.41816072769</v>
      </c>
      <c r="M87" s="69" t="n">
        <f aca="false">M20+M34+M48+M62+M76</f>
        <v>3685.65875288934</v>
      </c>
      <c r="N87" s="69" t="n">
        <f aca="false">N20+N34+N48+N62+N76</f>
        <v>7044.72885048937</v>
      </c>
      <c r="O87" s="69" t="n">
        <f aca="false">O20+O34+O48+O62+O76</f>
        <v>0</v>
      </c>
      <c r="P87" s="69" t="n">
        <f aca="false">P20+P34+P48+P62+P76</f>
        <v>0</v>
      </c>
      <c r="Q87" s="69" t="n">
        <f aca="false">Q20+Q34+Q48+Q62+Q76</f>
        <v>0</v>
      </c>
      <c r="R87" s="69" t="n">
        <f aca="false">R20+R34+R48+R62+R76</f>
        <v>0</v>
      </c>
      <c r="S87" s="69" t="n">
        <f aca="false">S20+S34+S48+S62+S76</f>
        <v>0</v>
      </c>
      <c r="T87" s="69" t="n">
        <f aca="false">T20+T34+T48+T62+T76</f>
        <v>0</v>
      </c>
      <c r="U87" s="69" t="n">
        <f aca="false">U20+U34+U48+U62+U76</f>
        <v>0</v>
      </c>
      <c r="V87" s="69" t="n">
        <f aca="false">V20+V34+V48+V62+V76</f>
        <v>0</v>
      </c>
      <c r="W87" s="69" t="n">
        <f aca="false">W20+W34+W48+W62+W76</f>
        <v>0</v>
      </c>
      <c r="X87" s="69" t="n">
        <f aca="false">X20+X34+X48+X62+X76</f>
        <v>0</v>
      </c>
      <c r="Y87" s="69" t="n">
        <f aca="false">Y20+Y34+Y48+Y62+Y76</f>
        <v>0</v>
      </c>
      <c r="Z87" s="69" t="n">
        <f aca="false">Z20+Z34+Z48+Z62+Z76</f>
        <v>0</v>
      </c>
      <c r="AA87" s="69" t="n">
        <f aca="false">AA20+AA34+AA48+AA62+AA76</f>
        <v>0</v>
      </c>
      <c r="AB87" s="69" t="n">
        <f aca="false">AB20+AB34+AB48+AB62+AB76</f>
        <v>0</v>
      </c>
    </row>
    <row r="88" customFormat="false" ht="15" hidden="false" customHeight="true" outlineLevel="0" collapsed="false">
      <c r="A88" s="70" t="s">
        <v>833</v>
      </c>
      <c r="B88" s="71" t="s">
        <v>834</v>
      </c>
      <c r="C88" s="72" t="n">
        <f aca="false">P88</f>
        <v>435689.783239396</v>
      </c>
      <c r="D88" s="72" t="n">
        <f aca="false">AB88</f>
        <v>685248.076029954</v>
      </c>
      <c r="E88" s="72" t="n">
        <f aca="false">E86-E87</f>
        <v>709122.433753626</v>
      </c>
      <c r="F88" s="72" t="n">
        <f aca="false">F86-F87</f>
        <v>663530.06968697</v>
      </c>
      <c r="G88" s="72" t="n">
        <f aca="false">G86-G87</f>
        <v>646099.762799668</v>
      </c>
      <c r="H88" s="72" t="n">
        <f aca="false">H86-H87</f>
        <v>540452.363290916</v>
      </c>
      <c r="I88" s="72" t="n">
        <f aca="false">I86-I87</f>
        <v>586135.758169096</v>
      </c>
      <c r="J88" s="72" t="n">
        <f aca="false">J86-J87</f>
        <v>522612.851574366</v>
      </c>
      <c r="K88" s="72" t="n">
        <f aca="false">K86-K87</f>
        <v>465368.104406615</v>
      </c>
      <c r="L88" s="72" t="n">
        <f aca="false">L86-L87</f>
        <v>383198.711839272</v>
      </c>
      <c r="M88" s="72" t="n">
        <f aca="false">M86-M87</f>
        <v>514900.849217537</v>
      </c>
      <c r="N88" s="72" t="n">
        <f aca="false">N86-N87</f>
        <v>624387.667557298</v>
      </c>
      <c r="O88" s="72" t="n">
        <f aca="false">O86-O87</f>
        <v>478554.853053368</v>
      </c>
      <c r="P88" s="72" t="n">
        <f aca="false">P86-P87</f>
        <v>435689.783239396</v>
      </c>
      <c r="Q88" s="72" t="n">
        <f aca="false">Q86-Q87</f>
        <v>552788.975271565</v>
      </c>
      <c r="R88" s="72" t="n">
        <f aca="false">R86-R87</f>
        <v>478424.882693761</v>
      </c>
      <c r="S88" s="72" t="n">
        <f aca="false">S86-S87</f>
        <v>468862.320711011</v>
      </c>
      <c r="T88" s="72" t="n">
        <f aca="false">T86-T87</f>
        <v>453385.625918179</v>
      </c>
      <c r="U88" s="72" t="n">
        <f aca="false">U86-U87</f>
        <v>438794.795232587</v>
      </c>
      <c r="V88" s="72" t="n">
        <f aca="false">V86-V87</f>
        <v>393633.427969154</v>
      </c>
      <c r="W88" s="72" t="n">
        <f aca="false">W86-W87</f>
        <v>394470.743193935</v>
      </c>
      <c r="X88" s="72" t="n">
        <f aca="false">X86-X87</f>
        <v>470384.738068628</v>
      </c>
      <c r="Y88" s="72" t="n">
        <f aca="false">Y86-Y87</f>
        <v>528303.017317679</v>
      </c>
      <c r="Z88" s="72" t="n">
        <f aca="false">Z86-Z87</f>
        <v>790119.455030334</v>
      </c>
      <c r="AA88" s="72" t="n">
        <f aca="false">AA86-AA87</f>
        <v>685248.076029954</v>
      </c>
      <c r="AB88" s="72" t="n">
        <f aca="false">AB86-AB87</f>
        <v>685248.076029954</v>
      </c>
    </row>
    <row r="89" customFormat="false" ht="15" hidden="false" customHeight="true" outlineLevel="0" collapsed="false">
      <c r="A89" s="28" t="s">
        <v>835</v>
      </c>
      <c r="B89" s="55" t="s">
        <v>836</v>
      </c>
      <c r="C89" s="56" t="n">
        <f aca="false">SUM(E89:P89)</f>
        <v>18000</v>
      </c>
      <c r="D89" s="56" t="n">
        <f aca="false">SUM(Q89:AB89)</f>
        <v>0</v>
      </c>
      <c r="E89" s="57" t="n">
        <f aca="false">-(E87-Inputs_Actuals!$C$121)</f>
        <v>-7509.73624637424</v>
      </c>
      <c r="F89" s="69" t="n">
        <f aca="false">-(F87-E87)</f>
        <v>-4560.74406665535</v>
      </c>
      <c r="G89" s="69" t="n">
        <f aca="false">-(G87-F87)</f>
        <v>5002.68311269741</v>
      </c>
      <c r="H89" s="69" t="n">
        <f aca="false">-(H87-G87)</f>
        <v>9585.78049124776</v>
      </c>
      <c r="I89" s="69" t="n">
        <f aca="false">-(I87-H87)</f>
        <v>10256.2148781805</v>
      </c>
      <c r="J89" s="69" t="n">
        <f aca="false">-(J87-I87)</f>
        <v>-4662.42659472974</v>
      </c>
      <c r="K89" s="69" t="n">
        <f aca="false">-(K87-J87)</f>
        <v>7402.08283224914</v>
      </c>
      <c r="L89" s="69" t="n">
        <f aca="false">-(L87-K87)</f>
        <v>-4488.27256734321</v>
      </c>
      <c r="M89" s="69" t="n">
        <f aca="false">-(M87-L87)</f>
        <v>3288.75940783834</v>
      </c>
      <c r="N89" s="69" t="n">
        <f aca="false">-(N87-M87)</f>
        <v>-3359.07009760002</v>
      </c>
      <c r="O89" s="69" t="n">
        <f aca="false">-(O87-N87)</f>
        <v>7044.72885048937</v>
      </c>
      <c r="P89" s="69" t="n">
        <f aca="false">-(P87-O87)</f>
        <v>-0</v>
      </c>
      <c r="Q89" s="69" t="n">
        <f aca="false">-(Q87-P87)</f>
        <v>-0</v>
      </c>
      <c r="R89" s="69" t="n">
        <f aca="false">-(R87-Q87)</f>
        <v>-0</v>
      </c>
      <c r="S89" s="69" t="n">
        <f aca="false">-(S87-R87)</f>
        <v>-0</v>
      </c>
      <c r="T89" s="69" t="n">
        <f aca="false">-(T87-S87)</f>
        <v>-0</v>
      </c>
      <c r="U89" s="69" t="n">
        <f aca="false">-(U87-T87)</f>
        <v>-0</v>
      </c>
      <c r="V89" s="69" t="n">
        <f aca="false">-(V87-U87)</f>
        <v>-0</v>
      </c>
      <c r="W89" s="69" t="n">
        <f aca="false">-(W87-V87)</f>
        <v>-0</v>
      </c>
      <c r="X89" s="69" t="n">
        <f aca="false">-(X87-W87)</f>
        <v>-0</v>
      </c>
      <c r="Y89" s="69" t="n">
        <f aca="false">-(Y87-X87)</f>
        <v>-0</v>
      </c>
      <c r="Z89" s="69" t="n">
        <f aca="false">-(Z87-Y87)</f>
        <v>-0</v>
      </c>
      <c r="AA89" s="69" t="n">
        <f aca="false">-(AA87-Z87)</f>
        <v>-0</v>
      </c>
      <c r="AB89" s="69" t="n">
        <f aca="false">-(AB87-AA87)</f>
        <v>-0</v>
      </c>
    </row>
    <row r="90" customFormat="false" ht="15" hidden="false" customHeight="true" outlineLevel="0" collapsed="false">
      <c r="A90" s="28" t="s">
        <v>837</v>
      </c>
      <c r="B90" s="55" t="s">
        <v>315</v>
      </c>
      <c r="C90" s="66" t="n">
        <f aca="false">P90</f>
        <v>64.5293018930568</v>
      </c>
      <c r="D90" s="66" t="n">
        <f aca="false">AB90</f>
        <v>75</v>
      </c>
      <c r="E90" s="67" t="n">
        <f aca="false">IF(E84=0,0,E86/E84*Assumptions!E$67)</f>
        <v>223.738152273727</v>
      </c>
      <c r="F90" s="67" t="n">
        <f aca="false">IF(F84=0,0,F86/F84*Assumptions!F$67)</f>
        <v>202.07573005897</v>
      </c>
      <c r="G90" s="67" t="n">
        <f aca="false">IF(G84=0,0,G86/G84*Assumptions!G$67)</f>
        <v>182.621026640776</v>
      </c>
      <c r="H90" s="67" t="n">
        <f aca="false">IF(H84=0,0,H86/H84*Assumptions!H$67)</f>
        <v>138.740590855117</v>
      </c>
      <c r="I90" s="67" t="n">
        <f aca="false">IF(I84=0,0,I86/I84*Assumptions!I$67)</f>
        <v>135.587420423174</v>
      </c>
      <c r="J90" s="67" t="n">
        <f aca="false">IF(J84=0,0,J86/J84*Assumptions!J$67)</f>
        <v>123.021626811591</v>
      </c>
      <c r="K90" s="67" t="n">
        <f aca="false">IF(K84=0,0,K86/K84*Assumptions!K$67)</f>
        <v>120.549091057795</v>
      </c>
      <c r="L90" s="67" t="n">
        <f aca="false">IF(L84=0,0,L86/L84*Assumptions!L$67)</f>
        <v>97.2921119284633</v>
      </c>
      <c r="M90" s="67" t="n">
        <f aca="false">IF(M84=0,0,M86/M84*Assumptions!M$67)</f>
        <v>111.528977091011</v>
      </c>
      <c r="N90" s="67" t="n">
        <f aca="false">IF(N84=0,0,N86/N84*Assumptions!N$67)</f>
        <v>121.0389135051</v>
      </c>
      <c r="O90" s="67" t="n">
        <f aca="false">IF(O84=0,0,O86/O84*Assumptions!O$67)</f>
        <v>61.4029771133391</v>
      </c>
      <c r="P90" s="67" t="n">
        <f aca="false">IF(P84=0,0,P86/P84*Assumptions!P$67)</f>
        <v>64.5293018930568</v>
      </c>
      <c r="Q90" s="67" t="n">
        <f aca="false">IF(Q84=0,0,Q86/Q84*Assumptions!Q$67)</f>
        <v>128.170129826676</v>
      </c>
      <c r="R90" s="67" t="n">
        <f aca="false">IF(R84=0,0,R86/R84*Assumptions!R$67)</f>
        <v>105.069433480887</v>
      </c>
      <c r="S90" s="67" t="n">
        <f aca="false">IF(S84=0,0,S86/S84*Assumptions!S$67)</f>
        <v>98.8443855475283</v>
      </c>
      <c r="T90" s="67" t="n">
        <f aca="false">IF(T84=0,0,T86/T84*Assumptions!T$67)</f>
        <v>87.3068524636622</v>
      </c>
      <c r="U90" s="67" t="n">
        <f aca="false">IF(U84=0,0,U86/U84*Assumptions!U$67)</f>
        <v>80.8081940541723</v>
      </c>
      <c r="V90" s="67" t="n">
        <f aca="false">IF(V84=0,0,V86/V84*Assumptions!V$67)</f>
        <v>70.5707246707499</v>
      </c>
      <c r="W90" s="67" t="n">
        <f aca="false">IF(W84=0,0,W86/W84*Assumptions!W$67)</f>
        <v>75.215185664422</v>
      </c>
      <c r="X90" s="67" t="n">
        <f aca="false">IF(X84=0,0,X86/X84*Assumptions!X$67)</f>
        <v>89.4333888224579</v>
      </c>
      <c r="Y90" s="67" t="n">
        <f aca="false">IF(Y84=0,0,Y86/Y84*Assumptions!Y$67)</f>
        <v>84.234719139729</v>
      </c>
      <c r="Z90" s="67" t="n">
        <f aca="false">IF(Z84=0,0,Z86/Z84*Assumptions!Z$67)</f>
        <v>112.168504030409</v>
      </c>
      <c r="AA90" s="67" t="n">
        <f aca="false">IF(AA84=0,0,AA86/AA84*Assumptions!AA$67)</f>
        <v>65.0453616539204</v>
      </c>
      <c r="AB90" s="67" t="n">
        <f aca="false">IF(AB84=0,0,AB86/AB84*Assumptions!AB$67)</f>
        <v>75</v>
      </c>
    </row>
    <row r="91" customFormat="false" ht="15" hidden="false" customHeight="true" outlineLevel="0" collapsed="false">
      <c r="A91" s="28" t="s">
        <v>838</v>
      </c>
      <c r="B91" s="55" t="s">
        <v>315</v>
      </c>
      <c r="C91" s="66" t="n">
        <f aca="false">P91</f>
        <v>14.4313442716329</v>
      </c>
      <c r="D91" s="66" t="n">
        <f aca="false">AB91</f>
        <v>10.7142857142857</v>
      </c>
      <c r="E91" s="67" t="n">
        <f aca="false">IF(F84=0,0,E86/F84*Assumptions!F$67/7)</f>
        <v>30.5757155958663</v>
      </c>
      <c r="F91" s="67" t="n">
        <f aca="false">IF(G84=0,0,F86/G84*Assumptions!G$67/7)</f>
        <v>26.960702953353</v>
      </c>
      <c r="G91" s="67" t="n">
        <f aca="false">IF(H84=0,0,G86/H84*Assumptions!H$67/7)</f>
        <v>23.9283594783736</v>
      </c>
      <c r="H91" s="67" t="n">
        <f aca="false">IF(I84=0,0,H86/I84*Assumptions!I$67/7)</f>
        <v>18.2092391542655</v>
      </c>
      <c r="I91" s="67" t="n">
        <f aca="false">IF(J84=0,0,I86/J84*Assumptions!J$67/7)</f>
        <v>19.5171330906812</v>
      </c>
      <c r="J91" s="67" t="n">
        <f aca="false">IF(K84=0,0,J86/K84*Assumptions!K$67/7)</f>
        <v>19.6008910226985</v>
      </c>
      <c r="K91" s="67" t="n">
        <f aca="false">IF(L84=0,0,K86/L84*Assumptions!L$67/7)</f>
        <v>16.6660550543686</v>
      </c>
      <c r="L91" s="67" t="n">
        <f aca="false">IF(M84=0,0,L86/M84*Assumptions!M$67/7)</f>
        <v>11.9874227921156</v>
      </c>
      <c r="M91" s="67" t="n">
        <f aca="false">IF(N84=0,0,M86/N84*Assumptions!N$67/7)</f>
        <v>14.2010785636497</v>
      </c>
      <c r="N91" s="67" t="n">
        <f aca="false">IF(O84=0,0,N86/O84*Assumptions!O$67/7)</f>
        <v>11.5740811671606</v>
      </c>
      <c r="O91" s="67" t="n">
        <f aca="false">IF(P84=0,0,O86/P84*Assumptions!P$67/7)</f>
        <v>10.1254253347306</v>
      </c>
      <c r="P91" s="67" t="n">
        <f aca="false">IF(Q84=0,0,P86/Q84*Assumptions!Q$67/7)</f>
        <v>14.4313442716329</v>
      </c>
      <c r="Q91" s="67" t="n">
        <f aca="false">IF(R84=0,0,Q86/R84*Assumptions!R$67/7)</f>
        <v>17.3429896333505</v>
      </c>
      <c r="R91" s="67" t="n">
        <f aca="false">IF(S84=0,0,R86/S84*Assumptions!S$67/7)</f>
        <v>14.408620146376</v>
      </c>
      <c r="S91" s="67" t="n">
        <f aca="false">IF(T84=0,0,S86/T84*Assumptions!T$67/7)</f>
        <v>12.89816348065</v>
      </c>
      <c r="T91" s="67" t="n">
        <f aca="false">IF(U84=0,0,T86/U84*Assumptions!U$67/7)</f>
        <v>11.9278904199232</v>
      </c>
      <c r="U91" s="67" t="n">
        <f aca="false">IF(V84=0,0,U86/V84*Assumptions!V$67/7)</f>
        <v>11.2381812551839</v>
      </c>
      <c r="V91" s="67" t="n">
        <f aca="false">IF(W84=0,0,V86/W84*Assumptions!W$67/7)</f>
        <v>10.7222188135281</v>
      </c>
      <c r="W91" s="67" t="n">
        <f aca="false">IF(X84=0,0,W86/X84*Assumptions!X$67/7)</f>
        <v>10.7142857142857</v>
      </c>
      <c r="X91" s="67" t="n">
        <f aca="false">IF(Y84=0,0,X86/Y84*Assumptions!Y$67/7)</f>
        <v>10.7142857142857</v>
      </c>
      <c r="Y91" s="67" t="n">
        <f aca="false">IF(Z84=0,0,Y86/Z84*Assumptions!Z$67/7)</f>
        <v>10.7142857142857</v>
      </c>
      <c r="Z91" s="67" t="n">
        <f aca="false">IF(AA84=0,0,Z86/AA84*Assumptions!AA$67/7)</f>
        <v>10.7142857142857</v>
      </c>
      <c r="AA91" s="67" t="n">
        <f aca="false">IF(AB84=0,0,AA86/AB84*Assumptions!AB$67/7)</f>
        <v>10.7142857142857</v>
      </c>
      <c r="AB91" s="67" t="n">
        <f aca="false">IF(AB84=0,0,AB86/AB84*Assumptions!AB$67/7)</f>
        <v>10.7142857142857</v>
      </c>
    </row>
    <row r="93" customFormat="false" ht="15" hidden="false" customHeight="true" outlineLevel="0" collapsed="false">
      <c r="A93" s="22" t="s">
        <v>839</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row>
    <row r="94" customFormat="false" ht="15" hidden="false" customHeight="true" outlineLevel="0" collapsed="false">
      <c r="A94" s="28" t="s">
        <v>840</v>
      </c>
      <c r="B94" s="55"/>
      <c r="C94" s="56" t="n">
        <f aca="false">SUM(E94:P94)</f>
        <v>105704.688455532</v>
      </c>
      <c r="D94" s="56" t="n">
        <f aca="false">SUM(Q94:AB94)</f>
        <v>1870903.02370261</v>
      </c>
      <c r="E94" s="57" t="n">
        <f aca="false">E12/(1+Assumptions!$C$38)+E26/(1+Assumptions!$C$39)+E40/(1+Assumptions!$C$40)+E54/(1+Assumptions!$C$41)+E68/(1+Assumptions!$C$42)</f>
        <v>0</v>
      </c>
      <c r="F94" s="57" t="n">
        <f aca="false">F12/(1+Assumptions!$C$38)+F26/(1+Assumptions!$C$39)+F40/(1+Assumptions!$C$40)+F54/(1+Assumptions!$C$41)+F68/(1+Assumptions!$C$42)</f>
        <v>0</v>
      </c>
      <c r="G94" s="57" t="n">
        <f aca="false">G12/(1+Assumptions!$C$38)+G26/(1+Assumptions!$C$39)+G40/(1+Assumptions!$C$40)+G54/(1+Assumptions!$C$41)+G68/(1+Assumptions!$C$42)</f>
        <v>0</v>
      </c>
      <c r="H94" s="57" t="n">
        <f aca="false">H12/(1+Assumptions!$C$38)+H26/(1+Assumptions!$C$39)+H40/(1+Assumptions!$C$40)+H54/(1+Assumptions!$C$41)+H68/(1+Assumptions!$C$42)</f>
        <v>0</v>
      </c>
      <c r="I94" s="57" t="n">
        <f aca="false">I12/(1+Assumptions!$C$38)+I26/(1+Assumptions!$C$39)+I40/(1+Assumptions!$C$40)+I54/(1+Assumptions!$C$41)+I68/(1+Assumptions!$C$42)</f>
        <v>0</v>
      </c>
      <c r="J94" s="57" t="n">
        <f aca="false">J12/(1+Assumptions!$C$38)+J26/(1+Assumptions!$C$39)+J40/(1+Assumptions!$C$40)+J54/(1+Assumptions!$C$41)+J68/(1+Assumptions!$C$42)</f>
        <v>0</v>
      </c>
      <c r="K94" s="57" t="n">
        <f aca="false">K12/(1+Assumptions!$C$38)+K26/(1+Assumptions!$C$39)+K40/(1+Assumptions!$C$40)+K54/(1+Assumptions!$C$41)+K68/(1+Assumptions!$C$42)</f>
        <v>0</v>
      </c>
      <c r="L94" s="57" t="n">
        <f aca="false">L12/(1+Assumptions!$C$38)+L26/(1+Assumptions!$C$39)+L40/(1+Assumptions!$C$40)+L54/(1+Assumptions!$C$41)+L68/(1+Assumptions!$C$42)</f>
        <v>0</v>
      </c>
      <c r="M94" s="57" t="n">
        <f aca="false">M12/(1+Assumptions!$C$38)+M26/(1+Assumptions!$C$39)+M40/(1+Assumptions!$C$40)+M54/(1+Assumptions!$C$41)+M68/(1+Assumptions!$C$42)</f>
        <v>0</v>
      </c>
      <c r="N94" s="57" t="n">
        <f aca="false">N12/(1+Assumptions!$C$38)+N26/(1+Assumptions!$C$39)+N40/(1+Assumptions!$C$40)+N54/(1+Assumptions!$C$41)+N68/(1+Assumptions!$C$42)</f>
        <v>0</v>
      </c>
      <c r="O94" s="57" t="n">
        <f aca="false">O12/(1+Assumptions!$C$38)+O26/(1+Assumptions!$C$39)+O40/(1+Assumptions!$C$40)+O54/(1+Assumptions!$C$41)+O68/(1+Assumptions!$C$42)</f>
        <v>0</v>
      </c>
      <c r="P94" s="57" t="n">
        <f aca="false">P12/(1+Assumptions!$C$38)+P26/(1+Assumptions!$C$39)+P40/(1+Assumptions!$C$40)+P54/(1+Assumptions!$C$41)+P68/(1+Assumptions!$C$42)</f>
        <v>105704.688455532</v>
      </c>
      <c r="Q94" s="57" t="n">
        <f aca="false">Q12/(1+Assumptions!$C$38)+Q26/(1+Assumptions!$C$39)+Q40/(1+Assumptions!$C$40)+Q54/(1+Assumptions!$C$41)+Q68/(1+Assumptions!$C$42)</f>
        <v>46368.8319278901</v>
      </c>
      <c r="R94" s="57" t="n">
        <f aca="false">R12/(1+Assumptions!$C$38)+R26/(1+Assumptions!$C$39)+R40/(1+Assumptions!$C$40)+R54/(1+Assumptions!$C$41)+R68/(1+Assumptions!$C$42)</f>
        <v>43238.0523060678</v>
      </c>
      <c r="S94" s="57" t="n">
        <f aca="false">S12/(1+Assumptions!$C$38)+S26/(1+Assumptions!$C$39)+S40/(1+Assumptions!$C$40)+S54/(1+Assumptions!$C$41)+S68/(1+Assumptions!$C$42)</f>
        <v>112868.802476099</v>
      </c>
      <c r="T94" s="57" t="n">
        <f aca="false">T12/(1+Assumptions!$C$38)+T26/(1+Assumptions!$C$39)+T40/(1+Assumptions!$C$40)+T54/(1+Assumptions!$C$41)+T68/(1+Assumptions!$C$42)</f>
        <v>114704.206218409</v>
      </c>
      <c r="U94" s="57" t="n">
        <f aca="false">U12/(1+Assumptions!$C$38)+U26/(1+Assumptions!$C$39)+U40/(1+Assumptions!$C$40)+U54/(1+Assumptions!$C$41)+U68/(1+Assumptions!$C$42)</f>
        <v>125534.298831126</v>
      </c>
      <c r="V94" s="57" t="n">
        <f aca="false">V12/(1+Assumptions!$C$38)+V26/(1+Assumptions!$C$39)+V40/(1+Assumptions!$C$40)+V54/(1+Assumptions!$C$41)+V68/(1+Assumptions!$C$42)</f>
        <v>98476.722849377</v>
      </c>
      <c r="W94" s="57" t="n">
        <f aca="false">W12/(1+Assumptions!$C$38)+W26/(1+Assumptions!$C$39)+W40/(1+Assumptions!$C$40)+W54/(1+Assumptions!$C$41)+W68/(1+Assumptions!$C$42)</f>
        <v>132845.419677238</v>
      </c>
      <c r="X94" s="57" t="n">
        <f aca="false">X12/(1+Assumptions!$C$38)+X26/(1+Assumptions!$C$39)+X40/(1+Assumptions!$C$40)+X54/(1+Assumptions!$C$41)+X68/(1+Assumptions!$C$42)</f>
        <v>197037.34610189</v>
      </c>
      <c r="Y94" s="57" t="n">
        <f aca="false">Y12/(1+Assumptions!$C$38)+Y26/(1+Assumptions!$C$39)+Y40/(1+Assumptions!$C$40)+Y54/(1+Assumptions!$C$41)+Y68/(1+Assumptions!$C$42)</f>
        <v>202122.858975755</v>
      </c>
      <c r="Z94" s="57" t="n">
        <f aca="false">Z12/(1+Assumptions!$C$38)+Z26/(1+Assumptions!$C$39)+Z40/(1+Assumptions!$C$40)+Z54/(1+Assumptions!$C$41)+Z68/(1+Assumptions!$C$42)</f>
        <v>400012.356411936</v>
      </c>
      <c r="AA94" s="57" t="n">
        <f aca="false">AA12/(1+Assumptions!$C$38)+AA26/(1+Assumptions!$C$39)+AA40/(1+Assumptions!$C$40)+AA54/(1+Assumptions!$C$41)+AA68/(1+Assumptions!$C$42)</f>
        <v>167593.565548547</v>
      </c>
      <c r="AB94" s="57" t="n">
        <f aca="false">AB12/(1+Assumptions!$C$38)+AB26/(1+Assumptions!$C$39)+AB40/(1+Assumptions!$C$40)+AB54/(1+Assumptions!$C$41)+AB68/(1+Assumptions!$C$42)</f>
        <v>230100.562378273</v>
      </c>
    </row>
    <row r="95" customFormat="false" ht="15" hidden="false" customHeight="true" outlineLevel="0" collapsed="false">
      <c r="A95" s="28" t="s">
        <v>841</v>
      </c>
      <c r="B95" s="55" t="s">
        <v>842</v>
      </c>
      <c r="C95" s="56" t="n">
        <f aca="false">SUM(E95:P95)</f>
        <v>152073.520383422</v>
      </c>
      <c r="D95" s="56" t="n">
        <f aca="false">SUM(Q95:AB95)</f>
        <v>2054634.75415299</v>
      </c>
      <c r="E95" s="57" t="n">
        <f aca="false">INDEX(Inventory!$E$94:$AB$94,MIN(24,Assumptions!E$62+Assumptions!$C$37))</f>
        <v>0</v>
      </c>
      <c r="F95" s="57" t="n">
        <f aca="false">INDEX(Inventory!$E$94:$AB$94,MIN(24,Assumptions!F$62+Assumptions!$C$37))</f>
        <v>0</v>
      </c>
      <c r="G95" s="57" t="n">
        <f aca="false">INDEX(Inventory!$E$94:$AB$94,MIN(24,Assumptions!G$62+Assumptions!$C$37))</f>
        <v>0</v>
      </c>
      <c r="H95" s="57" t="n">
        <f aca="false">INDEX(Inventory!$E$94:$AB$94,MIN(24,Assumptions!H$62+Assumptions!$C$37))</f>
        <v>0</v>
      </c>
      <c r="I95" s="57" t="n">
        <f aca="false">INDEX(Inventory!$E$94:$AB$94,MIN(24,Assumptions!I$62+Assumptions!$C$37))</f>
        <v>0</v>
      </c>
      <c r="J95" s="57" t="n">
        <f aca="false">INDEX(Inventory!$E$94:$AB$94,MIN(24,Assumptions!J$62+Assumptions!$C$37))</f>
        <v>0</v>
      </c>
      <c r="K95" s="57" t="n">
        <f aca="false">INDEX(Inventory!$E$94:$AB$94,MIN(24,Assumptions!K$62+Assumptions!$C$37))</f>
        <v>0</v>
      </c>
      <c r="L95" s="57" t="n">
        <f aca="false">INDEX(Inventory!$E$94:$AB$94,MIN(24,Assumptions!L$62+Assumptions!$C$37))</f>
        <v>0</v>
      </c>
      <c r="M95" s="57" t="n">
        <f aca="false">INDEX(Inventory!$E$94:$AB$94,MIN(24,Assumptions!M$62+Assumptions!$C$37))</f>
        <v>0</v>
      </c>
      <c r="N95" s="57" t="n">
        <f aca="false">INDEX(Inventory!$E$94:$AB$94,MIN(24,Assumptions!N$62+Assumptions!$C$37))</f>
        <v>0</v>
      </c>
      <c r="O95" s="57" t="n">
        <f aca="false">INDEX(Inventory!$E$94:$AB$94,MIN(24,Assumptions!O$62+Assumptions!$C$37))</f>
        <v>105704.688455532</v>
      </c>
      <c r="P95" s="57" t="n">
        <f aca="false">INDEX(Inventory!$E$94:$AB$94,MIN(24,Assumptions!P$62+Assumptions!$C$37))</f>
        <v>46368.8319278901</v>
      </c>
      <c r="Q95" s="57" t="n">
        <f aca="false">INDEX(Inventory!$E$94:$AB$94,MIN(24,Assumptions!Q$62+Assumptions!$C$37))</f>
        <v>43238.0523060678</v>
      </c>
      <c r="R95" s="57" t="n">
        <f aca="false">INDEX(Inventory!$E$94:$AB$94,MIN(24,Assumptions!R$62+Assumptions!$C$37))</f>
        <v>112868.802476099</v>
      </c>
      <c r="S95" s="57" t="n">
        <f aca="false">INDEX(Inventory!$E$94:$AB$94,MIN(24,Assumptions!S$62+Assumptions!$C$37))</f>
        <v>114704.206218409</v>
      </c>
      <c r="T95" s="57" t="n">
        <f aca="false">INDEX(Inventory!$E$94:$AB$94,MIN(24,Assumptions!T$62+Assumptions!$C$37))</f>
        <v>125534.298831126</v>
      </c>
      <c r="U95" s="57" t="n">
        <f aca="false">INDEX(Inventory!$E$94:$AB$94,MIN(24,Assumptions!U$62+Assumptions!$C$37))</f>
        <v>98476.722849377</v>
      </c>
      <c r="V95" s="57" t="n">
        <f aca="false">INDEX(Inventory!$E$94:$AB$94,MIN(24,Assumptions!V$62+Assumptions!$C$37))</f>
        <v>132845.419677238</v>
      </c>
      <c r="W95" s="57" t="n">
        <f aca="false">INDEX(Inventory!$E$94:$AB$94,MIN(24,Assumptions!W$62+Assumptions!$C$37))</f>
        <v>197037.34610189</v>
      </c>
      <c r="X95" s="57" t="n">
        <f aca="false">INDEX(Inventory!$E$94:$AB$94,MIN(24,Assumptions!X$62+Assumptions!$C$37))</f>
        <v>202122.858975755</v>
      </c>
      <c r="Y95" s="57" t="n">
        <f aca="false">INDEX(Inventory!$E$94:$AB$94,MIN(24,Assumptions!Y$62+Assumptions!$C$37))</f>
        <v>400012.356411936</v>
      </c>
      <c r="Z95" s="57" t="n">
        <f aca="false">INDEX(Inventory!$E$94:$AB$94,MIN(24,Assumptions!Z$62+Assumptions!$C$37))</f>
        <v>167593.565548547</v>
      </c>
      <c r="AA95" s="57" t="n">
        <f aca="false">INDEX(Inventory!$E$94:$AB$94,MIN(24,Assumptions!AA$62+Assumptions!$C$37))</f>
        <v>230100.562378273</v>
      </c>
      <c r="AB95" s="57" t="n">
        <f aca="false">INDEX(Inventory!$E$94:$AB$94,MIN(24,Assumptions!AB$62+Assumptions!$C$37))</f>
        <v>230100.562378273</v>
      </c>
    </row>
    <row r="96" customFormat="false" ht="15" hidden="false" customHeight="true" outlineLevel="0" collapsed="false">
      <c r="A96" s="28" t="s">
        <v>843</v>
      </c>
      <c r="B96" s="55" t="s">
        <v>844</v>
      </c>
      <c r="C96" s="56" t="n">
        <f aca="false">SUM(E96:P96)</f>
        <v>92454.1125496767</v>
      </c>
      <c r="D96" s="56" t="n">
        <f aca="false">SUM(Q96:AB96)</f>
        <v>707618.707238211</v>
      </c>
      <c r="E96" s="57" t="n">
        <f aca="false">Assumptions!$C$35*INDEX(Inventory!$E$94:$AB$94,MIN(24,Assumptions!E$62+Assumptions!$C$36))</f>
        <v>0</v>
      </c>
      <c r="F96" s="57" t="n">
        <f aca="false">Assumptions!$C$35*INDEX(Inventory!$E$94:$AB$94,MIN(24,Assumptions!F$62+Assumptions!$C$36))</f>
        <v>0</v>
      </c>
      <c r="G96" s="57" t="n">
        <f aca="false">Assumptions!$C$35*INDEX(Inventory!$E$94:$AB$94,MIN(24,Assumptions!G$62+Assumptions!$C$36))</f>
        <v>0</v>
      </c>
      <c r="H96" s="57" t="n">
        <f aca="false">Assumptions!$C$35*INDEX(Inventory!$E$94:$AB$94,MIN(24,Assumptions!H$62+Assumptions!$C$36))</f>
        <v>0</v>
      </c>
      <c r="I96" s="57" t="n">
        <f aca="false">Assumptions!$C$35*INDEX(Inventory!$E$94:$AB$94,MIN(24,Assumptions!I$62+Assumptions!$C$36))</f>
        <v>0</v>
      </c>
      <c r="J96" s="57" t="n">
        <f aca="false">Assumptions!$C$35*INDEX(Inventory!$E$94:$AB$94,MIN(24,Assumptions!J$62+Assumptions!$C$36))</f>
        <v>0</v>
      </c>
      <c r="K96" s="57" t="n">
        <f aca="false">Assumptions!$C$35*INDEX(Inventory!$E$94:$AB$94,MIN(24,Assumptions!K$62+Assumptions!$C$36))</f>
        <v>0</v>
      </c>
      <c r="L96" s="57" t="n">
        <f aca="false">Assumptions!$C$35*INDEX(Inventory!$E$94:$AB$94,MIN(24,Assumptions!L$62+Assumptions!$C$36))</f>
        <v>0</v>
      </c>
      <c r="M96" s="57" t="n">
        <f aca="false">Assumptions!$C$35*INDEX(Inventory!$E$94:$AB$94,MIN(24,Assumptions!M$62+Assumptions!$C$36))</f>
        <v>31711.4065366597</v>
      </c>
      <c r="N96" s="57" t="n">
        <f aca="false">Assumptions!$C$35*INDEX(Inventory!$E$94:$AB$94,MIN(24,Assumptions!N$62+Assumptions!$C$36))</f>
        <v>13910.649578367</v>
      </c>
      <c r="O96" s="57" t="n">
        <f aca="false">Assumptions!$C$35*INDEX(Inventory!$E$94:$AB$94,MIN(24,Assumptions!O$62+Assumptions!$C$36))</f>
        <v>12971.4156918203</v>
      </c>
      <c r="P96" s="57" t="n">
        <f aca="false">Assumptions!$C$35*INDEX(Inventory!$E$94:$AB$94,MIN(24,Assumptions!P$62+Assumptions!$C$36))</f>
        <v>33860.6407428296</v>
      </c>
      <c r="Q96" s="57" t="n">
        <f aca="false">Assumptions!$C$35*INDEX(Inventory!$E$94:$AB$94,MIN(24,Assumptions!Q$62+Assumptions!$C$36))</f>
        <v>34411.2618655226</v>
      </c>
      <c r="R96" s="57" t="n">
        <f aca="false">Assumptions!$C$35*INDEX(Inventory!$E$94:$AB$94,MIN(24,Assumptions!R$62+Assumptions!$C$36))</f>
        <v>37660.2896493379</v>
      </c>
      <c r="S96" s="57" t="n">
        <f aca="false">Assumptions!$C$35*INDEX(Inventory!$E$94:$AB$94,MIN(24,Assumptions!S$62+Assumptions!$C$36))</f>
        <v>29543.0168548131</v>
      </c>
      <c r="T96" s="57" t="n">
        <f aca="false">Assumptions!$C$35*INDEX(Inventory!$E$94:$AB$94,MIN(24,Assumptions!T$62+Assumptions!$C$36))</f>
        <v>39853.6259031715</v>
      </c>
      <c r="U96" s="57" t="n">
        <f aca="false">Assumptions!$C$35*INDEX(Inventory!$E$94:$AB$94,MIN(24,Assumptions!U$62+Assumptions!$C$36))</f>
        <v>59111.203830567</v>
      </c>
      <c r="V96" s="57" t="n">
        <f aca="false">Assumptions!$C$35*INDEX(Inventory!$E$94:$AB$94,MIN(24,Assumptions!V$62+Assumptions!$C$36))</f>
        <v>60636.8576927265</v>
      </c>
      <c r="W96" s="57" t="n">
        <f aca="false">Assumptions!$C$35*INDEX(Inventory!$E$94:$AB$94,MIN(24,Assumptions!W$62+Assumptions!$C$36))</f>
        <v>120003.706923581</v>
      </c>
      <c r="X96" s="57" t="n">
        <f aca="false">Assumptions!$C$35*INDEX(Inventory!$E$94:$AB$94,MIN(24,Assumptions!X$62+Assumptions!$C$36))</f>
        <v>50278.0696645641</v>
      </c>
      <c r="Y96" s="57" t="n">
        <f aca="false">Assumptions!$C$35*INDEX(Inventory!$E$94:$AB$94,MIN(24,Assumptions!Y$62+Assumptions!$C$36))</f>
        <v>69030.1687134818</v>
      </c>
      <c r="Z96" s="57" t="n">
        <f aca="false">Assumptions!$C$35*INDEX(Inventory!$E$94:$AB$94,MIN(24,Assumptions!Z$62+Assumptions!$C$36))</f>
        <v>69030.1687134818</v>
      </c>
      <c r="AA96" s="57" t="n">
        <f aca="false">Assumptions!$C$35*INDEX(Inventory!$E$94:$AB$94,MIN(24,Assumptions!AA$62+Assumptions!$C$36))</f>
        <v>69030.1687134818</v>
      </c>
      <c r="AB96" s="57" t="n">
        <f aca="false">Assumptions!$C$35*INDEX(Inventory!$E$94:$AB$94,MIN(24,Assumptions!AB$62+Assumptions!$C$36))</f>
        <v>69030.1687134818</v>
      </c>
    </row>
    <row r="97" customFormat="false" ht="15" hidden="false" customHeight="true" outlineLevel="0" collapsed="false">
      <c r="A97" s="28" t="s">
        <v>845</v>
      </c>
      <c r="B97" s="55" t="s">
        <v>846</v>
      </c>
      <c r="C97" s="56" t="n">
        <f aca="false">SUM(E97:P97)</f>
        <v>106451.464268396</v>
      </c>
      <c r="D97" s="56" t="n">
        <f aca="false">SUM(Q97:AB97)</f>
        <v>1438244.32790709</v>
      </c>
      <c r="E97" s="57" t="n">
        <f aca="false">(1-Assumptions!$C$35)*E95</f>
        <v>0</v>
      </c>
      <c r="F97" s="57" t="n">
        <f aca="false">(1-Assumptions!$C$35)*F95</f>
        <v>0</v>
      </c>
      <c r="G97" s="57" t="n">
        <f aca="false">(1-Assumptions!$C$35)*G95</f>
        <v>0</v>
      </c>
      <c r="H97" s="57" t="n">
        <f aca="false">(1-Assumptions!$C$35)*H95</f>
        <v>0</v>
      </c>
      <c r="I97" s="57" t="n">
        <f aca="false">(1-Assumptions!$C$35)*I95</f>
        <v>0</v>
      </c>
      <c r="J97" s="57" t="n">
        <f aca="false">(1-Assumptions!$C$35)*J95</f>
        <v>0</v>
      </c>
      <c r="K97" s="57" t="n">
        <f aca="false">(1-Assumptions!$C$35)*K95</f>
        <v>0</v>
      </c>
      <c r="L97" s="57" t="n">
        <f aca="false">(1-Assumptions!$C$35)*L95</f>
        <v>0</v>
      </c>
      <c r="M97" s="57" t="n">
        <f aca="false">(1-Assumptions!$C$35)*M95</f>
        <v>0</v>
      </c>
      <c r="N97" s="57" t="n">
        <f aca="false">(1-Assumptions!$C$35)*N95</f>
        <v>0</v>
      </c>
      <c r="O97" s="57" t="n">
        <f aca="false">(1-Assumptions!$C$35)*O95</f>
        <v>73993.2819188726</v>
      </c>
      <c r="P97" s="57" t="n">
        <f aca="false">(1-Assumptions!$C$35)*P95</f>
        <v>32458.1823495231</v>
      </c>
      <c r="Q97" s="57" t="n">
        <f aca="false">(1-Assumptions!$C$35)*Q95</f>
        <v>30266.6366142475</v>
      </c>
      <c r="R97" s="57" t="n">
        <f aca="false">(1-Assumptions!$C$35)*R95</f>
        <v>79008.1617332691</v>
      </c>
      <c r="S97" s="57" t="n">
        <f aca="false">(1-Assumptions!$C$35)*S95</f>
        <v>80292.944352886</v>
      </c>
      <c r="T97" s="57" t="n">
        <f aca="false">(1-Assumptions!$C$35)*T95</f>
        <v>87874.0091817885</v>
      </c>
      <c r="U97" s="57" t="n">
        <f aca="false">(1-Assumptions!$C$35)*U95</f>
        <v>68933.7059945639</v>
      </c>
      <c r="V97" s="57" t="n">
        <f aca="false">(1-Assumptions!$C$35)*V95</f>
        <v>92991.7937740668</v>
      </c>
      <c r="W97" s="57" t="n">
        <f aca="false">(1-Assumptions!$C$35)*W95</f>
        <v>137926.142271323</v>
      </c>
      <c r="X97" s="57" t="n">
        <f aca="false">(1-Assumptions!$C$35)*X95</f>
        <v>141486.001283029</v>
      </c>
      <c r="Y97" s="57" t="n">
        <f aca="false">(1-Assumptions!$C$35)*Y95</f>
        <v>280008.649488355</v>
      </c>
      <c r="Z97" s="57" t="n">
        <f aca="false">(1-Assumptions!$C$35)*Z95</f>
        <v>117315.495883983</v>
      </c>
      <c r="AA97" s="57" t="n">
        <f aca="false">(1-Assumptions!$C$35)*AA95</f>
        <v>161070.393664791</v>
      </c>
      <c r="AB97" s="57" t="n">
        <f aca="false">(1-Assumptions!$C$35)*AB95</f>
        <v>161070.393664791</v>
      </c>
    </row>
    <row r="99" customFormat="false" ht="15" hidden="false" customHeight="true" outlineLevel="0" collapsed="false">
      <c r="A99" s="22" t="s">
        <v>847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row>
    <row r="100" customFormat="false" ht="15" hidden="false" customHeight="true" outlineLevel="0" collapsed="false">
      <c r="A100" s="28" t="s">
        <v>848</v>
      </c>
      <c r="B100" s="55"/>
      <c r="E100" s="57" t="n">
        <f aca="false">Inputs_Actuals!$C$122</f>
        <v>154000</v>
      </c>
      <c r="F100" s="69" t="n">
        <f aca="false">E103</f>
        <v>41000</v>
      </c>
      <c r="G100" s="69" t="n">
        <f aca="false">F103</f>
        <v>77000</v>
      </c>
      <c r="H100" s="69" t="n">
        <f aca="false">G103</f>
        <v>0</v>
      </c>
      <c r="I100" s="69" t="n">
        <f aca="false">H103</f>
        <v>194000</v>
      </c>
      <c r="J100" s="69" t="n">
        <f aca="false">I103</f>
        <v>52000</v>
      </c>
      <c r="K100" s="69" t="n">
        <f aca="false">J103</f>
        <v>46000</v>
      </c>
      <c r="L100" s="69" t="n">
        <f aca="false">K103</f>
        <v>154000</v>
      </c>
      <c r="M100" s="69" t="n">
        <f aca="false">L103</f>
        <v>234000</v>
      </c>
      <c r="N100" s="69" t="n">
        <f aca="false">M103</f>
        <v>280000</v>
      </c>
      <c r="O100" s="69" t="n">
        <f aca="false">N103</f>
        <v>90000</v>
      </c>
      <c r="P100" s="69" t="n">
        <f aca="false">O103</f>
        <v>231704.688455532</v>
      </c>
      <c r="Q100" s="69" t="n">
        <f aca="false">P103</f>
        <v>204368.83192789</v>
      </c>
      <c r="R100" s="69" t="n">
        <f aca="false">Q103</f>
        <v>43238.0523060678</v>
      </c>
      <c r="S100" s="69" t="n">
        <f aca="false">R103</f>
        <v>112868.802476099</v>
      </c>
      <c r="T100" s="69" t="n">
        <f aca="false">S103</f>
        <v>114704.206218409</v>
      </c>
      <c r="U100" s="69" t="n">
        <f aca="false">T103</f>
        <v>125534.298831126</v>
      </c>
      <c r="V100" s="69" t="n">
        <f aca="false">U103</f>
        <v>98476.722849377</v>
      </c>
      <c r="W100" s="69" t="n">
        <f aca="false">V103</f>
        <v>132845.419677238</v>
      </c>
      <c r="X100" s="69" t="n">
        <f aca="false">W103</f>
        <v>197037.34610189</v>
      </c>
      <c r="Y100" s="69" t="n">
        <f aca="false">X103</f>
        <v>202122.858975755</v>
      </c>
      <c r="Z100" s="69" t="n">
        <f aca="false">Y103</f>
        <v>400012.356411936</v>
      </c>
      <c r="AA100" s="69" t="n">
        <f aca="false">Z103</f>
        <v>167593.565548547</v>
      </c>
      <c r="AB100" s="69" t="n">
        <f aca="false">AA103</f>
        <v>230100.562378273</v>
      </c>
    </row>
    <row r="101" customFormat="false" ht="15" hidden="false" customHeight="true" outlineLevel="0" collapsed="false">
      <c r="A101" s="28" t="s">
        <v>849</v>
      </c>
      <c r="B101" s="55" t="s">
        <v>850</v>
      </c>
      <c r="C101" s="56" t="n">
        <f aca="false">SUM(E101:P101)</f>
        <v>1243073.52038342</v>
      </c>
      <c r="D101" s="56" t="n">
        <f aca="false">SUM(Q101:AB101)</f>
        <v>2054634.75415299</v>
      </c>
      <c r="E101" s="57" t="n">
        <f aca="false">SUMIFS(Purchase_Orders!$F$6:$F$24,Purchase_Orders!$Q$6:$Q$24,Assumptions!E$61)+E95</f>
        <v>41000</v>
      </c>
      <c r="F101" s="57" t="n">
        <f aca="false">SUMIFS(Purchase_Orders!$F$6:$F$24,Purchase_Orders!$Q$6:$Q$24,Assumptions!F$61)+F95</f>
        <v>84000</v>
      </c>
      <c r="G101" s="57" t="n">
        <f aca="false">SUMIFS(Purchase_Orders!$F$6:$F$24,Purchase_Orders!$Q$6:$Q$24,Assumptions!G$61)+G95</f>
        <v>0</v>
      </c>
      <c r="H101" s="57" t="n">
        <f aca="false">SUMIFS(Purchase_Orders!$F$6:$F$24,Purchase_Orders!$Q$6:$Q$24,Assumptions!H$61)+H95</f>
        <v>194000</v>
      </c>
      <c r="I101" s="57" t="n">
        <f aca="false">SUMIFS(Purchase_Orders!$F$6:$F$24,Purchase_Orders!$Q$6:$Q$24,Assumptions!I$61)+I95</f>
        <v>0</v>
      </c>
      <c r="J101" s="57" t="n">
        <f aca="false">SUMIFS(Purchase_Orders!$F$6:$F$24,Purchase_Orders!$Q$6:$Q$24,Assumptions!J$61)+J95</f>
        <v>46000</v>
      </c>
      <c r="K101" s="57" t="n">
        <f aca="false">SUMIFS(Purchase_Orders!$F$6:$F$24,Purchase_Orders!$Q$6:$Q$24,Assumptions!K$61)+K95</f>
        <v>154000</v>
      </c>
      <c r="L101" s="57" t="n">
        <f aca="false">SUMIFS(Purchase_Orders!$F$6:$F$24,Purchase_Orders!$Q$6:$Q$24,Assumptions!L$61)+L95</f>
        <v>114000</v>
      </c>
      <c r="M101" s="57" t="n">
        <f aca="false">SUMIFS(Purchase_Orders!$F$6:$F$24,Purchase_Orders!$Q$6:$Q$24,Assumptions!M$61)+M95</f>
        <v>272000</v>
      </c>
      <c r="N101" s="57" t="n">
        <f aca="false">SUMIFS(Purchase_Orders!$F$6:$F$24,Purchase_Orders!$Q$6:$Q$24,Assumptions!N$61)+N95</f>
        <v>28000</v>
      </c>
      <c r="O101" s="57" t="n">
        <f aca="false">SUMIFS(Purchase_Orders!$F$6:$F$24,Purchase_Orders!$Q$6:$Q$24,Assumptions!O$61)+O95</f>
        <v>203704.688455532</v>
      </c>
      <c r="P101" s="57" t="n">
        <f aca="false">SUMIFS(Purchase_Orders!$F$6:$F$24,Purchase_Orders!$Q$6:$Q$24,Assumptions!P$61)+P95</f>
        <v>106368.83192789</v>
      </c>
      <c r="Q101" s="57" t="n">
        <f aca="false">SUMIFS(Purchase_Orders!$F$6:$F$24,Purchase_Orders!$Q$6:$Q$24,Assumptions!Q$61)+Q95</f>
        <v>43238.0523060678</v>
      </c>
      <c r="R101" s="57" t="n">
        <f aca="false">SUMIFS(Purchase_Orders!$F$6:$F$24,Purchase_Orders!$Q$6:$Q$24,Assumptions!R$61)+R95</f>
        <v>112868.802476099</v>
      </c>
      <c r="S101" s="57" t="n">
        <f aca="false">SUMIFS(Purchase_Orders!$F$6:$F$24,Purchase_Orders!$Q$6:$Q$24,Assumptions!S$61)+S95</f>
        <v>114704.206218409</v>
      </c>
      <c r="T101" s="57" t="n">
        <f aca="false">SUMIFS(Purchase_Orders!$F$6:$F$24,Purchase_Orders!$Q$6:$Q$24,Assumptions!T$61)+T95</f>
        <v>125534.298831126</v>
      </c>
      <c r="U101" s="57" t="n">
        <f aca="false">SUMIFS(Purchase_Orders!$F$6:$F$24,Purchase_Orders!$Q$6:$Q$24,Assumptions!U$61)+U95</f>
        <v>98476.722849377</v>
      </c>
      <c r="V101" s="57" t="n">
        <f aca="false">SUMIFS(Purchase_Orders!$F$6:$F$24,Purchase_Orders!$Q$6:$Q$24,Assumptions!V$61)+V95</f>
        <v>132845.419677238</v>
      </c>
      <c r="W101" s="57" t="n">
        <f aca="false">SUMIFS(Purchase_Orders!$F$6:$F$24,Purchase_Orders!$Q$6:$Q$24,Assumptions!W$61)+W95</f>
        <v>197037.34610189</v>
      </c>
      <c r="X101" s="57" t="n">
        <f aca="false">SUMIFS(Purchase_Orders!$F$6:$F$24,Purchase_Orders!$Q$6:$Q$24,Assumptions!X$61)+X95</f>
        <v>202122.858975755</v>
      </c>
      <c r="Y101" s="57" t="n">
        <f aca="false">SUMIFS(Purchase_Orders!$F$6:$F$24,Purchase_Orders!$Q$6:$Q$24,Assumptions!Y$61)+Y95</f>
        <v>400012.356411936</v>
      </c>
      <c r="Z101" s="57" t="n">
        <f aca="false">SUMIFS(Purchase_Orders!$F$6:$F$24,Purchase_Orders!$Q$6:$Q$24,Assumptions!Z$61)+Z95</f>
        <v>167593.565548547</v>
      </c>
      <c r="AA101" s="57" t="n">
        <f aca="false">SUMIFS(Purchase_Orders!$F$6:$F$24,Purchase_Orders!$Q$6:$Q$24,Assumptions!AA$61)+AA95</f>
        <v>230100.562378273</v>
      </c>
      <c r="AB101" s="57" t="n">
        <f aca="false">SUMIFS(Purchase_Orders!$F$6:$F$24,Purchase_Orders!$Q$6:$Q$24,Assumptions!AB$61)+AB95</f>
        <v>230100.562378273</v>
      </c>
    </row>
    <row r="102" customFormat="false" ht="15" hidden="false" customHeight="true" outlineLevel="0" collapsed="false">
      <c r="A102" s="28" t="s">
        <v>851</v>
      </c>
      <c r="B102" s="55" t="s">
        <v>850</v>
      </c>
      <c r="C102" s="56" t="n">
        <f aca="false">SUM(E102:P102)</f>
        <v>-1192704.68845553</v>
      </c>
      <c r="D102" s="56" t="n">
        <f aca="false">SUM(Q102:AB102)</f>
        <v>-2028903.02370261</v>
      </c>
      <c r="E102" s="57" t="n">
        <f aca="false">-(SUMIFS(Purchase_Orders!$F$6:$F$24,Purchase_Orders!$R$6:$R$24,Assumptions!E$61)+E94)</f>
        <v>-154000</v>
      </c>
      <c r="F102" s="57" t="n">
        <f aca="false">-(SUMIFS(Purchase_Orders!$F$6:$F$24,Purchase_Orders!$R$6:$R$24,Assumptions!F$61)+F94)</f>
        <v>-48000</v>
      </c>
      <c r="G102" s="57" t="n">
        <f aca="false">-(SUMIFS(Purchase_Orders!$F$6:$F$24,Purchase_Orders!$R$6:$R$24,Assumptions!G$61)+G94)</f>
        <v>-77000</v>
      </c>
      <c r="H102" s="57" t="n">
        <f aca="false">-(SUMIFS(Purchase_Orders!$F$6:$F$24,Purchase_Orders!$R$6:$R$24,Assumptions!H$61)+H94)</f>
        <v>-0</v>
      </c>
      <c r="I102" s="57" t="n">
        <f aca="false">-(SUMIFS(Purchase_Orders!$F$6:$F$24,Purchase_Orders!$R$6:$R$24,Assumptions!I$61)+I94)</f>
        <v>-142000</v>
      </c>
      <c r="J102" s="57" t="n">
        <f aca="false">-(SUMIFS(Purchase_Orders!$F$6:$F$24,Purchase_Orders!$R$6:$R$24,Assumptions!J$61)+J94)</f>
        <v>-52000</v>
      </c>
      <c r="K102" s="57" t="n">
        <f aca="false">-(SUMIFS(Purchase_Orders!$F$6:$F$24,Purchase_Orders!$R$6:$R$24,Assumptions!K$61)+K94)</f>
        <v>-46000</v>
      </c>
      <c r="L102" s="57" t="n">
        <f aca="false">-(SUMIFS(Purchase_Orders!$F$6:$F$24,Purchase_Orders!$R$6:$R$24,Assumptions!L$61)+L94)</f>
        <v>-34000</v>
      </c>
      <c r="M102" s="57" t="n">
        <f aca="false">-(SUMIFS(Purchase_Orders!$F$6:$F$24,Purchase_Orders!$R$6:$R$24,Assumptions!M$61)+M94)</f>
        <v>-226000</v>
      </c>
      <c r="N102" s="57" t="n">
        <f aca="false">-(SUMIFS(Purchase_Orders!$F$6:$F$24,Purchase_Orders!$R$6:$R$24,Assumptions!N$61)+N94)</f>
        <v>-218000</v>
      </c>
      <c r="O102" s="57" t="n">
        <f aca="false">-(SUMIFS(Purchase_Orders!$F$6:$F$24,Purchase_Orders!$R$6:$R$24,Assumptions!O$61)+O94)</f>
        <v>-62000</v>
      </c>
      <c r="P102" s="57" t="n">
        <f aca="false">-(SUMIFS(Purchase_Orders!$F$6:$F$24,Purchase_Orders!$R$6:$R$24,Assumptions!P$61)+P94)</f>
        <v>-133704.688455532</v>
      </c>
      <c r="Q102" s="57" t="n">
        <f aca="false">-(SUMIFS(Purchase_Orders!$F$6:$F$24,Purchase_Orders!$R$6:$R$24,Assumptions!Q$61)+Q94)</f>
        <v>-204368.83192789</v>
      </c>
      <c r="R102" s="57" t="n">
        <f aca="false">-(SUMIFS(Purchase_Orders!$F$6:$F$24,Purchase_Orders!$R$6:$R$24,Assumptions!R$61)+R94)</f>
        <v>-43238.0523060678</v>
      </c>
      <c r="S102" s="57" t="n">
        <f aca="false">-(SUMIFS(Purchase_Orders!$F$6:$F$24,Purchase_Orders!$R$6:$R$24,Assumptions!S$61)+S94)</f>
        <v>-112868.802476099</v>
      </c>
      <c r="T102" s="57" t="n">
        <f aca="false">-(SUMIFS(Purchase_Orders!$F$6:$F$24,Purchase_Orders!$R$6:$R$24,Assumptions!T$61)+T94)</f>
        <v>-114704.206218409</v>
      </c>
      <c r="U102" s="57" t="n">
        <f aca="false">-(SUMIFS(Purchase_Orders!$F$6:$F$24,Purchase_Orders!$R$6:$R$24,Assumptions!U$61)+U94)</f>
        <v>-125534.298831126</v>
      </c>
      <c r="V102" s="57" t="n">
        <f aca="false">-(SUMIFS(Purchase_Orders!$F$6:$F$24,Purchase_Orders!$R$6:$R$24,Assumptions!V$61)+V94)</f>
        <v>-98476.722849377</v>
      </c>
      <c r="W102" s="57" t="n">
        <f aca="false">-(SUMIFS(Purchase_Orders!$F$6:$F$24,Purchase_Orders!$R$6:$R$24,Assumptions!W$61)+W94)</f>
        <v>-132845.419677238</v>
      </c>
      <c r="X102" s="57" t="n">
        <f aca="false">-(SUMIFS(Purchase_Orders!$F$6:$F$24,Purchase_Orders!$R$6:$R$24,Assumptions!X$61)+X94)</f>
        <v>-197037.34610189</v>
      </c>
      <c r="Y102" s="57" t="n">
        <f aca="false">-(SUMIFS(Purchase_Orders!$F$6:$F$24,Purchase_Orders!$R$6:$R$24,Assumptions!Y$61)+Y94)</f>
        <v>-202122.858975755</v>
      </c>
      <c r="Z102" s="57" t="n">
        <f aca="false">-(SUMIFS(Purchase_Orders!$F$6:$F$24,Purchase_Orders!$R$6:$R$24,Assumptions!Z$61)+Z94)</f>
        <v>-400012.356411936</v>
      </c>
      <c r="AA102" s="57" t="n">
        <f aca="false">-(SUMIFS(Purchase_Orders!$F$6:$F$24,Purchase_Orders!$R$6:$R$24,Assumptions!AA$61)+AA94)</f>
        <v>-167593.565548547</v>
      </c>
      <c r="AB102" s="57" t="n">
        <f aca="false">-(SUMIFS(Purchase_Orders!$F$6:$F$24,Purchase_Orders!$R$6:$R$24,Assumptions!AB$61)+AB94)</f>
        <v>-230100.562378273</v>
      </c>
    </row>
    <row r="103" customFormat="false" ht="15" hidden="false" customHeight="true" outlineLevel="0" collapsed="false">
      <c r="A103" s="70" t="s">
        <v>852</v>
      </c>
      <c r="B103" s="71"/>
      <c r="C103" s="72" t="n">
        <f aca="false">P103</f>
        <v>204368.83192789</v>
      </c>
      <c r="D103" s="72" t="n">
        <f aca="false">AB103</f>
        <v>230100.562378273</v>
      </c>
      <c r="E103" s="72" t="n">
        <f aca="false">E100+E101+E102</f>
        <v>41000</v>
      </c>
      <c r="F103" s="72" t="n">
        <f aca="false">F100+F101+F102</f>
        <v>77000</v>
      </c>
      <c r="G103" s="72" t="n">
        <f aca="false">G100+G101+G102</f>
        <v>0</v>
      </c>
      <c r="H103" s="72" t="n">
        <f aca="false">H100+H101+H102</f>
        <v>194000</v>
      </c>
      <c r="I103" s="72" t="n">
        <f aca="false">I100+I101+I102</f>
        <v>52000</v>
      </c>
      <c r="J103" s="72" t="n">
        <f aca="false">J100+J101+J102</f>
        <v>46000</v>
      </c>
      <c r="K103" s="72" t="n">
        <f aca="false">K100+K101+K102</f>
        <v>154000</v>
      </c>
      <c r="L103" s="72" t="n">
        <f aca="false">L100+L101+L102</f>
        <v>234000</v>
      </c>
      <c r="M103" s="72" t="n">
        <f aca="false">M100+M101+M102</f>
        <v>280000</v>
      </c>
      <c r="N103" s="72" t="n">
        <f aca="false">N100+N101+N102</f>
        <v>90000</v>
      </c>
      <c r="O103" s="72" t="n">
        <f aca="false">O100+O101+O102</f>
        <v>231704.688455532</v>
      </c>
      <c r="P103" s="72" t="n">
        <f aca="false">P100+P101+P102</f>
        <v>204368.83192789</v>
      </c>
      <c r="Q103" s="72" t="n">
        <f aca="false">Q100+Q101+Q102</f>
        <v>43238.0523060678</v>
      </c>
      <c r="R103" s="72" t="n">
        <f aca="false">R100+R101+R102</f>
        <v>112868.802476099</v>
      </c>
      <c r="S103" s="72" t="n">
        <f aca="false">S100+S101+S102</f>
        <v>114704.206218409</v>
      </c>
      <c r="T103" s="72" t="n">
        <f aca="false">T100+T101+T102</f>
        <v>125534.298831126</v>
      </c>
      <c r="U103" s="72" t="n">
        <f aca="false">U100+U101+U102</f>
        <v>98476.722849377</v>
      </c>
      <c r="V103" s="72" t="n">
        <f aca="false">V100+V101+V102</f>
        <v>132845.419677238</v>
      </c>
      <c r="W103" s="72" t="n">
        <f aca="false">W100+W101+W102</f>
        <v>197037.34610189</v>
      </c>
      <c r="X103" s="72" t="n">
        <f aca="false">X100+X101+X102</f>
        <v>202122.858975755</v>
      </c>
      <c r="Y103" s="72" t="n">
        <f aca="false">Y100+Y101+Y102</f>
        <v>400012.356411936</v>
      </c>
      <c r="Z103" s="72" t="n">
        <f aca="false">Z100+Z101+Z102</f>
        <v>167593.565548547</v>
      </c>
      <c r="AA103" s="72" t="n">
        <f aca="false">AA100+AA101+AA102</f>
        <v>230100.562378273</v>
      </c>
      <c r="AB103" s="72" t="n">
        <f aca="false">AB100+AB101+AB102</f>
        <v>230100.562378273</v>
      </c>
    </row>
    <row r="104" customFormat="false" ht="15" hidden="false" customHeight="true" outlineLevel="0" collapsed="false">
      <c r="A104" s="28" t="s">
        <v>853</v>
      </c>
      <c r="B104" s="55"/>
      <c r="C104" s="56" t="n">
        <f aca="false">SUM(E104:P104)</f>
        <v>216690.778901377</v>
      </c>
      <c r="D104" s="56" t="n">
        <f aca="false">SUM(Q104:AB104)</f>
        <v>353240.608205845</v>
      </c>
      <c r="E104" s="69" t="n">
        <f aca="false">E82+E102</f>
        <v>35040</v>
      </c>
      <c r="F104" s="69" t="n">
        <f aca="false">F82+F102</f>
        <v>2880</v>
      </c>
      <c r="G104" s="69" t="n">
        <f aca="false">G82+G102</f>
        <v>12940</v>
      </c>
      <c r="H104" s="69" t="n">
        <f aca="false">H82+H102</f>
        <v>0</v>
      </c>
      <c r="I104" s="69" t="n">
        <f aca="false">I82+I102</f>
        <v>22600</v>
      </c>
      <c r="J104" s="69" t="n">
        <f aca="false">J82+J102</f>
        <v>12480</v>
      </c>
      <c r="K104" s="69" t="n">
        <f aca="false">K82+K102</f>
        <v>6440.00000000001</v>
      </c>
      <c r="L104" s="69" t="n">
        <f aca="false">L82+L102</f>
        <v>6800</v>
      </c>
      <c r="M104" s="69" t="n">
        <f aca="false">M82+M102</f>
        <v>35800</v>
      </c>
      <c r="N104" s="69" t="n">
        <f aca="false">N82+N102</f>
        <v>49480</v>
      </c>
      <c r="O104" s="69" t="n">
        <f aca="false">O82+O102</f>
        <v>8680.00000000002</v>
      </c>
      <c r="P104" s="69" t="n">
        <f aca="false">P82+P102</f>
        <v>23550.778901377</v>
      </c>
      <c r="Q104" s="69" t="n">
        <f aca="false">Q82+Q102</f>
        <v>40558.7578128377</v>
      </c>
      <c r="R104" s="69" t="n">
        <f aca="false">R82+R102</f>
        <v>4288.90358389809</v>
      </c>
      <c r="S104" s="69" t="n">
        <f aca="false">S82+S102</f>
        <v>18145.7118487969</v>
      </c>
      <c r="T104" s="69" t="n">
        <f aca="false">T82+T102</f>
        <v>18749.3737509561</v>
      </c>
      <c r="U104" s="69" t="n">
        <f aca="false">U82+U102</f>
        <v>20788.4422092902</v>
      </c>
      <c r="V104" s="69" t="n">
        <f aca="false">V82+V102</f>
        <v>16316.2088106349</v>
      </c>
      <c r="W104" s="69" t="n">
        <f aca="false">W82+W102</f>
        <v>23395.2311459402</v>
      </c>
      <c r="X104" s="69" t="n">
        <f aca="false">X82+X102</f>
        <v>34719.3509559135</v>
      </c>
      <c r="Y104" s="69" t="n">
        <f aca="false">Y82+Y102</f>
        <v>35627.047742361</v>
      </c>
      <c r="Z104" s="69" t="n">
        <f aca="false">Z82+Z102</f>
        <v>70501.8261337732</v>
      </c>
      <c r="AA104" s="69" t="n">
        <f aca="false">AA82+AA102</f>
        <v>29577.591477292</v>
      </c>
      <c r="AB104" s="69" t="n">
        <f aca="false">AB82+AB102</f>
        <v>40572.1627341513</v>
      </c>
    </row>
    <row r="106" customFormat="false" ht="15" hidden="false" customHeight="true" outlineLevel="0" collapsed="false">
      <c r="A106" s="22" t="s">
        <v>854</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row>
    <row r="107" customFormat="false" ht="15" hidden="false" customHeight="true" outlineLevel="0" collapsed="false">
      <c r="A107" s="28" t="s">
        <v>855</v>
      </c>
      <c r="B107" s="55"/>
      <c r="E107" s="57" t="n">
        <f aca="false">Inputs_Actuals!$C$123</f>
        <v>23100</v>
      </c>
      <c r="F107" s="69" t="n">
        <f aca="false">E111</f>
        <v>34800</v>
      </c>
      <c r="G107" s="69" t="n">
        <f aca="false">F111</f>
        <v>42000</v>
      </c>
      <c r="H107" s="69" t="n">
        <f aca="false">G111</f>
        <v>69000</v>
      </c>
      <c r="I107" s="69" t="n">
        <f aca="false">H111</f>
        <v>13800</v>
      </c>
      <c r="J107" s="69" t="n">
        <f aca="false">I111</f>
        <v>60000</v>
      </c>
      <c r="K107" s="69" t="n">
        <f aca="false">J111</f>
        <v>123000</v>
      </c>
      <c r="L107" s="69" t="n">
        <f aca="false">K111</f>
        <v>129400</v>
      </c>
      <c r="M107" s="69" t="n">
        <f aca="false">L111</f>
        <v>103600</v>
      </c>
      <c r="N107" s="69" t="n">
        <f aca="false">M111</f>
        <v>69511.4065366597</v>
      </c>
      <c r="O107" s="69" t="n">
        <f aca="false">N111</f>
        <v>93022.0561150267</v>
      </c>
      <c r="P107" s="69" t="n">
        <f aca="false">O111</f>
        <v>44882.0652701873</v>
      </c>
      <c r="Q107" s="69" t="n">
        <f aca="false">P111</f>
        <v>46832.0564346499</v>
      </c>
      <c r="R107" s="69" t="n">
        <f aca="false">Q111</f>
        <v>68271.9026083521</v>
      </c>
      <c r="S107" s="69" t="n">
        <f aca="false">R111</f>
        <v>72071.5515148604</v>
      </c>
      <c r="T107" s="69" t="n">
        <f aca="false">S111</f>
        <v>67203.306504151</v>
      </c>
      <c r="U107" s="69" t="n">
        <f aca="false">T111</f>
        <v>69396.6427579845</v>
      </c>
      <c r="V107" s="69" t="n">
        <f aca="false">U111</f>
        <v>98964.8297337384</v>
      </c>
      <c r="W107" s="69" t="n">
        <f aca="false">V111</f>
        <v>119748.061523294</v>
      </c>
      <c r="X107" s="69" t="n">
        <f aca="false">W111</f>
        <v>180640.564616307</v>
      </c>
      <c r="Y107" s="69" t="n">
        <f aca="false">X111</f>
        <v>170281.776588145</v>
      </c>
      <c r="Z107" s="69" t="n">
        <f aca="false">Y111</f>
        <v>119308.238378046</v>
      </c>
      <c r="AA107" s="69" t="n">
        <f aca="false">Z111</f>
        <v>138060.337426963</v>
      </c>
      <c r="AB107" s="69" t="n">
        <f aca="false">AA111</f>
        <v>138060.337426963</v>
      </c>
    </row>
    <row r="108" customFormat="false" ht="15" hidden="false" customHeight="true" outlineLevel="0" collapsed="false">
      <c r="A108" s="28" t="s">
        <v>856</v>
      </c>
      <c r="B108" s="55" t="s">
        <v>850</v>
      </c>
      <c r="C108" s="56" t="n">
        <f aca="false">SUM(E108:P108)</f>
        <v>430654.112549677</v>
      </c>
      <c r="D108" s="56" t="n">
        <f aca="false">SUM(Q108:AB108)</f>
        <v>707618.707238211</v>
      </c>
      <c r="E108" s="57" t="n">
        <f aca="false">SUMIFS(Purchase_Orders!$G$6:$G$24,Purchase_Orders!$P$6:$P$24,Assumptions!E$61)+E96</f>
        <v>24000</v>
      </c>
      <c r="F108" s="57" t="n">
        <f aca="false">SUMIFS(Purchase_Orders!$G$6:$G$24,Purchase_Orders!$P$6:$P$24,Assumptions!F$61)+F96</f>
        <v>42000</v>
      </c>
      <c r="G108" s="57" t="n">
        <f aca="false">SUMIFS(Purchase_Orders!$G$6:$G$24,Purchase_Orders!$P$6:$P$24,Assumptions!G$61)+G96</f>
        <v>27000</v>
      </c>
      <c r="H108" s="57" t="n">
        <f aca="false">SUMIFS(Purchase_Orders!$G$6:$G$24,Purchase_Orders!$P$6:$P$24,Assumptions!H$61)+H96</f>
        <v>13800</v>
      </c>
      <c r="I108" s="57" t="n">
        <f aca="false">SUMIFS(Purchase_Orders!$G$6:$G$24,Purchase_Orders!$P$6:$P$24,Assumptions!I$61)+I96</f>
        <v>46200</v>
      </c>
      <c r="J108" s="57" t="n">
        <f aca="false">SUMIFS(Purchase_Orders!$G$6:$G$24,Purchase_Orders!$P$6:$P$24,Assumptions!J$61)+J96</f>
        <v>76800</v>
      </c>
      <c r="K108" s="57" t="n">
        <f aca="false">SUMIFS(Purchase_Orders!$G$6:$G$24,Purchase_Orders!$P$6:$P$24,Assumptions!K$61)+K96</f>
        <v>52600</v>
      </c>
      <c r="L108" s="57" t="n">
        <f aca="false">SUMIFS(Purchase_Orders!$G$6:$G$24,Purchase_Orders!$P$6:$P$24,Assumptions!L$61)+L96</f>
        <v>8400</v>
      </c>
      <c r="M108" s="57" t="n">
        <f aca="false">SUMIFS(Purchase_Orders!$G$6:$G$24,Purchase_Orders!$P$6:$P$24,Assumptions!M$61)+M96</f>
        <v>61111.4065366597</v>
      </c>
      <c r="N108" s="57" t="n">
        <f aca="false">SUMIFS(Purchase_Orders!$G$6:$G$24,Purchase_Orders!$P$6:$P$24,Assumptions!N$61)+N96</f>
        <v>31910.649578367</v>
      </c>
      <c r="O108" s="57" t="n">
        <f aca="false">SUMIFS(Purchase_Orders!$G$6:$G$24,Purchase_Orders!$P$6:$P$24,Assumptions!O$61)+O96</f>
        <v>12971.4156918203</v>
      </c>
      <c r="P108" s="57" t="n">
        <f aca="false">SUMIFS(Purchase_Orders!$G$6:$G$24,Purchase_Orders!$P$6:$P$24,Assumptions!P$61)+P96</f>
        <v>33860.6407428296</v>
      </c>
      <c r="Q108" s="57" t="n">
        <f aca="false">SUMIFS(Purchase_Orders!$G$6:$G$24,Purchase_Orders!$P$6:$P$24,Assumptions!Q$61)+Q96</f>
        <v>34411.2618655226</v>
      </c>
      <c r="R108" s="57" t="n">
        <f aca="false">SUMIFS(Purchase_Orders!$G$6:$G$24,Purchase_Orders!$P$6:$P$24,Assumptions!R$61)+R96</f>
        <v>37660.2896493379</v>
      </c>
      <c r="S108" s="57" t="n">
        <f aca="false">SUMIFS(Purchase_Orders!$G$6:$G$24,Purchase_Orders!$P$6:$P$24,Assumptions!S$61)+S96</f>
        <v>29543.0168548131</v>
      </c>
      <c r="T108" s="57" t="n">
        <f aca="false">SUMIFS(Purchase_Orders!$G$6:$G$24,Purchase_Orders!$P$6:$P$24,Assumptions!T$61)+T96</f>
        <v>39853.6259031715</v>
      </c>
      <c r="U108" s="57" t="n">
        <f aca="false">SUMIFS(Purchase_Orders!$G$6:$G$24,Purchase_Orders!$P$6:$P$24,Assumptions!U$61)+U96</f>
        <v>59111.203830567</v>
      </c>
      <c r="V108" s="57" t="n">
        <f aca="false">SUMIFS(Purchase_Orders!$G$6:$G$24,Purchase_Orders!$P$6:$P$24,Assumptions!V$61)+V96</f>
        <v>60636.8576927265</v>
      </c>
      <c r="W108" s="57" t="n">
        <f aca="false">SUMIFS(Purchase_Orders!$G$6:$G$24,Purchase_Orders!$P$6:$P$24,Assumptions!W$61)+W96</f>
        <v>120003.706923581</v>
      </c>
      <c r="X108" s="57" t="n">
        <f aca="false">SUMIFS(Purchase_Orders!$G$6:$G$24,Purchase_Orders!$P$6:$P$24,Assumptions!X$61)+X96</f>
        <v>50278.0696645641</v>
      </c>
      <c r="Y108" s="57" t="n">
        <f aca="false">SUMIFS(Purchase_Orders!$G$6:$G$24,Purchase_Orders!$P$6:$P$24,Assumptions!Y$61)+Y96</f>
        <v>69030.1687134818</v>
      </c>
      <c r="Z108" s="57" t="n">
        <f aca="false">SUMIFS(Purchase_Orders!$G$6:$G$24,Purchase_Orders!$P$6:$P$24,Assumptions!Z$61)+Z96</f>
        <v>69030.1687134818</v>
      </c>
      <c r="AA108" s="57" t="n">
        <f aca="false">SUMIFS(Purchase_Orders!$G$6:$G$24,Purchase_Orders!$P$6:$P$24,Assumptions!AA$61)+AA96</f>
        <v>69030.1687134818</v>
      </c>
      <c r="AB108" s="57" t="n">
        <f aca="false">SUMIFS(Purchase_Orders!$G$6:$G$24,Purchase_Orders!$P$6:$P$24,Assumptions!AB$61)+AB96</f>
        <v>69030.1687134818</v>
      </c>
    </row>
    <row r="109" customFormat="false" ht="15" hidden="false" customHeight="true" outlineLevel="0" collapsed="false">
      <c r="A109" s="28" t="s">
        <v>857</v>
      </c>
      <c r="B109" s="55" t="s">
        <v>850</v>
      </c>
      <c r="C109" s="56" t="n">
        <f aca="false">SUM(E109:P109)</f>
        <v>836151.464268396</v>
      </c>
      <c r="D109" s="56" t="n">
        <f aca="false">SUM(Q109:AB109)</f>
        <v>1438244.32790709</v>
      </c>
      <c r="E109" s="57" t="n">
        <f aca="false">SUMIFS(Purchase_Orders!$J$6:$J$24,Purchase_Orders!$Q$6:$Q$24,Assumptions!E$61)+E97</f>
        <v>28700</v>
      </c>
      <c r="F109" s="57" t="n">
        <f aca="false">SUMIFS(Purchase_Orders!$J$6:$J$24,Purchase_Orders!$Q$6:$Q$24,Assumptions!F$61)+F97</f>
        <v>49200</v>
      </c>
      <c r="G109" s="57" t="n">
        <f aca="false">SUMIFS(Purchase_Orders!$J$6:$J$24,Purchase_Orders!$Q$6:$Q$24,Assumptions!G$61)+G97</f>
        <v>0</v>
      </c>
      <c r="H109" s="57" t="n">
        <f aca="false">SUMIFS(Purchase_Orders!$J$6:$J$24,Purchase_Orders!$Q$6:$Q$24,Assumptions!H$61)+H97</f>
        <v>125000</v>
      </c>
      <c r="I109" s="57" t="n">
        <f aca="false">SUMIFS(Purchase_Orders!$J$6:$J$24,Purchase_Orders!$Q$6:$Q$24,Assumptions!I$61)+I97</f>
        <v>0</v>
      </c>
      <c r="J109" s="57" t="n">
        <f aca="false">SUMIFS(Purchase_Orders!$J$6:$J$24,Purchase_Orders!$Q$6:$Q$24,Assumptions!J$61)+J97</f>
        <v>32200</v>
      </c>
      <c r="K109" s="57" t="n">
        <f aca="false">SUMIFS(Purchase_Orders!$J$6:$J$24,Purchase_Orders!$Q$6:$Q$24,Assumptions!K$61)+K97</f>
        <v>107800</v>
      </c>
      <c r="L109" s="57" t="n">
        <f aca="false">SUMIFS(Purchase_Orders!$J$6:$J$24,Purchase_Orders!$Q$6:$Q$24,Assumptions!L$61)+L97</f>
        <v>79800</v>
      </c>
      <c r="M109" s="57" t="n">
        <f aca="false">SUMIFS(Purchase_Orders!$J$6:$J$24,Purchase_Orders!$Q$6:$Q$24,Assumptions!M$61)+M97</f>
        <v>176800</v>
      </c>
      <c r="N109" s="57" t="n">
        <f aca="false">SUMIFS(Purchase_Orders!$J$6:$J$24,Purchase_Orders!$Q$6:$Q$24,Assumptions!N$61)+N97</f>
        <v>19600</v>
      </c>
      <c r="O109" s="57" t="n">
        <f aca="false">SUMIFS(Purchase_Orders!$J$6:$J$24,Purchase_Orders!$Q$6:$Q$24,Assumptions!O$61)+O97</f>
        <v>142593.281918873</v>
      </c>
      <c r="P109" s="57" t="n">
        <f aca="false">SUMIFS(Purchase_Orders!$J$6:$J$24,Purchase_Orders!$Q$6:$Q$24,Assumptions!P$61)+P97</f>
        <v>74458.1823495231</v>
      </c>
      <c r="Q109" s="57" t="n">
        <f aca="false">SUMIFS(Purchase_Orders!$J$6:$J$24,Purchase_Orders!$Q$6:$Q$24,Assumptions!Q$61)+Q97</f>
        <v>30266.6366142475</v>
      </c>
      <c r="R109" s="57" t="n">
        <f aca="false">SUMIFS(Purchase_Orders!$J$6:$J$24,Purchase_Orders!$Q$6:$Q$24,Assumptions!R$61)+R97</f>
        <v>79008.1617332691</v>
      </c>
      <c r="S109" s="57" t="n">
        <f aca="false">SUMIFS(Purchase_Orders!$J$6:$J$24,Purchase_Orders!$Q$6:$Q$24,Assumptions!S$61)+S97</f>
        <v>80292.944352886</v>
      </c>
      <c r="T109" s="57" t="n">
        <f aca="false">SUMIFS(Purchase_Orders!$J$6:$J$24,Purchase_Orders!$Q$6:$Q$24,Assumptions!T$61)+T97</f>
        <v>87874.0091817885</v>
      </c>
      <c r="U109" s="57" t="n">
        <f aca="false">SUMIFS(Purchase_Orders!$J$6:$J$24,Purchase_Orders!$Q$6:$Q$24,Assumptions!U$61)+U97</f>
        <v>68933.7059945639</v>
      </c>
      <c r="V109" s="57" t="n">
        <f aca="false">SUMIFS(Purchase_Orders!$J$6:$J$24,Purchase_Orders!$Q$6:$Q$24,Assumptions!V$61)+V97</f>
        <v>92991.7937740668</v>
      </c>
      <c r="W109" s="57" t="n">
        <f aca="false">SUMIFS(Purchase_Orders!$J$6:$J$24,Purchase_Orders!$Q$6:$Q$24,Assumptions!W$61)+W97</f>
        <v>137926.142271323</v>
      </c>
      <c r="X109" s="57" t="n">
        <f aca="false">SUMIFS(Purchase_Orders!$J$6:$J$24,Purchase_Orders!$Q$6:$Q$24,Assumptions!X$61)+X97</f>
        <v>141486.001283029</v>
      </c>
      <c r="Y109" s="57" t="n">
        <f aca="false">SUMIFS(Purchase_Orders!$J$6:$J$24,Purchase_Orders!$Q$6:$Q$24,Assumptions!Y$61)+Y97</f>
        <v>280008.649488355</v>
      </c>
      <c r="Z109" s="57" t="n">
        <f aca="false">SUMIFS(Purchase_Orders!$J$6:$J$24,Purchase_Orders!$Q$6:$Q$24,Assumptions!Z$61)+Z97</f>
        <v>117315.495883983</v>
      </c>
      <c r="AA109" s="57" t="n">
        <f aca="false">SUMIFS(Purchase_Orders!$J$6:$J$24,Purchase_Orders!$Q$6:$Q$24,Assumptions!AA$61)+AA97</f>
        <v>161070.393664791</v>
      </c>
      <c r="AB109" s="57" t="n">
        <f aca="false">SUMIFS(Purchase_Orders!$J$6:$J$24,Purchase_Orders!$Q$6:$Q$24,Assumptions!AB$61)+AB97</f>
        <v>161070.393664791</v>
      </c>
    </row>
    <row r="110" customFormat="false" ht="15" hidden="false" customHeight="true" outlineLevel="0" collapsed="false">
      <c r="A110" s="28" t="s">
        <v>858</v>
      </c>
      <c r="B110" s="55" t="s">
        <v>859</v>
      </c>
      <c r="C110" s="56" t="n">
        <f aca="false">SUM(E110:P110)</f>
        <v>-1243073.52038342</v>
      </c>
      <c r="D110" s="56" t="n">
        <f aca="false">SUM(Q110:AB110)</f>
        <v>-2054634.75415299</v>
      </c>
      <c r="E110" s="69" t="n">
        <f aca="false">-E101</f>
        <v>-41000</v>
      </c>
      <c r="F110" s="69" t="n">
        <f aca="false">-F101</f>
        <v>-84000</v>
      </c>
      <c r="G110" s="69" t="n">
        <f aca="false">-G101</f>
        <v>-0</v>
      </c>
      <c r="H110" s="69" t="n">
        <f aca="false">-H101</f>
        <v>-194000</v>
      </c>
      <c r="I110" s="69" t="n">
        <f aca="false">-I101</f>
        <v>-0</v>
      </c>
      <c r="J110" s="69" t="n">
        <f aca="false">-J101</f>
        <v>-46000</v>
      </c>
      <c r="K110" s="69" t="n">
        <f aca="false">-K101</f>
        <v>-154000</v>
      </c>
      <c r="L110" s="69" t="n">
        <f aca="false">-L101</f>
        <v>-114000</v>
      </c>
      <c r="M110" s="69" t="n">
        <f aca="false">-M101</f>
        <v>-272000</v>
      </c>
      <c r="N110" s="69" t="n">
        <f aca="false">-N101</f>
        <v>-28000</v>
      </c>
      <c r="O110" s="69" t="n">
        <f aca="false">-O101</f>
        <v>-203704.688455532</v>
      </c>
      <c r="P110" s="69" t="n">
        <f aca="false">-P101</f>
        <v>-106368.83192789</v>
      </c>
      <c r="Q110" s="69" t="n">
        <f aca="false">-Q101</f>
        <v>-43238.0523060678</v>
      </c>
      <c r="R110" s="69" t="n">
        <f aca="false">-R101</f>
        <v>-112868.802476099</v>
      </c>
      <c r="S110" s="69" t="n">
        <f aca="false">-S101</f>
        <v>-114704.206218409</v>
      </c>
      <c r="T110" s="69" t="n">
        <f aca="false">-T101</f>
        <v>-125534.298831126</v>
      </c>
      <c r="U110" s="69" t="n">
        <f aca="false">-U101</f>
        <v>-98476.722849377</v>
      </c>
      <c r="V110" s="69" t="n">
        <f aca="false">-V101</f>
        <v>-132845.419677238</v>
      </c>
      <c r="W110" s="69" t="n">
        <f aca="false">-W101</f>
        <v>-197037.34610189</v>
      </c>
      <c r="X110" s="69" t="n">
        <f aca="false">-X101</f>
        <v>-202122.858975755</v>
      </c>
      <c r="Y110" s="69" t="n">
        <f aca="false">-Y101</f>
        <v>-400012.356411936</v>
      </c>
      <c r="Z110" s="69" t="n">
        <f aca="false">-Z101</f>
        <v>-167593.565548547</v>
      </c>
      <c r="AA110" s="69" t="n">
        <f aca="false">-AA101</f>
        <v>-230100.562378273</v>
      </c>
      <c r="AB110" s="69" t="n">
        <f aca="false">-AB101</f>
        <v>-230100.562378273</v>
      </c>
    </row>
    <row r="111" customFormat="false" ht="15" hidden="false" customHeight="true" outlineLevel="0" collapsed="false">
      <c r="A111" s="70" t="s">
        <v>860</v>
      </c>
      <c r="B111" s="71"/>
      <c r="C111" s="72" t="n">
        <f aca="false">P111</f>
        <v>46832.0564346499</v>
      </c>
      <c r="D111" s="72" t="n">
        <f aca="false">AB111</f>
        <v>138060.337426963</v>
      </c>
      <c r="E111" s="72" t="n">
        <f aca="false">E107+E108+E109+E110</f>
        <v>34800</v>
      </c>
      <c r="F111" s="72" t="n">
        <f aca="false">F107+F108+F109+F110</f>
        <v>42000</v>
      </c>
      <c r="G111" s="72" t="n">
        <f aca="false">G107+G108+G109+G110</f>
        <v>69000</v>
      </c>
      <c r="H111" s="72" t="n">
        <f aca="false">H107+H108+H109+H110</f>
        <v>13800</v>
      </c>
      <c r="I111" s="72" t="n">
        <f aca="false">I107+I108+I109+I110</f>
        <v>60000</v>
      </c>
      <c r="J111" s="72" t="n">
        <f aca="false">J107+J108+J109+J110</f>
        <v>123000</v>
      </c>
      <c r="K111" s="72" t="n">
        <f aca="false">K107+K108+K109+K110</f>
        <v>129400</v>
      </c>
      <c r="L111" s="72" t="n">
        <f aca="false">L107+L108+L109+L110</f>
        <v>103600</v>
      </c>
      <c r="M111" s="72" t="n">
        <f aca="false">M107+M108+M109+M110</f>
        <v>69511.4065366597</v>
      </c>
      <c r="N111" s="72" t="n">
        <f aca="false">N107+N108+N109+N110</f>
        <v>93022.0561150267</v>
      </c>
      <c r="O111" s="72" t="n">
        <f aca="false">O107+O108+O109+O110</f>
        <v>44882.0652701873</v>
      </c>
      <c r="P111" s="72" t="n">
        <f aca="false">P107+P108+P109+P110</f>
        <v>46832.0564346499</v>
      </c>
      <c r="Q111" s="72" t="n">
        <f aca="false">Q107+Q108+Q109+Q110</f>
        <v>68271.9026083521</v>
      </c>
      <c r="R111" s="72" t="n">
        <f aca="false">R107+R108+R109+R110</f>
        <v>72071.5515148604</v>
      </c>
      <c r="S111" s="72" t="n">
        <f aca="false">S107+S108+S109+S110</f>
        <v>67203.306504151</v>
      </c>
      <c r="T111" s="72" t="n">
        <f aca="false">T107+T108+T109+T110</f>
        <v>69396.6427579845</v>
      </c>
      <c r="U111" s="72" t="n">
        <f aca="false">U107+U108+U109+U110</f>
        <v>98964.8297337384</v>
      </c>
      <c r="V111" s="72" t="n">
        <f aca="false">V107+V108+V109+V110</f>
        <v>119748.061523294</v>
      </c>
      <c r="W111" s="72" t="n">
        <f aca="false">W107+W108+W109+W110</f>
        <v>180640.564616307</v>
      </c>
      <c r="X111" s="72" t="n">
        <f aca="false">X107+X108+X109+X110</f>
        <v>170281.776588145</v>
      </c>
      <c r="Y111" s="72" t="n">
        <f aca="false">Y107+Y108+Y109+Y110</f>
        <v>119308.238378046</v>
      </c>
      <c r="Z111" s="72" t="n">
        <f aca="false">Z107+Z108+Z109+Z110</f>
        <v>138060.337426963</v>
      </c>
      <c r="AA111" s="72" t="n">
        <f aca="false">AA107+AA108+AA109+AA110</f>
        <v>138060.337426963</v>
      </c>
      <c r="AB111" s="72" t="n">
        <f aca="false">AB107+AB108+AB109+AB110</f>
        <v>138060.337426963</v>
      </c>
    </row>
    <row r="112" customFormat="false" ht="15" hidden="false" customHeight="true" outlineLevel="0" collapsed="false">
      <c r="A112" s="70" t="s">
        <v>861</v>
      </c>
      <c r="B112" s="71" t="s">
        <v>862</v>
      </c>
      <c r="C112" s="72" t="n">
        <f aca="false">SUM(E112:P112)</f>
        <v>1266805.57681807</v>
      </c>
      <c r="D112" s="72" t="n">
        <f aca="false">SUM(Q112:AB112)</f>
        <v>2145863.0351453</v>
      </c>
      <c r="E112" s="72" t="n">
        <f aca="false">E108+E109</f>
        <v>52700</v>
      </c>
      <c r="F112" s="72" t="n">
        <f aca="false">F108+F109</f>
        <v>91200</v>
      </c>
      <c r="G112" s="72" t="n">
        <f aca="false">G108+G109</f>
        <v>27000</v>
      </c>
      <c r="H112" s="72" t="n">
        <f aca="false">H108+H109</f>
        <v>138800</v>
      </c>
      <c r="I112" s="72" t="n">
        <f aca="false">I108+I109</f>
        <v>46200</v>
      </c>
      <c r="J112" s="72" t="n">
        <f aca="false">J108+J109</f>
        <v>109000</v>
      </c>
      <c r="K112" s="72" t="n">
        <f aca="false">K108+K109</f>
        <v>160400</v>
      </c>
      <c r="L112" s="72" t="n">
        <f aca="false">L108+L109</f>
        <v>88200</v>
      </c>
      <c r="M112" s="72" t="n">
        <f aca="false">M108+M109</f>
        <v>237911.40653666</v>
      </c>
      <c r="N112" s="72" t="n">
        <f aca="false">N108+N109</f>
        <v>51510.649578367</v>
      </c>
      <c r="O112" s="72" t="n">
        <f aca="false">O108+O109</f>
        <v>155564.697610693</v>
      </c>
      <c r="P112" s="72" t="n">
        <f aca="false">P108+P109</f>
        <v>108318.823092353</v>
      </c>
      <c r="Q112" s="72" t="n">
        <f aca="false">Q108+Q109</f>
        <v>64677.89847977</v>
      </c>
      <c r="R112" s="72" t="n">
        <f aca="false">R108+R109</f>
        <v>116668.451382607</v>
      </c>
      <c r="S112" s="72" t="n">
        <f aca="false">S108+S109</f>
        <v>109835.961207699</v>
      </c>
      <c r="T112" s="72" t="n">
        <f aca="false">T108+T109</f>
        <v>127727.63508496</v>
      </c>
      <c r="U112" s="72" t="n">
        <f aca="false">U108+U109</f>
        <v>128044.909825131</v>
      </c>
      <c r="V112" s="72" t="n">
        <f aca="false">V108+V109</f>
        <v>153628.651466793</v>
      </c>
      <c r="W112" s="72" t="n">
        <f aca="false">W108+W109</f>
        <v>257929.849194904</v>
      </c>
      <c r="X112" s="72" t="n">
        <f aca="false">X108+X109</f>
        <v>191764.070947593</v>
      </c>
      <c r="Y112" s="72" t="n">
        <f aca="false">Y108+Y109</f>
        <v>349038.818201837</v>
      </c>
      <c r="Z112" s="72" t="n">
        <f aca="false">Z108+Z109</f>
        <v>186345.664597465</v>
      </c>
      <c r="AA112" s="72" t="n">
        <f aca="false">AA108+AA109</f>
        <v>230100.562378273</v>
      </c>
      <c r="AB112" s="72" t="n">
        <f aca="false">AB108+AB109</f>
        <v>230100.562378273</v>
      </c>
    </row>
    <row r="114" customFormat="false" ht="15" hidden="false" customHeight="true" outlineLevel="0" collapsed="false">
      <c r="A114" s="22" t="s">
        <v>863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row>
    <row r="115" customFormat="false" ht="15" hidden="false" customHeight="true" outlineLevel="0" collapsed="false">
      <c r="A115" s="28" t="s">
        <v>864</v>
      </c>
      <c r="B115" s="55" t="s">
        <v>865</v>
      </c>
      <c r="C115" s="119" t="n">
        <v>0.3</v>
      </c>
    </row>
    <row r="116" customFormat="false" ht="15" hidden="false" customHeight="true" outlineLevel="0" collapsed="false">
      <c r="A116" s="28" t="s">
        <v>866</v>
      </c>
      <c r="B116" s="55" t="s">
        <v>865</v>
      </c>
      <c r="C116" s="119" t="n">
        <v>0.08</v>
      </c>
    </row>
    <row r="117" customFormat="false" ht="15" hidden="false" customHeight="true" outlineLevel="0" collapsed="false">
      <c r="A117" s="28" t="s">
        <v>867</v>
      </c>
      <c r="B117" s="55" t="s">
        <v>868</v>
      </c>
      <c r="C117" s="56" t="n">
        <f aca="false">P117</f>
        <v>130706.934971819</v>
      </c>
      <c r="D117" s="56" t="n">
        <f aca="false">AB117</f>
        <v>205574.422808986</v>
      </c>
      <c r="E117" s="57" t="n">
        <f aca="false">Inventory!$C$115*E86</f>
        <v>220389.651</v>
      </c>
      <c r="F117" s="57" t="n">
        <f aca="false">Inventory!$C$115*F86</f>
        <v>208080.165</v>
      </c>
      <c r="G117" s="57" t="n">
        <f aca="false">Inventory!$C$115*G86</f>
        <v>201350.268</v>
      </c>
      <c r="H117" s="57" t="n">
        <f aca="false">Inventory!$C$115*H86</f>
        <v>166780.314</v>
      </c>
      <c r="I117" s="57" t="n">
        <f aca="false">Inventory!$C$115*I86</f>
        <v>177408.468</v>
      </c>
      <c r="J117" s="57" t="n">
        <f aca="false">Inventory!$C$115*J86</f>
        <v>159750.324</v>
      </c>
      <c r="K117" s="57" t="n">
        <f aca="false">Inventory!$C$115*K86</f>
        <v>140356.275</v>
      </c>
      <c r="L117" s="57" t="n">
        <f aca="false">Inventory!$C$115*L86</f>
        <v>117051.939</v>
      </c>
      <c r="M117" s="57" t="n">
        <f aca="false">Inventory!$C$115*M86</f>
        <v>155575.952391128</v>
      </c>
      <c r="N117" s="57" t="n">
        <f aca="false">Inventory!$C$115*N86</f>
        <v>189429.718922336</v>
      </c>
      <c r="O117" s="57" t="n">
        <f aca="false">Inventory!$C$115*O86</f>
        <v>143566.455916011</v>
      </c>
      <c r="P117" s="57" t="n">
        <f aca="false">Inventory!$C$115*P86</f>
        <v>130706.934971819</v>
      </c>
      <c r="Q117" s="57" t="n">
        <f aca="false">Inventory!$C$115*Q86</f>
        <v>165836.692581469</v>
      </c>
      <c r="R117" s="57" t="n">
        <f aca="false">Inventory!$C$115*R86</f>
        <v>143527.464808128</v>
      </c>
      <c r="S117" s="57" t="n">
        <f aca="false">Inventory!$C$115*S86</f>
        <v>140658.696213303</v>
      </c>
      <c r="T117" s="57" t="n">
        <f aca="false">Inventory!$C$115*T86</f>
        <v>136015.687775454</v>
      </c>
      <c r="U117" s="57" t="n">
        <f aca="false">Inventory!$C$115*U86</f>
        <v>131638.438569776</v>
      </c>
      <c r="V117" s="57" t="n">
        <f aca="false">Inventory!$C$115*V86</f>
        <v>118090.028390746</v>
      </c>
      <c r="W117" s="57" t="n">
        <f aca="false">Inventory!$C$115*W86</f>
        <v>118341.22295818</v>
      </c>
      <c r="X117" s="57" t="n">
        <f aca="false">Inventory!$C$115*X86</f>
        <v>141115.421420588</v>
      </c>
      <c r="Y117" s="57" t="n">
        <f aca="false">Inventory!$C$115*Y86</f>
        <v>158490.905195304</v>
      </c>
      <c r="Z117" s="57" t="n">
        <f aca="false">Inventory!$C$115*Z86</f>
        <v>237035.8365091</v>
      </c>
      <c r="AA117" s="57" t="n">
        <f aca="false">Inventory!$C$115*AA86</f>
        <v>205574.422808986</v>
      </c>
      <c r="AB117" s="57" t="n">
        <f aca="false">Inventory!$C$115*AB86</f>
        <v>205574.422808986</v>
      </c>
    </row>
    <row r="118" customFormat="false" ht="15" hidden="false" customHeight="true" outlineLevel="0" collapsed="false">
      <c r="A118" s="28" t="s">
        <v>869</v>
      </c>
      <c r="B118" s="55" t="s">
        <v>868</v>
      </c>
      <c r="C118" s="56" t="n">
        <f aca="false">P118</f>
        <v>34855.1826591517</v>
      </c>
      <c r="D118" s="56" t="n">
        <f aca="false">AB118</f>
        <v>54819.8460823963</v>
      </c>
      <c r="E118" s="57" t="n">
        <f aca="false">Inventory!$C$116*E86</f>
        <v>58770.5736</v>
      </c>
      <c r="F118" s="57" t="n">
        <f aca="false">Inventory!$C$116*F86</f>
        <v>55488.044</v>
      </c>
      <c r="G118" s="57" t="n">
        <f aca="false">Inventory!$C$116*G86</f>
        <v>53693.4048</v>
      </c>
      <c r="H118" s="57" t="n">
        <f aca="false">Inventory!$C$116*H86</f>
        <v>44474.7504</v>
      </c>
      <c r="I118" s="57" t="n">
        <f aca="false">Inventory!$C$116*I86</f>
        <v>47308.9248</v>
      </c>
      <c r="J118" s="57" t="n">
        <f aca="false">Inventory!$C$116*J86</f>
        <v>42600.0864</v>
      </c>
      <c r="K118" s="57" t="n">
        <f aca="false">Inventory!$C$116*K86</f>
        <v>37428.34</v>
      </c>
      <c r="L118" s="57" t="n">
        <f aca="false">Inventory!$C$116*L86</f>
        <v>31213.8504</v>
      </c>
      <c r="M118" s="57" t="n">
        <f aca="false">Inventory!$C$116*M86</f>
        <v>41486.9206376341</v>
      </c>
      <c r="N118" s="57" t="n">
        <f aca="false">Inventory!$C$116*N86</f>
        <v>50514.591712623</v>
      </c>
      <c r="O118" s="57" t="n">
        <f aca="false">Inventory!$C$116*O86</f>
        <v>38284.3882442695</v>
      </c>
      <c r="P118" s="57" t="n">
        <f aca="false">Inventory!$C$116*P86</f>
        <v>34855.1826591517</v>
      </c>
      <c r="Q118" s="57" t="n">
        <f aca="false">Inventory!$C$116*Q86</f>
        <v>44223.1180217252</v>
      </c>
      <c r="R118" s="57" t="n">
        <f aca="false">Inventory!$C$116*R86</f>
        <v>38273.9906155008</v>
      </c>
      <c r="S118" s="57" t="n">
        <f aca="false">Inventory!$C$116*S86</f>
        <v>37508.9856568809</v>
      </c>
      <c r="T118" s="57" t="n">
        <f aca="false">Inventory!$C$116*T86</f>
        <v>36270.8500734543</v>
      </c>
      <c r="U118" s="57" t="n">
        <f aca="false">Inventory!$C$116*U86</f>
        <v>35103.583618607</v>
      </c>
      <c r="V118" s="57" t="n">
        <f aca="false">Inventory!$C$116*V86</f>
        <v>31490.6742375323</v>
      </c>
      <c r="W118" s="57" t="n">
        <f aca="false">Inventory!$C$116*W86</f>
        <v>31557.6594555148</v>
      </c>
      <c r="X118" s="57" t="n">
        <f aca="false">Inventory!$C$116*X86</f>
        <v>37630.7790454903</v>
      </c>
      <c r="Y118" s="57" t="n">
        <f aca="false">Inventory!$C$116*Y86</f>
        <v>42264.2413854143</v>
      </c>
      <c r="Z118" s="57" t="n">
        <f aca="false">Inventory!$C$116*Z86</f>
        <v>63209.5564024267</v>
      </c>
      <c r="AA118" s="57" t="n">
        <f aca="false">Inventory!$C$116*AA86</f>
        <v>54819.8460823963</v>
      </c>
      <c r="AB118" s="57" t="n">
        <f aca="false">Inventory!$C$116*AB86</f>
        <v>54819.8460823963</v>
      </c>
    </row>
    <row r="119" customFormat="false" ht="15" hidden="false" customHeight="true" outlineLevel="0" collapsed="false">
      <c r="A119" s="28" t="s">
        <v>870</v>
      </c>
      <c r="B119" s="55" t="s">
        <v>871</v>
      </c>
      <c r="C119" s="56" t="n">
        <f aca="false">P119</f>
        <v>270127.665608425</v>
      </c>
      <c r="D119" s="56" t="n">
        <f aca="false">AB119</f>
        <v>424853.807138572</v>
      </c>
      <c r="E119" s="69" t="n">
        <f aca="false">E86-E117-E118</f>
        <v>455471.9454</v>
      </c>
      <c r="F119" s="69" t="n">
        <f aca="false">F86-F117-F118</f>
        <v>430032.341</v>
      </c>
      <c r="G119" s="69" t="n">
        <f aca="false">G86-G117-G118</f>
        <v>416123.8872</v>
      </c>
      <c r="H119" s="69" t="n">
        <f aca="false">H86-H117-H118</f>
        <v>344679.3156</v>
      </c>
      <c r="I119" s="69" t="n">
        <f aca="false">I86-I117-I118</f>
        <v>366644.1672</v>
      </c>
      <c r="J119" s="69" t="n">
        <f aca="false">J86-J117-J118</f>
        <v>330150.6696</v>
      </c>
      <c r="K119" s="69" t="n">
        <f aca="false">K86-K117-K118</f>
        <v>290069.635</v>
      </c>
      <c r="L119" s="69" t="n">
        <f aca="false">L86-L117-L118</f>
        <v>241907.3406</v>
      </c>
      <c r="M119" s="69" t="n">
        <f aca="false">M86-M117-M118</f>
        <v>321523.634941665</v>
      </c>
      <c r="N119" s="69" t="n">
        <f aca="false">N86-N117-N118</f>
        <v>391488.085772828</v>
      </c>
      <c r="O119" s="69" t="n">
        <f aca="false">O86-O117-O118</f>
        <v>296704.008893088</v>
      </c>
      <c r="P119" s="69" t="n">
        <f aca="false">P86-P117-P118</f>
        <v>270127.665608425</v>
      </c>
      <c r="Q119" s="69" t="n">
        <f aca="false">Q86-Q117-Q118</f>
        <v>342729.16466837</v>
      </c>
      <c r="R119" s="69" t="n">
        <f aca="false">R86-R117-R118</f>
        <v>296623.427270132</v>
      </c>
      <c r="S119" s="69" t="n">
        <f aca="false">S86-S117-S118</f>
        <v>290694.638840827</v>
      </c>
      <c r="T119" s="69" t="n">
        <f aca="false">T86-T117-T118</f>
        <v>281099.088069271</v>
      </c>
      <c r="U119" s="69" t="n">
        <f aca="false">U86-U117-U118</f>
        <v>272052.773044204</v>
      </c>
      <c r="V119" s="69" t="n">
        <f aca="false">V86-V117-V118</f>
        <v>244052.725340876</v>
      </c>
      <c r="W119" s="69" t="n">
        <f aca="false">W86-W117-W118</f>
        <v>244571.860780239</v>
      </c>
      <c r="X119" s="69" t="n">
        <f aca="false">X86-X117-X118</f>
        <v>291638.537602549</v>
      </c>
      <c r="Y119" s="69" t="n">
        <f aca="false">Y86-Y117-Y118</f>
        <v>327547.870736961</v>
      </c>
      <c r="Z119" s="69" t="n">
        <f aca="false">Z86-Z117-Z118</f>
        <v>489874.062118807</v>
      </c>
      <c r="AA119" s="69" t="n">
        <f aca="false">AA86-AA117-AA118</f>
        <v>424853.807138572</v>
      </c>
      <c r="AB119" s="69" t="n">
        <f aca="false">AB86-AB117-AB118</f>
        <v>424853.807138572</v>
      </c>
    </row>
    <row r="120" customFormat="false" ht="15" hidden="false" customHeight="true" outlineLevel="0" collapsed="false">
      <c r="A120" s="25" t="s">
        <v>872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13"/>
    <col collapsed="false" customWidth="true" hidden="false" outlineLevel="0" max="2" min="2" style="1" width="34"/>
    <col collapsed="false" customWidth="true" hidden="false" outlineLevel="0" max="4" min="3" style="1" width="11"/>
    <col collapsed="false" customWidth="true" hidden="false" outlineLevel="0" max="5" min="5" style="1" width="9"/>
    <col collapsed="false" customWidth="true" hidden="false" outlineLevel="0" max="6" min="6" style="1" width="13"/>
    <col collapsed="false" customWidth="true" hidden="false" outlineLevel="0" max="7" min="7" style="1" width="12"/>
    <col collapsed="false" customWidth="true" hidden="false" outlineLevel="0" max="9" min="8" style="1" width="11"/>
    <col collapsed="false" customWidth="true" hidden="false" outlineLevel="0" max="10" min="10" style="1" width="12"/>
    <col collapsed="false" customWidth="true" hidden="false" outlineLevel="0" max="12" min="11" style="1" width="11"/>
    <col collapsed="false" customWidth="true" hidden="false" outlineLevel="0" max="13" min="13" style="1" width="10"/>
    <col collapsed="false" customWidth="true" hidden="false" outlineLevel="0" max="14" min="14" style="1" width="13"/>
    <col collapsed="false" customWidth="true" hidden="false" outlineLevel="0" max="15" min="15" style="1" width="17"/>
    <col collapsed="false" customWidth="true" hidden="false" outlineLevel="0" max="18" min="16" style="1" width="11"/>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873</v>
      </c>
    </row>
    <row r="3" customFormat="false" ht="15" hidden="false" customHeight="true" outlineLevel="0" collapsed="false">
      <c r="A3" s="25" t="s">
        <v>874</v>
      </c>
    </row>
    <row r="5" customFormat="false" ht="30" hidden="false" customHeight="true" outlineLevel="0" collapsed="false">
      <c r="A5" s="99" t="s">
        <v>875</v>
      </c>
      <c r="B5" s="99" t="s">
        <v>876</v>
      </c>
      <c r="C5" s="99" t="s">
        <v>877</v>
      </c>
      <c r="D5" s="99" t="s">
        <v>878</v>
      </c>
      <c r="E5" s="99" t="s">
        <v>879</v>
      </c>
      <c r="F5" s="99" t="s">
        <v>880</v>
      </c>
      <c r="G5" s="99" t="s">
        <v>881</v>
      </c>
      <c r="H5" s="99" t="s">
        <v>882</v>
      </c>
      <c r="I5" s="99" t="s">
        <v>883</v>
      </c>
      <c r="J5" s="99" t="s">
        <v>884</v>
      </c>
      <c r="K5" s="99" t="s">
        <v>885</v>
      </c>
      <c r="L5" s="99" t="s">
        <v>886</v>
      </c>
      <c r="M5" s="99" t="s">
        <v>887</v>
      </c>
      <c r="N5" s="99" t="s">
        <v>888</v>
      </c>
      <c r="O5" s="99" t="s">
        <v>889</v>
      </c>
      <c r="P5" s="99" t="s">
        <v>890</v>
      </c>
      <c r="Q5" s="99" t="s">
        <v>891</v>
      </c>
      <c r="R5" s="99" t="s">
        <v>892</v>
      </c>
    </row>
    <row r="6" customFormat="false" ht="15" hidden="false" customHeight="true" outlineLevel="0" collapsed="false">
      <c r="A6" s="120" t="s">
        <v>893</v>
      </c>
      <c r="B6" s="120" t="s">
        <v>894</v>
      </c>
      <c r="C6" s="120" t="s">
        <v>895</v>
      </c>
      <c r="D6" s="106" t="n">
        <v>45936</v>
      </c>
      <c r="E6" s="121" t="n">
        <v>0.3</v>
      </c>
      <c r="F6" s="74" t="n">
        <v>96000</v>
      </c>
      <c r="G6" s="69" t="n">
        <f aca="false">E6*F6</f>
        <v>28800</v>
      </c>
      <c r="H6" s="101" t="n">
        <f aca="false">D6</f>
        <v>45936</v>
      </c>
      <c r="I6" s="106" t="n">
        <v>45999</v>
      </c>
      <c r="J6" s="69" t="n">
        <f aca="false">F6-G6</f>
        <v>67200</v>
      </c>
      <c r="K6" s="101" t="n">
        <f aca="false">I6</f>
        <v>45999</v>
      </c>
      <c r="L6" s="106" t="n">
        <v>46044</v>
      </c>
      <c r="M6" s="58" t="n">
        <f aca="false">IF(C6="Cookware",Assumptions!$C$38,IF(C6="Knives",Assumptions!$C$39,IF(C6="Textiles",Assumptions!$C$40,IF(C6="Tableware",Assumptions!$C$41,Assumptions!$C$42))))</f>
        <v>0.22</v>
      </c>
      <c r="N6" s="69" t="n">
        <f aca="false">F6*(1+M6)</f>
        <v>117120</v>
      </c>
      <c r="O6" s="122" t="str">
        <f aca="false">IF(L6&lt;=Assumptions!$C$9,"Received",IF(I6&lt;=Assumptions!$C$9,"In transit",IF(D6&lt;=Assumptions!$C$9,"Open: deposit paid","Planned")))</f>
        <v>Received</v>
      </c>
      <c r="P6" s="123" t="n">
        <f aca="false">EOMONTH(H6,0)</f>
        <v>45961</v>
      </c>
      <c r="Q6" s="123" t="n">
        <f aca="false">EOMONTH(I6,0)</f>
        <v>46022</v>
      </c>
      <c r="R6" s="123" t="n">
        <f aca="false">EOMONTH(L6,0)</f>
        <v>46053</v>
      </c>
    </row>
    <row r="7" customFormat="false" ht="15" hidden="false" customHeight="true" outlineLevel="0" collapsed="false">
      <c r="A7" s="120" t="s">
        <v>896</v>
      </c>
      <c r="B7" s="120" t="s">
        <v>897</v>
      </c>
      <c r="C7" s="120" t="s">
        <v>898</v>
      </c>
      <c r="D7" s="106" t="n">
        <v>45950</v>
      </c>
      <c r="E7" s="121" t="n">
        <v>0.3</v>
      </c>
      <c r="F7" s="74" t="n">
        <v>58000</v>
      </c>
      <c r="G7" s="69" t="n">
        <f aca="false">E7*F7</f>
        <v>17400</v>
      </c>
      <c r="H7" s="101" t="n">
        <f aca="false">D7</f>
        <v>45950</v>
      </c>
      <c r="I7" s="106" t="n">
        <v>46006</v>
      </c>
      <c r="J7" s="69" t="n">
        <f aca="false">F7-G7</f>
        <v>40600</v>
      </c>
      <c r="K7" s="101" t="n">
        <f aca="false">I7</f>
        <v>46006</v>
      </c>
      <c r="L7" s="106" t="n">
        <v>46052</v>
      </c>
      <c r="M7" s="58" t="n">
        <f aca="false">IF(C7="Cookware",Assumptions!$C$38,IF(C7="Knives",Assumptions!$C$39,IF(C7="Textiles",Assumptions!$C$40,IF(C7="Tableware",Assumptions!$C$41,Assumptions!$C$42))))</f>
        <v>0.24</v>
      </c>
      <c r="N7" s="69" t="n">
        <f aca="false">F7*(1+M7)</f>
        <v>71920</v>
      </c>
      <c r="O7" s="122" t="str">
        <f aca="false">IF(L7&lt;=Assumptions!$C$9,"Received",IF(I7&lt;=Assumptions!$C$9,"In transit",IF(D7&lt;=Assumptions!$C$9,"Open: deposit paid","Planned")))</f>
        <v>Received</v>
      </c>
      <c r="P7" s="123" t="n">
        <f aca="false">EOMONTH(H7,0)</f>
        <v>45961</v>
      </c>
      <c r="Q7" s="123" t="n">
        <f aca="false">EOMONTH(I7,0)</f>
        <v>46022</v>
      </c>
      <c r="R7" s="123" t="n">
        <f aca="false">EOMONTH(L7,0)</f>
        <v>46053</v>
      </c>
    </row>
    <row r="8" customFormat="false" ht="15" hidden="false" customHeight="true" outlineLevel="0" collapsed="false">
      <c r="A8" s="120" t="s">
        <v>899</v>
      </c>
      <c r="B8" s="120" t="s">
        <v>900</v>
      </c>
      <c r="C8" s="120" t="s">
        <v>901</v>
      </c>
      <c r="D8" s="106" t="n">
        <v>45979</v>
      </c>
      <c r="E8" s="121" t="n">
        <v>0.3</v>
      </c>
      <c r="F8" s="74" t="n">
        <v>41000</v>
      </c>
      <c r="G8" s="69" t="n">
        <f aca="false">E8*F8</f>
        <v>12300</v>
      </c>
      <c r="H8" s="101" t="n">
        <f aca="false">D8</f>
        <v>45979</v>
      </c>
      <c r="I8" s="106" t="n">
        <v>46042</v>
      </c>
      <c r="J8" s="69" t="n">
        <f aca="false">F8-G8</f>
        <v>28700</v>
      </c>
      <c r="K8" s="101" t="n">
        <f aca="false">I8</f>
        <v>46042</v>
      </c>
      <c r="L8" s="106" t="n">
        <v>46086</v>
      </c>
      <c r="M8" s="58" t="n">
        <f aca="false">IF(C8="Cookware",Assumptions!$C$38,IF(C8="Knives",Assumptions!$C$39,IF(C8="Textiles",Assumptions!$C$40,IF(C8="Tableware",Assumptions!$C$41,Assumptions!$C$42))))</f>
        <v>0.14</v>
      </c>
      <c r="N8" s="69" t="n">
        <f aca="false">F8*(1+M8)</f>
        <v>46740</v>
      </c>
      <c r="O8" s="122" t="str">
        <f aca="false">IF(L8&lt;=Assumptions!$C$9,"Received",IF(I8&lt;=Assumptions!$C$9,"In transit",IF(D8&lt;=Assumptions!$C$9,"Open: deposit paid","Planned")))</f>
        <v>Received</v>
      </c>
      <c r="P8" s="123" t="n">
        <f aca="false">EOMONTH(H8,0)</f>
        <v>45991</v>
      </c>
      <c r="Q8" s="123" t="n">
        <f aca="false">EOMONTH(I8,0)</f>
        <v>46053</v>
      </c>
      <c r="R8" s="123" t="n">
        <f aca="false">EOMONTH(L8,0)</f>
        <v>46112</v>
      </c>
    </row>
    <row r="9" customFormat="false" ht="15" hidden="false" customHeight="true" outlineLevel="0" collapsed="false">
      <c r="A9" s="120" t="s">
        <v>902</v>
      </c>
      <c r="B9" s="120" t="s">
        <v>903</v>
      </c>
      <c r="C9" s="120" t="s">
        <v>904</v>
      </c>
      <c r="D9" s="106" t="n">
        <v>45993</v>
      </c>
      <c r="E9" s="121" t="n">
        <v>0.3</v>
      </c>
      <c r="F9" s="74" t="n">
        <v>36000</v>
      </c>
      <c r="G9" s="69" t="n">
        <f aca="false">E9*F9</f>
        <v>10800</v>
      </c>
      <c r="H9" s="101" t="n">
        <f aca="false">D9</f>
        <v>45993</v>
      </c>
      <c r="I9" s="106" t="n">
        <v>46063</v>
      </c>
      <c r="J9" s="69" t="n">
        <f aca="false">F9-G9</f>
        <v>25200</v>
      </c>
      <c r="K9" s="101" t="n">
        <f aca="false">I9</f>
        <v>46063</v>
      </c>
      <c r="L9" s="106" t="n">
        <v>46109</v>
      </c>
      <c r="M9" s="58" t="n">
        <f aca="false">IF(C9="Cookware",Assumptions!$C$38,IF(C9="Knives",Assumptions!$C$39,IF(C9="Textiles",Assumptions!$C$40,IF(C9="Tableware",Assumptions!$C$41,Assumptions!$C$42))))</f>
        <v>0.2</v>
      </c>
      <c r="N9" s="69" t="n">
        <f aca="false">F9*(1+M9)</f>
        <v>43200</v>
      </c>
      <c r="O9" s="122" t="str">
        <f aca="false">IF(L9&lt;=Assumptions!$C$9,"Received",IF(I9&lt;=Assumptions!$C$9,"In transit",IF(D9&lt;=Assumptions!$C$9,"Open: deposit paid","Planned")))</f>
        <v>Received</v>
      </c>
      <c r="P9" s="123" t="n">
        <f aca="false">EOMONTH(H9,0)</f>
        <v>46022</v>
      </c>
      <c r="Q9" s="123" t="n">
        <f aca="false">EOMONTH(I9,0)</f>
        <v>46081</v>
      </c>
      <c r="R9" s="123" t="n">
        <f aca="false">EOMONTH(L9,0)</f>
        <v>46112</v>
      </c>
    </row>
    <row r="10" customFormat="false" ht="15" hidden="false" customHeight="true" outlineLevel="0" collapsed="false">
      <c r="A10" s="120" t="s">
        <v>905</v>
      </c>
      <c r="B10" s="120" t="s">
        <v>906</v>
      </c>
      <c r="C10" s="120" t="s">
        <v>907</v>
      </c>
      <c r="D10" s="106" t="n">
        <v>46034</v>
      </c>
      <c r="E10" s="121" t="n">
        <v>0.5</v>
      </c>
      <c r="F10" s="74" t="n">
        <v>48000</v>
      </c>
      <c r="G10" s="69" t="n">
        <f aca="false">E10*F10</f>
        <v>24000</v>
      </c>
      <c r="H10" s="101" t="n">
        <f aca="false">D10</f>
        <v>46034</v>
      </c>
      <c r="I10" s="106" t="n">
        <v>46073</v>
      </c>
      <c r="J10" s="69" t="n">
        <f aca="false">F10-G10</f>
        <v>24000</v>
      </c>
      <c r="K10" s="101" t="n">
        <f aca="false">I10</f>
        <v>46073</v>
      </c>
      <c r="L10" s="106" t="n">
        <v>46080</v>
      </c>
      <c r="M10" s="58" t="n">
        <f aca="false">IF(C10="Cookware",Assumptions!$C$38,IF(C10="Knives",Assumptions!$C$39,IF(C10="Textiles",Assumptions!$C$40,IF(C10="Tableware",Assumptions!$C$41,Assumptions!$C$42))))</f>
        <v>0.06</v>
      </c>
      <c r="N10" s="69" t="n">
        <f aca="false">F10*(1+M10)</f>
        <v>50880</v>
      </c>
      <c r="O10" s="122" t="str">
        <f aca="false">IF(L10&lt;=Assumptions!$C$9,"Received",IF(I10&lt;=Assumptions!$C$9,"In transit",IF(D10&lt;=Assumptions!$C$9,"Open: deposit paid","Planned")))</f>
        <v>Received</v>
      </c>
      <c r="P10" s="123" t="n">
        <f aca="false">EOMONTH(H10,0)</f>
        <v>46053</v>
      </c>
      <c r="Q10" s="123" t="n">
        <f aca="false">EOMONTH(I10,0)</f>
        <v>46081</v>
      </c>
      <c r="R10" s="123" t="n">
        <f aca="false">EOMONTH(L10,0)</f>
        <v>46081</v>
      </c>
    </row>
    <row r="11" customFormat="false" ht="15" hidden="false" customHeight="true" outlineLevel="0" collapsed="false">
      <c r="A11" s="120" t="s">
        <v>908</v>
      </c>
      <c r="B11" s="120" t="s">
        <v>894</v>
      </c>
      <c r="C11" s="120" t="s">
        <v>895</v>
      </c>
      <c r="D11" s="106" t="n">
        <v>46055</v>
      </c>
      <c r="E11" s="121" t="n">
        <v>0.3</v>
      </c>
      <c r="F11" s="74" t="n">
        <v>88000</v>
      </c>
      <c r="G11" s="69" t="n">
        <f aca="false">E11*F11</f>
        <v>26400</v>
      </c>
      <c r="H11" s="101" t="n">
        <f aca="false">D11</f>
        <v>46055</v>
      </c>
      <c r="I11" s="106" t="n">
        <v>46118</v>
      </c>
      <c r="J11" s="69" t="n">
        <f aca="false">F11-G11</f>
        <v>61600</v>
      </c>
      <c r="K11" s="101" t="n">
        <f aca="false">I11</f>
        <v>46118</v>
      </c>
      <c r="L11" s="106" t="n">
        <v>46164</v>
      </c>
      <c r="M11" s="58" t="n">
        <f aca="false">IF(C11="Cookware",Assumptions!$C$38,IF(C11="Knives",Assumptions!$C$39,IF(C11="Textiles",Assumptions!$C$40,IF(C11="Tableware",Assumptions!$C$41,Assumptions!$C$42))))</f>
        <v>0.22</v>
      </c>
      <c r="N11" s="69" t="n">
        <f aca="false">F11*(1+M11)</f>
        <v>107360</v>
      </c>
      <c r="O11" s="122" t="str">
        <f aca="false">IF(L11&lt;=Assumptions!$C$9,"Received",IF(I11&lt;=Assumptions!$C$9,"In transit",IF(D11&lt;=Assumptions!$C$9,"Open: deposit paid","Planned")))</f>
        <v>Received</v>
      </c>
      <c r="P11" s="123" t="n">
        <f aca="false">EOMONTH(H11,0)</f>
        <v>46081</v>
      </c>
      <c r="Q11" s="123" t="n">
        <f aca="false">EOMONTH(I11,0)</f>
        <v>46142</v>
      </c>
      <c r="R11" s="123" t="n">
        <f aca="false">EOMONTH(L11,0)</f>
        <v>46173</v>
      </c>
    </row>
    <row r="12" customFormat="false" ht="15" hidden="false" customHeight="true" outlineLevel="0" collapsed="false">
      <c r="A12" s="120" t="s">
        <v>909</v>
      </c>
      <c r="B12" s="120" t="s">
        <v>897</v>
      </c>
      <c r="C12" s="120" t="s">
        <v>898</v>
      </c>
      <c r="D12" s="106" t="n">
        <v>46076</v>
      </c>
      <c r="E12" s="121" t="n">
        <v>0.3</v>
      </c>
      <c r="F12" s="74" t="n">
        <v>52000</v>
      </c>
      <c r="G12" s="69" t="n">
        <f aca="false">E12*F12</f>
        <v>15600</v>
      </c>
      <c r="H12" s="101" t="n">
        <f aca="false">D12</f>
        <v>46076</v>
      </c>
      <c r="I12" s="106" t="n">
        <v>46132</v>
      </c>
      <c r="J12" s="69" t="n">
        <f aca="false">F12-G12</f>
        <v>36400</v>
      </c>
      <c r="K12" s="101" t="n">
        <f aca="false">I12</f>
        <v>46132</v>
      </c>
      <c r="L12" s="106" t="n">
        <v>46178</v>
      </c>
      <c r="M12" s="58" t="n">
        <f aca="false">IF(C12="Cookware",Assumptions!$C$38,IF(C12="Knives",Assumptions!$C$39,IF(C12="Textiles",Assumptions!$C$40,IF(C12="Tableware",Assumptions!$C$41,Assumptions!$C$42))))</f>
        <v>0.24</v>
      </c>
      <c r="N12" s="69" t="n">
        <f aca="false">F12*(1+M12)</f>
        <v>64480</v>
      </c>
      <c r="O12" s="122" t="str">
        <f aca="false">IF(L12&lt;=Assumptions!$C$9,"Received",IF(I12&lt;=Assumptions!$C$9,"In transit",IF(D12&lt;=Assumptions!$C$9,"Open: deposit paid","Planned")))</f>
        <v>Received</v>
      </c>
      <c r="P12" s="123" t="n">
        <f aca="false">EOMONTH(H12,0)</f>
        <v>46081</v>
      </c>
      <c r="Q12" s="123" t="n">
        <f aca="false">EOMONTH(I12,0)</f>
        <v>46142</v>
      </c>
      <c r="R12" s="123" t="n">
        <f aca="false">EOMONTH(L12,0)</f>
        <v>46203</v>
      </c>
    </row>
    <row r="13" customFormat="false" ht="15" hidden="false" customHeight="true" outlineLevel="0" collapsed="false">
      <c r="A13" s="120" t="s">
        <v>910</v>
      </c>
      <c r="B13" s="120" t="s">
        <v>906</v>
      </c>
      <c r="C13" s="120" t="s">
        <v>907</v>
      </c>
      <c r="D13" s="106" t="n">
        <v>46097</v>
      </c>
      <c r="E13" s="121" t="n">
        <v>0.5</v>
      </c>
      <c r="F13" s="74" t="n">
        <v>54000</v>
      </c>
      <c r="G13" s="69" t="n">
        <f aca="false">E13*F13</f>
        <v>27000</v>
      </c>
      <c r="H13" s="101" t="n">
        <f aca="false">D13</f>
        <v>46097</v>
      </c>
      <c r="I13" s="106" t="n">
        <v>46136</v>
      </c>
      <c r="J13" s="69" t="n">
        <f aca="false">F13-G13</f>
        <v>27000</v>
      </c>
      <c r="K13" s="101" t="n">
        <f aca="false">I13</f>
        <v>46136</v>
      </c>
      <c r="L13" s="106" t="n">
        <v>46143</v>
      </c>
      <c r="M13" s="58" t="n">
        <f aca="false">IF(C13="Cookware",Assumptions!$C$38,IF(C13="Knives",Assumptions!$C$39,IF(C13="Textiles",Assumptions!$C$40,IF(C13="Tableware",Assumptions!$C$41,Assumptions!$C$42))))</f>
        <v>0.06</v>
      </c>
      <c r="N13" s="69" t="n">
        <f aca="false">F13*(1+M13)</f>
        <v>57240</v>
      </c>
      <c r="O13" s="122" t="str">
        <f aca="false">IF(L13&lt;=Assumptions!$C$9,"Received",IF(I13&lt;=Assumptions!$C$9,"In transit",IF(D13&lt;=Assumptions!$C$9,"Open: deposit paid","Planned")))</f>
        <v>Received</v>
      </c>
      <c r="P13" s="123" t="n">
        <f aca="false">EOMONTH(H13,0)</f>
        <v>46112</v>
      </c>
      <c r="Q13" s="123" t="n">
        <f aca="false">EOMONTH(I13,0)</f>
        <v>46142</v>
      </c>
      <c r="R13" s="123" t="n">
        <f aca="false">EOMONTH(L13,0)</f>
        <v>46173</v>
      </c>
    </row>
    <row r="14" customFormat="false" ht="15" hidden="false" customHeight="true" outlineLevel="0" collapsed="false">
      <c r="A14" s="120" t="s">
        <v>911</v>
      </c>
      <c r="B14" s="120" t="s">
        <v>900</v>
      </c>
      <c r="C14" s="120" t="s">
        <v>901</v>
      </c>
      <c r="D14" s="106" t="n">
        <v>46118</v>
      </c>
      <c r="E14" s="121" t="n">
        <v>0.3</v>
      </c>
      <c r="F14" s="74" t="n">
        <v>46000</v>
      </c>
      <c r="G14" s="69" t="n">
        <f aca="false">E14*F14</f>
        <v>13800</v>
      </c>
      <c r="H14" s="101" t="n">
        <f aca="false">D14</f>
        <v>46118</v>
      </c>
      <c r="I14" s="106" t="n">
        <v>46181</v>
      </c>
      <c r="J14" s="69" t="n">
        <f aca="false">F14-G14</f>
        <v>32200</v>
      </c>
      <c r="K14" s="101" t="n">
        <f aca="false">I14</f>
        <v>46181</v>
      </c>
      <c r="L14" s="106" t="n">
        <v>46227</v>
      </c>
      <c r="M14" s="58" t="n">
        <f aca="false">IF(C14="Cookware",Assumptions!$C$38,IF(C14="Knives",Assumptions!$C$39,IF(C14="Textiles",Assumptions!$C$40,IF(C14="Tableware",Assumptions!$C$41,Assumptions!$C$42))))</f>
        <v>0.14</v>
      </c>
      <c r="N14" s="69" t="n">
        <f aca="false">F14*(1+M14)</f>
        <v>52440</v>
      </c>
      <c r="O14" s="122" t="str">
        <f aca="false">IF(L14&lt;=Assumptions!$C$9,"Received",IF(I14&lt;=Assumptions!$C$9,"In transit",IF(D14&lt;=Assumptions!$C$9,"Open: deposit paid","Planned")))</f>
        <v>Received</v>
      </c>
      <c r="P14" s="123" t="n">
        <f aca="false">EOMONTH(H14,0)</f>
        <v>46142</v>
      </c>
      <c r="Q14" s="123" t="n">
        <f aca="false">EOMONTH(I14,0)</f>
        <v>46203</v>
      </c>
      <c r="R14" s="123" t="n">
        <f aca="false">EOMONTH(L14,0)</f>
        <v>46234</v>
      </c>
    </row>
    <row r="15" customFormat="false" ht="15" hidden="false" customHeight="true" outlineLevel="0" collapsed="false">
      <c r="A15" s="120" t="s">
        <v>912</v>
      </c>
      <c r="B15" s="120" t="s">
        <v>903</v>
      </c>
      <c r="C15" s="120" t="s">
        <v>904</v>
      </c>
      <c r="D15" s="106" t="n">
        <v>46146</v>
      </c>
      <c r="E15" s="121" t="n">
        <v>0.3</v>
      </c>
      <c r="F15" s="74" t="n">
        <v>34000</v>
      </c>
      <c r="G15" s="69" t="n">
        <f aca="false">E15*F15</f>
        <v>10200</v>
      </c>
      <c r="H15" s="101" t="n">
        <f aca="false">D15</f>
        <v>46146</v>
      </c>
      <c r="I15" s="106" t="n">
        <v>46209</v>
      </c>
      <c r="J15" s="69" t="n">
        <f aca="false">F15-G15</f>
        <v>23800</v>
      </c>
      <c r="K15" s="101" t="n">
        <f aca="false">I15</f>
        <v>46209</v>
      </c>
      <c r="L15" s="106" t="n">
        <v>46254</v>
      </c>
      <c r="M15" s="58" t="n">
        <f aca="false">IF(C15="Cookware",Assumptions!$C$38,IF(C15="Knives",Assumptions!$C$39,IF(C15="Textiles",Assumptions!$C$40,IF(C15="Tableware",Assumptions!$C$41,Assumptions!$C$42))))</f>
        <v>0.2</v>
      </c>
      <c r="N15" s="69" t="n">
        <f aca="false">F15*(1+M15)</f>
        <v>40800</v>
      </c>
      <c r="O15" s="122" t="str">
        <f aca="false">IF(L15&lt;=Assumptions!$C$9,"Received",IF(I15&lt;=Assumptions!$C$9,"In transit",IF(D15&lt;=Assumptions!$C$9,"Open: deposit paid","Planned")))</f>
        <v>Received</v>
      </c>
      <c r="P15" s="123" t="n">
        <f aca="false">EOMONTH(H15,0)</f>
        <v>46173</v>
      </c>
      <c r="Q15" s="123" t="n">
        <f aca="false">EOMONTH(I15,0)</f>
        <v>46234</v>
      </c>
      <c r="R15" s="123" t="n">
        <f aca="false">EOMONTH(L15,0)</f>
        <v>46265</v>
      </c>
    </row>
    <row r="16" customFormat="false" ht="15" hidden="false" customHeight="true" outlineLevel="0" collapsed="false">
      <c r="A16" s="120" t="s">
        <v>913</v>
      </c>
      <c r="B16" s="120" t="s">
        <v>894</v>
      </c>
      <c r="C16" s="120" t="s">
        <v>895</v>
      </c>
      <c r="D16" s="106" t="n">
        <v>46167</v>
      </c>
      <c r="E16" s="121" t="n">
        <v>0.3</v>
      </c>
      <c r="F16" s="74" t="n">
        <v>120000</v>
      </c>
      <c r="G16" s="69" t="n">
        <f aca="false">E16*F16</f>
        <v>36000</v>
      </c>
      <c r="H16" s="101" t="n">
        <f aca="false">D16</f>
        <v>46167</v>
      </c>
      <c r="I16" s="106" t="n">
        <v>46230</v>
      </c>
      <c r="J16" s="69" t="n">
        <f aca="false">F16-G16</f>
        <v>84000</v>
      </c>
      <c r="K16" s="101" t="n">
        <f aca="false">I16</f>
        <v>46230</v>
      </c>
      <c r="L16" s="106" t="n">
        <v>46276</v>
      </c>
      <c r="M16" s="58" t="n">
        <f aca="false">IF(C16="Cookware",Assumptions!$C$38,IF(C16="Knives",Assumptions!$C$39,IF(C16="Textiles",Assumptions!$C$40,IF(C16="Tableware",Assumptions!$C$41,Assumptions!$C$42))))</f>
        <v>0.22</v>
      </c>
      <c r="N16" s="69" t="n">
        <f aca="false">F16*(1+M16)</f>
        <v>146400</v>
      </c>
      <c r="O16" s="122" t="str">
        <f aca="false">IF(L16&lt;=Assumptions!$C$9,"Received",IF(I16&lt;=Assumptions!$C$9,"In transit",IF(D16&lt;=Assumptions!$C$9,"Open: deposit paid","Planned")))</f>
        <v>In transit</v>
      </c>
      <c r="P16" s="123" t="n">
        <f aca="false">EOMONTH(H16,0)</f>
        <v>46173</v>
      </c>
      <c r="Q16" s="123" t="n">
        <f aca="false">EOMONTH(I16,0)</f>
        <v>46234</v>
      </c>
      <c r="R16" s="123" t="n">
        <f aca="false">EOMONTH(L16,0)</f>
        <v>46295</v>
      </c>
    </row>
    <row r="17" customFormat="false" ht="15" hidden="false" customHeight="true" outlineLevel="0" collapsed="false">
      <c r="A17" s="120" t="s">
        <v>914</v>
      </c>
      <c r="B17" s="120" t="s">
        <v>900</v>
      </c>
      <c r="C17" s="120" t="s">
        <v>901</v>
      </c>
      <c r="D17" s="106" t="n">
        <v>46174</v>
      </c>
      <c r="E17" s="121" t="n">
        <v>0.3</v>
      </c>
      <c r="F17" s="74" t="n">
        <v>38000</v>
      </c>
      <c r="G17" s="69" t="n">
        <f aca="false">E17*F17</f>
        <v>11400</v>
      </c>
      <c r="H17" s="101" t="n">
        <f aca="false">D17</f>
        <v>46174</v>
      </c>
      <c r="I17" s="106" t="n">
        <v>46237</v>
      </c>
      <c r="J17" s="69" t="n">
        <f aca="false">F17-G17</f>
        <v>26600</v>
      </c>
      <c r="K17" s="101" t="n">
        <f aca="false">I17</f>
        <v>46237</v>
      </c>
      <c r="L17" s="106" t="n">
        <v>46283</v>
      </c>
      <c r="M17" s="58" t="n">
        <f aca="false">IF(C17="Cookware",Assumptions!$C$38,IF(C17="Knives",Assumptions!$C$39,IF(C17="Textiles",Assumptions!$C$40,IF(C17="Tableware",Assumptions!$C$41,Assumptions!$C$42))))</f>
        <v>0.14</v>
      </c>
      <c r="N17" s="69" t="n">
        <f aca="false">F17*(1+M17)</f>
        <v>43320</v>
      </c>
      <c r="O17" s="122" t="str">
        <f aca="false">IF(L17&lt;=Assumptions!$C$9,"Received",IF(I17&lt;=Assumptions!$C$9,"In transit",IF(D17&lt;=Assumptions!$C$9,"Open: deposit paid","Planned")))</f>
        <v>In transit</v>
      </c>
      <c r="P17" s="123" t="n">
        <f aca="false">EOMONTH(H17,0)</f>
        <v>46203</v>
      </c>
      <c r="Q17" s="123" t="n">
        <f aca="false">EOMONTH(I17,0)</f>
        <v>46265</v>
      </c>
      <c r="R17" s="123" t="n">
        <f aca="false">EOMONTH(L17,0)</f>
        <v>46295</v>
      </c>
    </row>
    <row r="18" customFormat="false" ht="15" hidden="false" customHeight="true" outlineLevel="0" collapsed="false">
      <c r="A18" s="120" t="s">
        <v>915</v>
      </c>
      <c r="B18" s="120" t="s">
        <v>894</v>
      </c>
      <c r="C18" s="120" t="s">
        <v>895</v>
      </c>
      <c r="D18" s="106" t="n">
        <v>46181</v>
      </c>
      <c r="E18" s="121" t="n">
        <v>0.3</v>
      </c>
      <c r="F18" s="74" t="n">
        <v>142000</v>
      </c>
      <c r="G18" s="69" t="n">
        <f aca="false">E18*F18</f>
        <v>42600</v>
      </c>
      <c r="H18" s="101" t="n">
        <f aca="false">D18</f>
        <v>46181</v>
      </c>
      <c r="I18" s="106" t="n">
        <v>46269</v>
      </c>
      <c r="J18" s="69" t="n">
        <f aca="false">F18-G18</f>
        <v>99400</v>
      </c>
      <c r="K18" s="101" t="n">
        <f aca="false">I18</f>
        <v>46269</v>
      </c>
      <c r="L18" s="106" t="n">
        <v>46314</v>
      </c>
      <c r="M18" s="58" t="n">
        <f aca="false">IF(C18="Cookware",Assumptions!$C$38,IF(C18="Knives",Assumptions!$C$39,IF(C18="Textiles",Assumptions!$C$40,IF(C18="Tableware",Assumptions!$C$41,Assumptions!$C$42))))</f>
        <v>0.22</v>
      </c>
      <c r="N18" s="69" t="n">
        <f aca="false">F18*(1+M18)</f>
        <v>173240</v>
      </c>
      <c r="O18" s="122" t="str">
        <f aca="false">IF(L18&lt;=Assumptions!$C$9,"Received",IF(I18&lt;=Assumptions!$C$9,"In transit",IF(D18&lt;=Assumptions!$C$9,"Open: deposit paid","Planned")))</f>
        <v>Open: deposit paid</v>
      </c>
      <c r="P18" s="123" t="n">
        <f aca="false">EOMONTH(H18,0)</f>
        <v>46203</v>
      </c>
      <c r="Q18" s="123" t="n">
        <f aca="false">EOMONTH(I18,0)</f>
        <v>46295</v>
      </c>
      <c r="R18" s="123" t="n">
        <f aca="false">EOMONTH(L18,0)</f>
        <v>46326</v>
      </c>
    </row>
    <row r="19" customFormat="false" ht="15" hidden="false" customHeight="true" outlineLevel="0" collapsed="false">
      <c r="A19" s="120" t="s">
        <v>916</v>
      </c>
      <c r="B19" s="120" t="s">
        <v>897</v>
      </c>
      <c r="C19" s="120" t="s">
        <v>898</v>
      </c>
      <c r="D19" s="106" t="n">
        <v>46195</v>
      </c>
      <c r="E19" s="121" t="n">
        <v>0.3</v>
      </c>
      <c r="F19" s="74" t="n">
        <v>76000</v>
      </c>
      <c r="G19" s="69" t="n">
        <f aca="false">E19*F19</f>
        <v>22800</v>
      </c>
      <c r="H19" s="101" t="n">
        <f aca="false">D19</f>
        <v>46195</v>
      </c>
      <c r="I19" s="106" t="n">
        <v>46258</v>
      </c>
      <c r="J19" s="69" t="n">
        <f aca="false">F19-G19</f>
        <v>53200</v>
      </c>
      <c r="K19" s="101" t="n">
        <f aca="false">I19</f>
        <v>46258</v>
      </c>
      <c r="L19" s="106" t="n">
        <v>46304</v>
      </c>
      <c r="M19" s="58" t="n">
        <f aca="false">IF(C19="Cookware",Assumptions!$C$38,IF(C19="Knives",Assumptions!$C$39,IF(C19="Textiles",Assumptions!$C$40,IF(C19="Tableware",Assumptions!$C$41,Assumptions!$C$42))))</f>
        <v>0.24</v>
      </c>
      <c r="N19" s="69" t="n">
        <f aca="false">F19*(1+M19)</f>
        <v>94240</v>
      </c>
      <c r="O19" s="122" t="str">
        <f aca="false">IF(L19&lt;=Assumptions!$C$9,"Received",IF(I19&lt;=Assumptions!$C$9,"In transit",IF(D19&lt;=Assumptions!$C$9,"Open: deposit paid","Planned")))</f>
        <v>In transit</v>
      </c>
      <c r="P19" s="123" t="n">
        <f aca="false">EOMONTH(H19,0)</f>
        <v>46203</v>
      </c>
      <c r="Q19" s="123" t="n">
        <f aca="false">EOMONTH(I19,0)</f>
        <v>46265</v>
      </c>
      <c r="R19" s="123" t="n">
        <f aca="false">EOMONTH(L19,0)</f>
        <v>46326</v>
      </c>
    </row>
    <row r="20" customFormat="false" ht="15" hidden="false" customHeight="true" outlineLevel="0" collapsed="false">
      <c r="A20" s="120" t="s">
        <v>917</v>
      </c>
      <c r="B20" s="120" t="s">
        <v>906</v>
      </c>
      <c r="C20" s="120" t="s">
        <v>907</v>
      </c>
      <c r="D20" s="106" t="n">
        <v>46216</v>
      </c>
      <c r="E20" s="121" t="n">
        <v>0.5</v>
      </c>
      <c r="F20" s="74" t="n">
        <v>68000</v>
      </c>
      <c r="G20" s="69" t="n">
        <f aca="false">E20*F20</f>
        <v>34000</v>
      </c>
      <c r="H20" s="101" t="n">
        <f aca="false">D20</f>
        <v>46216</v>
      </c>
      <c r="I20" s="106" t="n">
        <v>46283</v>
      </c>
      <c r="J20" s="69" t="n">
        <f aca="false">F20-G20</f>
        <v>34000</v>
      </c>
      <c r="K20" s="101" t="n">
        <f aca="false">I20</f>
        <v>46283</v>
      </c>
      <c r="L20" s="106" t="n">
        <v>46290</v>
      </c>
      <c r="M20" s="58" t="n">
        <f aca="false">IF(C20="Cookware",Assumptions!$C$38,IF(C20="Knives",Assumptions!$C$39,IF(C20="Textiles",Assumptions!$C$40,IF(C20="Tableware",Assumptions!$C$41,Assumptions!$C$42))))</f>
        <v>0.06</v>
      </c>
      <c r="N20" s="69" t="n">
        <f aca="false">F20*(1+M20)</f>
        <v>72080</v>
      </c>
      <c r="O20" s="122" t="str">
        <f aca="false">IF(L20&lt;=Assumptions!$C$9,"Received",IF(I20&lt;=Assumptions!$C$9,"In transit",IF(D20&lt;=Assumptions!$C$9,"Open: deposit paid","Planned")))</f>
        <v>Open: deposit paid</v>
      </c>
      <c r="P20" s="123" t="n">
        <f aca="false">EOMONTH(H20,0)</f>
        <v>46234</v>
      </c>
      <c r="Q20" s="123" t="n">
        <f aca="false">EOMONTH(I20,0)</f>
        <v>46295</v>
      </c>
      <c r="R20" s="123" t="n">
        <f aca="false">EOMONTH(L20,0)</f>
        <v>46295</v>
      </c>
    </row>
    <row r="21" customFormat="false" ht="15" hidden="false" customHeight="true" outlineLevel="0" collapsed="false">
      <c r="A21" s="120" t="s">
        <v>918</v>
      </c>
      <c r="B21" s="120" t="s">
        <v>900</v>
      </c>
      <c r="C21" s="120" t="s">
        <v>901</v>
      </c>
      <c r="D21" s="106" t="n">
        <v>46230</v>
      </c>
      <c r="E21" s="121" t="n">
        <v>0.3</v>
      </c>
      <c r="F21" s="74" t="n">
        <v>62000</v>
      </c>
      <c r="G21" s="69" t="n">
        <f aca="false">E21*F21</f>
        <v>18600</v>
      </c>
      <c r="H21" s="101" t="n">
        <f aca="false">D21</f>
        <v>46230</v>
      </c>
      <c r="I21" s="106" t="n">
        <v>46293</v>
      </c>
      <c r="J21" s="69" t="n">
        <f aca="false">F21-G21</f>
        <v>43400</v>
      </c>
      <c r="K21" s="101" t="n">
        <f aca="false">I21</f>
        <v>46293</v>
      </c>
      <c r="L21" s="106" t="n">
        <v>46339</v>
      </c>
      <c r="M21" s="58" t="n">
        <f aca="false">IF(C21="Cookware",Assumptions!$C$38,IF(C21="Knives",Assumptions!$C$39,IF(C21="Textiles",Assumptions!$C$40,IF(C21="Tableware",Assumptions!$C$41,Assumptions!$C$42))))</f>
        <v>0.14</v>
      </c>
      <c r="N21" s="69" t="n">
        <f aca="false">F21*(1+M21)</f>
        <v>70680</v>
      </c>
      <c r="O21" s="122" t="str">
        <f aca="false">IF(L21&lt;=Assumptions!$C$9,"Received",IF(I21&lt;=Assumptions!$C$9,"In transit",IF(D21&lt;=Assumptions!$C$9,"Open: deposit paid","Planned")))</f>
        <v>Open: deposit paid</v>
      </c>
      <c r="P21" s="123" t="n">
        <f aca="false">EOMONTH(H21,0)</f>
        <v>46234</v>
      </c>
      <c r="Q21" s="123" t="n">
        <f aca="false">EOMONTH(I21,0)</f>
        <v>46295</v>
      </c>
      <c r="R21" s="123" t="n">
        <f aca="false">EOMONTH(L21,0)</f>
        <v>46356</v>
      </c>
    </row>
    <row r="22" customFormat="false" ht="15" hidden="false" customHeight="true" outlineLevel="0" collapsed="false">
      <c r="A22" s="120" t="s">
        <v>919</v>
      </c>
      <c r="B22" s="120" t="s">
        <v>903</v>
      </c>
      <c r="C22" s="120" t="s">
        <v>904</v>
      </c>
      <c r="D22" s="106" t="n">
        <v>46251</v>
      </c>
      <c r="E22" s="121" t="n">
        <v>0.3</v>
      </c>
      <c r="F22" s="74" t="n">
        <v>28000</v>
      </c>
      <c r="G22" s="69" t="n">
        <f aca="false">E22*F22</f>
        <v>8400</v>
      </c>
      <c r="H22" s="101" t="n">
        <f aca="false">D22</f>
        <v>46251</v>
      </c>
      <c r="I22" s="106" t="n">
        <v>46314</v>
      </c>
      <c r="J22" s="69" t="n">
        <f aca="false">F22-G22</f>
        <v>19600</v>
      </c>
      <c r="K22" s="101" t="n">
        <f aca="false">I22</f>
        <v>46314</v>
      </c>
      <c r="L22" s="106" t="n">
        <v>46360</v>
      </c>
      <c r="M22" s="58" t="n">
        <f aca="false">IF(C22="Cookware",Assumptions!$C$38,IF(C22="Knives",Assumptions!$C$39,IF(C22="Textiles",Assumptions!$C$40,IF(C22="Tableware",Assumptions!$C$41,Assumptions!$C$42))))</f>
        <v>0.2</v>
      </c>
      <c r="N22" s="69" t="n">
        <f aca="false">F22*(1+M22)</f>
        <v>33600</v>
      </c>
      <c r="O22" s="122" t="str">
        <f aca="false">IF(L22&lt;=Assumptions!$C$9,"Received",IF(I22&lt;=Assumptions!$C$9,"In transit",IF(D22&lt;=Assumptions!$C$9,"Open: deposit paid","Planned")))</f>
        <v>Open: deposit paid</v>
      </c>
      <c r="P22" s="123" t="n">
        <f aca="false">EOMONTH(H22,0)</f>
        <v>46265</v>
      </c>
      <c r="Q22" s="123" t="n">
        <f aca="false">EOMONTH(I22,0)</f>
        <v>46326</v>
      </c>
      <c r="R22" s="123" t="n">
        <f aca="false">EOMONTH(L22,0)</f>
        <v>46387</v>
      </c>
    </row>
    <row r="23" customFormat="false" ht="15" hidden="false" customHeight="true" outlineLevel="0" collapsed="false">
      <c r="A23" s="120" t="s">
        <v>920</v>
      </c>
      <c r="B23" s="120" t="s">
        <v>894</v>
      </c>
      <c r="C23" s="120" t="s">
        <v>895</v>
      </c>
      <c r="D23" s="106" t="n">
        <v>46286</v>
      </c>
      <c r="E23" s="121" t="n">
        <v>0.3</v>
      </c>
      <c r="F23" s="74" t="n">
        <v>98000</v>
      </c>
      <c r="G23" s="69" t="n">
        <f aca="false">E23*F23</f>
        <v>29400</v>
      </c>
      <c r="H23" s="101" t="n">
        <f aca="false">D23</f>
        <v>46286</v>
      </c>
      <c r="I23" s="106" t="n">
        <v>46349</v>
      </c>
      <c r="J23" s="69" t="n">
        <f aca="false">F23-G23</f>
        <v>68600</v>
      </c>
      <c r="K23" s="101" t="n">
        <f aca="false">I23</f>
        <v>46349</v>
      </c>
      <c r="L23" s="106" t="n">
        <v>46395</v>
      </c>
      <c r="M23" s="58" t="n">
        <f aca="false">IF(C23="Cookware",Assumptions!$C$38,IF(C23="Knives",Assumptions!$C$39,IF(C23="Textiles",Assumptions!$C$40,IF(C23="Tableware",Assumptions!$C$41,Assumptions!$C$42))))</f>
        <v>0.22</v>
      </c>
      <c r="N23" s="69" t="n">
        <f aca="false">F23*(1+M23)</f>
        <v>119560</v>
      </c>
      <c r="O23" s="122" t="str">
        <f aca="false">IF(L23&lt;=Assumptions!$C$9,"Received",IF(I23&lt;=Assumptions!$C$9,"In transit",IF(D23&lt;=Assumptions!$C$9,"Open: deposit paid","Planned")))</f>
        <v>Planned</v>
      </c>
      <c r="P23" s="123" t="n">
        <f aca="false">EOMONTH(H23,0)</f>
        <v>46295</v>
      </c>
      <c r="Q23" s="123" t="n">
        <f aca="false">EOMONTH(I23,0)</f>
        <v>46356</v>
      </c>
      <c r="R23" s="123" t="n">
        <f aca="false">EOMONTH(L23,0)</f>
        <v>46418</v>
      </c>
    </row>
    <row r="24" customFormat="false" ht="15" hidden="false" customHeight="true" outlineLevel="0" collapsed="false">
      <c r="A24" s="120" t="s">
        <v>921</v>
      </c>
      <c r="B24" s="120" t="s">
        <v>897</v>
      </c>
      <c r="C24" s="120" t="s">
        <v>898</v>
      </c>
      <c r="D24" s="106" t="n">
        <v>46307</v>
      </c>
      <c r="E24" s="121" t="n">
        <v>0.3</v>
      </c>
      <c r="F24" s="74" t="n">
        <v>60000</v>
      </c>
      <c r="G24" s="69" t="n">
        <f aca="false">E24*F24</f>
        <v>18000</v>
      </c>
      <c r="H24" s="101" t="n">
        <f aca="false">D24</f>
        <v>46307</v>
      </c>
      <c r="I24" s="106" t="n">
        <v>46370</v>
      </c>
      <c r="J24" s="69" t="n">
        <f aca="false">F24-G24</f>
        <v>42000</v>
      </c>
      <c r="K24" s="101" t="n">
        <f aca="false">I24</f>
        <v>46370</v>
      </c>
      <c r="L24" s="106" t="n">
        <v>46416</v>
      </c>
      <c r="M24" s="58" t="n">
        <f aca="false">IF(C24="Cookware",Assumptions!$C$38,IF(C24="Knives",Assumptions!$C$39,IF(C24="Textiles",Assumptions!$C$40,IF(C24="Tableware",Assumptions!$C$41,Assumptions!$C$42))))</f>
        <v>0.24</v>
      </c>
      <c r="N24" s="69" t="n">
        <f aca="false">F24*(1+M24)</f>
        <v>74400</v>
      </c>
      <c r="O24" s="122" t="str">
        <f aca="false">IF(L24&lt;=Assumptions!$C$9,"Received",IF(I24&lt;=Assumptions!$C$9,"In transit",IF(D24&lt;=Assumptions!$C$9,"Open: deposit paid","Planned")))</f>
        <v>Planned</v>
      </c>
      <c r="P24" s="123" t="n">
        <f aca="false">EOMONTH(H24,0)</f>
        <v>46326</v>
      </c>
      <c r="Q24" s="123" t="n">
        <f aca="false">EOMONTH(I24,0)</f>
        <v>46387</v>
      </c>
      <c r="R24" s="123" t="n">
        <f aca="false">EOMONTH(L24,0)</f>
        <v>46418</v>
      </c>
    </row>
    <row r="25" customFormat="false" ht="15" hidden="false" customHeight="true" outlineLevel="0" collapsed="false">
      <c r="A25" s="81" t="s">
        <v>479</v>
      </c>
      <c r="F25" s="82" t="n">
        <f aca="false">SUM(F6:F24)</f>
        <v>1245000</v>
      </c>
      <c r="G25" s="82" t="n">
        <f aca="false">SUM(G6:G24)</f>
        <v>407500</v>
      </c>
      <c r="J25" s="82" t="n">
        <f aca="false">SUM(J6:J24)</f>
        <v>837500</v>
      </c>
      <c r="N25" s="82" t="n">
        <f aca="false">SUM(N6:N24)</f>
        <v>1479700</v>
      </c>
    </row>
    <row r="27" customFormat="false" ht="15" hidden="false" customHeight="true" outlineLevel="0" collapsed="false">
      <c r="A27" s="6" t="s">
        <v>922</v>
      </c>
    </row>
    <row r="28" customFormat="false" ht="15" hidden="false" customHeight="true" outlineLevel="0" collapsed="false">
      <c r="A28" s="28" t="s">
        <v>923</v>
      </c>
      <c r="F28" s="29" t="n">
        <f aca="false">SUMIFS(F6:F24,L6:L24,"&gt;"&amp;Assumptions!$C$9)</f>
        <v>692000</v>
      </c>
    </row>
    <row r="29" customFormat="false" ht="15" hidden="false" customHeight="true" outlineLevel="0" collapsed="false">
      <c r="A29" s="28" t="s">
        <v>924</v>
      </c>
      <c r="F29" s="29" t="n">
        <f aca="false">SUMIFS(G6:G24,L6:L24,"&gt;"&amp;Assumptions!$C$9,D6:D24,"&lt;="&amp;Assumptions!$C$9)</f>
        <v>173800</v>
      </c>
    </row>
    <row r="30" customFormat="false" ht="15" hidden="false" customHeight="true" outlineLevel="0" collapsed="false">
      <c r="A30" s="28" t="s">
        <v>925</v>
      </c>
      <c r="F30" s="29" t="n">
        <f aca="false">SUMIFS(J6:J24,L6:L24,"&gt;"&amp;Assumptions!$C$9,I6:I24,"&lt;="&amp;Assumptions!$C$9)</f>
        <v>163800</v>
      </c>
    </row>
    <row r="31" customFormat="false" ht="15" hidden="false" customHeight="true" outlineLevel="0" collapsed="false">
      <c r="A31" s="28" t="s">
        <v>926</v>
      </c>
      <c r="F31" s="35" t="n">
        <f aca="false">F28-F29-F30</f>
        <v>354400</v>
      </c>
    </row>
    <row r="32" customFormat="false" ht="15" hidden="false" customHeight="true" outlineLevel="0" collapsed="false">
      <c r="A32" s="28" t="s">
        <v>927</v>
      </c>
      <c r="F32" s="29" t="n">
        <f aca="false">SUMIFS(N6:N24,L6:L24,"&gt;"&amp;Assumptions!$C$9)</f>
        <v>827520</v>
      </c>
    </row>
    <row r="34" customFormat="false" ht="15" hidden="false" customHeight="true" outlineLevel="0" collapsed="false">
      <c r="A34" s="25" t="s">
        <v>928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0"/>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44"/>
    <col collapsed="false" customWidth="true" hidden="false" outlineLevel="0" max="3" min="3" style="1" width="14"/>
    <col collapsed="false" customWidth="true" hidden="false" outlineLevel="0" max="4" min="4" style="1" width="13"/>
    <col collapsed="false" customWidth="true" hidden="false" outlineLevel="0" max="5" min="5" style="1" width="12"/>
    <col collapsed="false" customWidth="true" hidden="false" outlineLevel="0" max="6" min="6" style="1" width="9"/>
    <col collapsed="false" customWidth="true" hidden="false" outlineLevel="0" max="11" min="7" style="1" width="12"/>
    <col collapsed="false" customWidth="true" hidden="false" outlineLevel="0" max="12" min="12" style="1" width="48"/>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929</v>
      </c>
    </row>
    <row r="3" customFormat="false" ht="15" hidden="false" customHeight="true" outlineLevel="0" collapsed="false">
      <c r="A3" s="25" t="s">
        <v>930</v>
      </c>
    </row>
    <row r="4" customFormat="false" ht="15" hidden="false" customHeight="true" outlineLevel="0" collapsed="false">
      <c r="A4" s="1" t="s">
        <v>931</v>
      </c>
      <c r="B4" s="124" t="n">
        <f aca="false">Assumptions!$C$58</f>
        <v>46265</v>
      </c>
    </row>
    <row r="6" customFormat="false" ht="30" hidden="false" customHeight="true" outlineLevel="0" collapsed="false">
      <c r="A6" s="98" t="s">
        <v>932</v>
      </c>
      <c r="B6" s="98" t="s">
        <v>933</v>
      </c>
      <c r="C6" s="98" t="s">
        <v>934</v>
      </c>
      <c r="D6" s="99" t="s">
        <v>935</v>
      </c>
      <c r="E6" s="99" t="s">
        <v>936</v>
      </c>
      <c r="F6" s="99" t="s">
        <v>937</v>
      </c>
      <c r="G6" s="99" t="s">
        <v>938</v>
      </c>
      <c r="H6" s="99" t="s">
        <v>939</v>
      </c>
      <c r="I6" s="99" t="s">
        <v>940</v>
      </c>
      <c r="J6" s="99" t="s">
        <v>941</v>
      </c>
      <c r="K6" s="99" t="s">
        <v>942</v>
      </c>
      <c r="L6" s="99" t="s">
        <v>943</v>
      </c>
    </row>
    <row r="7" customFormat="false" ht="15" hidden="false" customHeight="true" outlineLevel="0" collapsed="false">
      <c r="A7" s="15" t="s">
        <v>944</v>
      </c>
      <c r="B7" s="15" t="s">
        <v>945</v>
      </c>
      <c r="C7" s="15" t="s">
        <v>946</v>
      </c>
      <c r="D7" s="74" t="n">
        <v>16197.84</v>
      </c>
      <c r="E7" s="106" t="n">
        <v>46268</v>
      </c>
      <c r="F7" s="90" t="n">
        <f aca="false">MAX(0,$B$4-E7)</f>
        <v>0</v>
      </c>
      <c r="G7" s="29" t="n">
        <f aca="false">IF(E7&gt;$B$4,D7,0)</f>
        <v>16197.84</v>
      </c>
      <c r="H7" s="29" t="n">
        <f aca="false">IF(AND(F7&gt;=1,F7&lt;=30),D7,0)</f>
        <v>0</v>
      </c>
      <c r="I7" s="29" t="n">
        <f aca="false">IF(AND(F7&gt;30,F7&lt;=60),D7,0)</f>
        <v>0</v>
      </c>
      <c r="J7" s="29" t="n">
        <f aca="false">IF(AND(F7&gt;60,F7&lt;=90),D7,0)</f>
        <v>0</v>
      </c>
      <c r="K7" s="29" t="n">
        <f aca="false">IF(F7&gt;90,D7,0)</f>
        <v>0</v>
      </c>
      <c r="L7" s="46" t="s">
        <v>947</v>
      </c>
    </row>
    <row r="8" customFormat="false" ht="21.75" hidden="false" customHeight="true" outlineLevel="0" collapsed="false">
      <c r="A8" s="15" t="s">
        <v>948</v>
      </c>
      <c r="B8" s="15" t="s">
        <v>949</v>
      </c>
      <c r="C8" s="15" t="s">
        <v>946</v>
      </c>
      <c r="D8" s="74" t="n">
        <v>41262</v>
      </c>
      <c r="E8" s="106" t="n">
        <v>46268</v>
      </c>
      <c r="F8" s="90" t="n">
        <f aca="false">MAX(0,$B$4-E8)</f>
        <v>0</v>
      </c>
      <c r="G8" s="29" t="n">
        <f aca="false">IF(E8&gt;$B$4,D8,0)</f>
        <v>41262</v>
      </c>
      <c r="H8" s="29" t="n">
        <f aca="false">IF(AND(F8&gt;=1,F8&lt;=30),D8,0)</f>
        <v>0</v>
      </c>
      <c r="I8" s="29" t="n">
        <f aca="false">IF(AND(F8&gt;30,F8&lt;=60),D8,0)</f>
        <v>0</v>
      </c>
      <c r="J8" s="29" t="n">
        <f aca="false">IF(AND(F8&gt;60,F8&lt;=90),D8,0)</f>
        <v>0</v>
      </c>
      <c r="K8" s="29" t="n">
        <f aca="false">IF(F8&gt;90,D8,0)</f>
        <v>0</v>
      </c>
      <c r="L8" s="46" t="s">
        <v>950</v>
      </c>
    </row>
    <row r="9" customFormat="false" ht="21.75" hidden="false" customHeight="true" outlineLevel="0" collapsed="false">
      <c r="A9" s="15" t="s">
        <v>948</v>
      </c>
      <c r="B9" s="15" t="s">
        <v>951</v>
      </c>
      <c r="C9" s="15" t="s">
        <v>946</v>
      </c>
      <c r="D9" s="74" t="n">
        <v>19648</v>
      </c>
      <c r="E9" s="106" t="n">
        <v>46282</v>
      </c>
      <c r="F9" s="90" t="n">
        <f aca="false">MAX(0,$B$4-E9)</f>
        <v>0</v>
      </c>
      <c r="G9" s="29" t="n">
        <f aca="false">IF(E9&gt;$B$4,D9,0)</f>
        <v>19648</v>
      </c>
      <c r="H9" s="29" t="n">
        <f aca="false">IF(AND(F9&gt;=1,F9&lt;=30),D9,0)</f>
        <v>0</v>
      </c>
      <c r="I9" s="29" t="n">
        <f aca="false">IF(AND(F9&gt;30,F9&lt;=60),D9,0)</f>
        <v>0</v>
      </c>
      <c r="J9" s="29" t="n">
        <f aca="false">IF(AND(F9&gt;60,F9&lt;=90),D9,0)</f>
        <v>0</v>
      </c>
      <c r="K9" s="29" t="n">
        <f aca="false">IF(F9&gt;90,D9,0)</f>
        <v>0</v>
      </c>
      <c r="L9" s="46" t="s">
        <v>952</v>
      </c>
    </row>
    <row r="10" customFormat="false" ht="15" hidden="false" customHeight="true" outlineLevel="0" collapsed="false">
      <c r="A10" s="15" t="s">
        <v>948</v>
      </c>
      <c r="B10" s="15" t="s">
        <v>953</v>
      </c>
      <c r="C10" s="15" t="s">
        <v>946</v>
      </c>
      <c r="D10" s="74" t="n">
        <v>4584.83</v>
      </c>
      <c r="E10" s="106" t="n">
        <v>46295</v>
      </c>
      <c r="F10" s="90" t="n">
        <f aca="false">MAX(0,$B$4-E10)</f>
        <v>0</v>
      </c>
      <c r="G10" s="29" t="n">
        <f aca="false">IF(E10&gt;$B$4,D10,0)</f>
        <v>4584.83</v>
      </c>
      <c r="H10" s="29" t="n">
        <f aca="false">IF(AND(F10&gt;=1,F10&lt;=30),D10,0)</f>
        <v>0</v>
      </c>
      <c r="I10" s="29" t="n">
        <f aca="false">IF(AND(F10&gt;30,F10&lt;=60),D10,0)</f>
        <v>0</v>
      </c>
      <c r="J10" s="29" t="n">
        <f aca="false">IF(AND(F10&gt;60,F10&lt;=90),D10,0)</f>
        <v>0</v>
      </c>
      <c r="K10" s="29" t="n">
        <f aca="false">IF(F10&gt;90,D10,0)</f>
        <v>0</v>
      </c>
      <c r="L10" s="46" t="s">
        <v>954</v>
      </c>
    </row>
    <row r="11" customFormat="false" ht="15" hidden="false" customHeight="true" outlineLevel="0" collapsed="false">
      <c r="A11" s="15" t="s">
        <v>955</v>
      </c>
      <c r="B11" s="15" t="s">
        <v>956</v>
      </c>
      <c r="C11" s="15" t="s">
        <v>946</v>
      </c>
      <c r="D11" s="74" t="n">
        <v>15928</v>
      </c>
      <c r="E11" s="106" t="n">
        <v>46282</v>
      </c>
      <c r="F11" s="90" t="n">
        <f aca="false">MAX(0,$B$4-E11)</f>
        <v>0</v>
      </c>
      <c r="G11" s="29" t="n">
        <f aca="false">IF(E11&gt;$B$4,D11,0)</f>
        <v>15928</v>
      </c>
      <c r="H11" s="29" t="n">
        <f aca="false">IF(AND(F11&gt;=1,F11&lt;=30),D11,0)</f>
        <v>0</v>
      </c>
      <c r="I11" s="29" t="n">
        <f aca="false">IF(AND(F11&gt;30,F11&lt;=60),D11,0)</f>
        <v>0</v>
      </c>
      <c r="J11" s="29" t="n">
        <f aca="false">IF(AND(F11&gt;60,F11&lt;=90),D11,0)</f>
        <v>0</v>
      </c>
      <c r="K11" s="29" t="n">
        <f aca="false">IF(F11&gt;90,D11,0)</f>
        <v>0</v>
      </c>
      <c r="L11" s="46" t="s">
        <v>957</v>
      </c>
    </row>
    <row r="12" customFormat="false" ht="15" hidden="false" customHeight="true" outlineLevel="0" collapsed="false">
      <c r="A12" s="15" t="s">
        <v>955</v>
      </c>
      <c r="B12" s="15" t="s">
        <v>958</v>
      </c>
      <c r="C12" s="15" t="s">
        <v>946</v>
      </c>
      <c r="D12" s="74" t="n">
        <v>7495.85</v>
      </c>
      <c r="E12" s="106" t="n">
        <v>46296</v>
      </c>
      <c r="F12" s="90" t="n">
        <f aca="false">MAX(0,$B$4-E12)</f>
        <v>0</v>
      </c>
      <c r="G12" s="29" t="n">
        <f aca="false">IF(E12&gt;$B$4,D12,0)</f>
        <v>7495.85</v>
      </c>
      <c r="H12" s="29" t="n">
        <f aca="false">IF(AND(F12&gt;=1,F12&lt;=30),D12,0)</f>
        <v>0</v>
      </c>
      <c r="I12" s="29" t="n">
        <f aca="false">IF(AND(F12&gt;30,F12&lt;=60),D12,0)</f>
        <v>0</v>
      </c>
      <c r="J12" s="29" t="n">
        <f aca="false">IF(AND(F12&gt;60,F12&lt;=90),D12,0)</f>
        <v>0</v>
      </c>
      <c r="K12" s="29" t="n">
        <f aca="false">IF(F12&gt;90,D12,0)</f>
        <v>0</v>
      </c>
      <c r="L12" s="46" t="s">
        <v>959</v>
      </c>
    </row>
    <row r="13" customFormat="false" ht="21.75" hidden="false" customHeight="true" outlineLevel="0" collapsed="false">
      <c r="A13" s="15" t="s">
        <v>948</v>
      </c>
      <c r="B13" s="15" t="s">
        <v>960</v>
      </c>
      <c r="C13" s="15" t="s">
        <v>961</v>
      </c>
      <c r="D13" s="74" t="n">
        <v>4120</v>
      </c>
      <c r="E13" s="106" t="n">
        <v>46218</v>
      </c>
      <c r="F13" s="90" t="n">
        <f aca="false">MAX(0,$B$4-E13)</f>
        <v>47</v>
      </c>
      <c r="G13" s="29" t="n">
        <f aca="false">IF(E13&gt;$B$4,D13,0)</f>
        <v>0</v>
      </c>
      <c r="H13" s="29" t="n">
        <f aca="false">IF(AND(F13&gt;=1,F13&lt;=30),D13,0)</f>
        <v>0</v>
      </c>
      <c r="I13" s="29" t="n">
        <f aca="false">IF(AND(F13&gt;30,F13&lt;=60),D13,0)</f>
        <v>4120</v>
      </c>
      <c r="J13" s="29" t="n">
        <f aca="false">IF(AND(F13&gt;60,F13&lt;=90),D13,0)</f>
        <v>0</v>
      </c>
      <c r="K13" s="29" t="n">
        <f aca="false">IF(F13&gt;90,D13,0)</f>
        <v>0</v>
      </c>
      <c r="L13" s="46" t="s">
        <v>962</v>
      </c>
    </row>
    <row r="14" customFormat="false" ht="15" hidden="false" customHeight="true" outlineLevel="0" collapsed="false">
      <c r="A14" s="15" t="s">
        <v>963</v>
      </c>
      <c r="B14" s="15" t="s">
        <v>964</v>
      </c>
      <c r="C14" s="15" t="s">
        <v>961</v>
      </c>
      <c r="D14" s="74" t="n">
        <v>9600</v>
      </c>
      <c r="E14" s="106" t="n">
        <v>46477</v>
      </c>
      <c r="F14" s="90" t="n">
        <f aca="false">MAX(0,$B$4-E14)</f>
        <v>0</v>
      </c>
      <c r="G14" s="29" t="n">
        <f aca="false">IF(E14&gt;$B$4,D14,0)</f>
        <v>9600</v>
      </c>
      <c r="H14" s="29" t="n">
        <f aca="false">IF(AND(F14&gt;=1,F14&lt;=30),D14,0)</f>
        <v>0</v>
      </c>
      <c r="I14" s="29" t="n">
        <f aca="false">IF(AND(F14&gt;30,F14&lt;=60),D14,0)</f>
        <v>0</v>
      </c>
      <c r="J14" s="29" t="n">
        <f aca="false">IF(AND(F14&gt;60,F14&lt;=90),D14,0)</f>
        <v>0</v>
      </c>
      <c r="K14" s="29" t="n">
        <f aca="false">IF(F14&gt;90,D14,0)</f>
        <v>0</v>
      </c>
      <c r="L14" s="46" t="s">
        <v>965</v>
      </c>
    </row>
    <row r="15" customFormat="false" ht="15" hidden="false" customHeight="true" outlineLevel="0" collapsed="false">
      <c r="A15" s="15" t="s">
        <v>966</v>
      </c>
      <c r="B15" s="15" t="s">
        <v>967</v>
      </c>
      <c r="C15" s="15" t="s">
        <v>961</v>
      </c>
      <c r="D15" s="74" t="n">
        <v>7780</v>
      </c>
      <c r="E15" s="106" t="n">
        <v>46843</v>
      </c>
      <c r="F15" s="90" t="n">
        <f aca="false">MAX(0,$B$4-E15)</f>
        <v>0</v>
      </c>
      <c r="G15" s="29" t="n">
        <f aca="false">IF(E15&gt;$B$4,D15,0)</f>
        <v>7780</v>
      </c>
      <c r="H15" s="29" t="n">
        <f aca="false">IF(AND(F15&gt;=1,F15&lt;=30),D15,0)</f>
        <v>0</v>
      </c>
      <c r="I15" s="29" t="n">
        <f aca="false">IF(AND(F15&gt;30,F15&lt;=60),D15,0)</f>
        <v>0</v>
      </c>
      <c r="J15" s="29" t="n">
        <f aca="false">IF(AND(F15&gt;60,F15&lt;=90),D15,0)</f>
        <v>0</v>
      </c>
      <c r="K15" s="29" t="n">
        <f aca="false">IF(F15&gt;90,D15,0)</f>
        <v>0</v>
      </c>
      <c r="L15" s="46" t="s">
        <v>968</v>
      </c>
    </row>
    <row r="16" customFormat="false" ht="15" hidden="false" customHeight="true" outlineLevel="0" collapsed="false">
      <c r="A16" s="81" t="s">
        <v>479</v>
      </c>
      <c r="D16" s="82" t="n">
        <f aca="false">SUM(D7:D15)</f>
        <v>126616.52</v>
      </c>
      <c r="G16" s="82" t="n">
        <f aca="false">SUM(G7:G15)</f>
        <v>122496.52</v>
      </c>
      <c r="H16" s="82" t="n">
        <f aca="false">SUM(H7:H15)</f>
        <v>0</v>
      </c>
      <c r="I16" s="82" t="n">
        <f aca="false">SUM(I7:I15)</f>
        <v>4120</v>
      </c>
      <c r="J16" s="82" t="n">
        <f aca="false">SUM(J7:J15)</f>
        <v>0</v>
      </c>
      <c r="K16" s="82" t="n">
        <f aca="false">SUM(K7:K15)</f>
        <v>0</v>
      </c>
    </row>
    <row r="17" customFormat="false" ht="15" hidden="false" customHeight="true" outlineLevel="0" collapsed="false">
      <c r="A17" s="14" t="s">
        <v>969</v>
      </c>
      <c r="G17" s="125" t="n">
        <f aca="false">IF($D$16=0,0,G16/$D$16)</f>
        <v>0.967460802113342</v>
      </c>
      <c r="H17" s="125" t="n">
        <f aca="false">IF($D$16=0,0,H16/$D$16)</f>
        <v>0</v>
      </c>
      <c r="I17" s="125" t="n">
        <f aca="false">IF($D$16=0,0,I16/$D$16)</f>
        <v>0.0325391978866581</v>
      </c>
      <c r="J17" s="125" t="n">
        <f aca="false">IF($D$16=0,0,J16/$D$16)</f>
        <v>0</v>
      </c>
      <c r="K17" s="125" t="n">
        <f aca="false">IF($D$16=0,0,K16/$D$16)</f>
        <v>0</v>
      </c>
    </row>
    <row r="19" customFormat="false" ht="15" hidden="false" customHeight="true" outlineLevel="0" collapsed="false">
      <c r="A19" s="6" t="s">
        <v>970</v>
      </c>
      <c r="D19" s="29" t="n">
        <f aca="false">SUMIFS(D7:D15,C7:C15,"Marketplace")</f>
        <v>105116.52</v>
      </c>
      <c r="E19" s="1" t="s">
        <v>971</v>
      </c>
      <c r="F19" s="57" t="n">
        <f aca="false">INDEX(BS!$E$10:$AB$10,Assumptions!$C$10)</f>
        <v>105116.523559853</v>
      </c>
      <c r="G19" s="1" t="s">
        <v>972</v>
      </c>
      <c r="H19" s="35" t="n">
        <f aca="false">ROUND(D19-F19,0)</f>
        <v>-0</v>
      </c>
    </row>
    <row r="20" customFormat="false" ht="15" hidden="false" customHeight="true" outlineLevel="0" collapsed="false">
      <c r="A20" s="6" t="s">
        <v>973</v>
      </c>
      <c r="D20" s="29" t="n">
        <f aca="false">SUMIFS(D7:D15,C7:C15,"Other")</f>
        <v>21500</v>
      </c>
      <c r="E20" s="1" t="s">
        <v>971</v>
      </c>
      <c r="F20" s="57" t="n">
        <f aca="false">INDEX(BS!$E$15:$AB$15,Assumptions!$C$10)</f>
        <v>21500</v>
      </c>
      <c r="G20" s="1" t="s">
        <v>972</v>
      </c>
      <c r="H20" s="35" t="n">
        <f aca="false">ROUND(D20-F20,0)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6"/>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44"/>
    <col collapsed="false" customWidth="true" hidden="false" outlineLevel="0" max="3" min="3" style="1" width="14"/>
    <col collapsed="false" customWidth="true" hidden="false" outlineLevel="0" max="4" min="4" style="1" width="13"/>
    <col collapsed="false" customWidth="true" hidden="false" outlineLevel="0" max="5" min="5" style="1" width="12"/>
    <col collapsed="false" customWidth="true" hidden="false" outlineLevel="0" max="6" min="6" style="1" width="9"/>
    <col collapsed="false" customWidth="true" hidden="false" outlineLevel="0" max="11" min="7" style="1" width="12"/>
    <col collapsed="false" customWidth="true" hidden="false" outlineLevel="0" max="12" min="12" style="1" width="48"/>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974</v>
      </c>
    </row>
    <row r="3" customFormat="false" ht="15" hidden="false" customHeight="true" outlineLevel="0" collapsed="false">
      <c r="A3" s="25" t="s">
        <v>975</v>
      </c>
    </row>
    <row r="4" customFormat="false" ht="15" hidden="false" customHeight="true" outlineLevel="0" collapsed="false">
      <c r="A4" s="1" t="s">
        <v>931</v>
      </c>
      <c r="B4" s="124" t="n">
        <f aca="false">Assumptions!$C$58</f>
        <v>46265</v>
      </c>
    </row>
    <row r="6" customFormat="false" ht="30" hidden="false" customHeight="true" outlineLevel="0" collapsed="false">
      <c r="A6" s="98" t="s">
        <v>932</v>
      </c>
      <c r="B6" s="98" t="s">
        <v>933</v>
      </c>
      <c r="C6" s="98" t="s">
        <v>934</v>
      </c>
      <c r="D6" s="99" t="s">
        <v>935</v>
      </c>
      <c r="E6" s="99" t="s">
        <v>936</v>
      </c>
      <c r="F6" s="99" t="s">
        <v>937</v>
      </c>
      <c r="G6" s="99" t="s">
        <v>938</v>
      </c>
      <c r="H6" s="99" t="s">
        <v>939</v>
      </c>
      <c r="I6" s="99" t="s">
        <v>940</v>
      </c>
      <c r="J6" s="99" t="s">
        <v>941</v>
      </c>
      <c r="K6" s="99" t="s">
        <v>942</v>
      </c>
      <c r="L6" s="99" t="s">
        <v>943</v>
      </c>
    </row>
    <row r="7" customFormat="false" ht="15" hidden="false" customHeight="true" outlineLevel="0" collapsed="false">
      <c r="A7" s="15" t="s">
        <v>976</v>
      </c>
      <c r="B7" s="15" t="s">
        <v>977</v>
      </c>
      <c r="C7" s="15" t="s">
        <v>978</v>
      </c>
      <c r="D7" s="74" t="n">
        <v>9732</v>
      </c>
      <c r="E7" s="106" t="n">
        <v>46295</v>
      </c>
      <c r="F7" s="90" t="n">
        <f aca="false">MAX(0,$B$4-E7)</f>
        <v>0</v>
      </c>
      <c r="G7" s="29" t="n">
        <f aca="false">IF(E7&gt;$B$4,D7,0)</f>
        <v>9732</v>
      </c>
      <c r="H7" s="29" t="n">
        <f aca="false">IF(AND(F7&gt;=1,F7&lt;=30),D7,0)</f>
        <v>0</v>
      </c>
      <c r="I7" s="29" t="n">
        <f aca="false">IF(AND(F7&gt;30,F7&lt;=60),D7,0)</f>
        <v>0</v>
      </c>
      <c r="J7" s="29" t="n">
        <f aca="false">IF(AND(F7&gt;60,F7&lt;=90),D7,0)</f>
        <v>0</v>
      </c>
      <c r="K7" s="29" t="n">
        <f aca="false">IF(F7&gt;90,D7,0)</f>
        <v>0</v>
      </c>
      <c r="L7" s="46" t="s">
        <v>979</v>
      </c>
    </row>
    <row r="8" customFormat="false" ht="15" hidden="false" customHeight="true" outlineLevel="0" collapsed="false">
      <c r="A8" s="15" t="s">
        <v>980</v>
      </c>
      <c r="B8" s="15" t="s">
        <v>981</v>
      </c>
      <c r="C8" s="15" t="s">
        <v>978</v>
      </c>
      <c r="D8" s="74" t="n">
        <v>12558</v>
      </c>
      <c r="E8" s="106" t="n">
        <v>46290</v>
      </c>
      <c r="F8" s="90" t="n">
        <f aca="false">MAX(0,$B$4-E8)</f>
        <v>0</v>
      </c>
      <c r="G8" s="29" t="n">
        <f aca="false">IF(E8&gt;$B$4,D8,0)</f>
        <v>12558</v>
      </c>
      <c r="H8" s="29" t="n">
        <f aca="false">IF(AND(F8&gt;=1,F8&lt;=30),D8,0)</f>
        <v>0</v>
      </c>
      <c r="I8" s="29" t="n">
        <f aca="false">IF(AND(F8&gt;30,F8&lt;=60),D8,0)</f>
        <v>0</v>
      </c>
      <c r="J8" s="29" t="n">
        <f aca="false">IF(AND(F8&gt;60,F8&lt;=90),D8,0)</f>
        <v>0</v>
      </c>
      <c r="K8" s="29" t="n">
        <f aca="false">IF(F8&gt;90,D8,0)</f>
        <v>0</v>
      </c>
      <c r="L8" s="46" t="s">
        <v>982</v>
      </c>
    </row>
    <row r="9" customFormat="false" ht="15" hidden="false" customHeight="true" outlineLevel="0" collapsed="false">
      <c r="A9" s="15" t="s">
        <v>983</v>
      </c>
      <c r="B9" s="15" t="s">
        <v>984</v>
      </c>
      <c r="C9" s="15" t="s">
        <v>978</v>
      </c>
      <c r="D9" s="74" t="n">
        <v>7103.78</v>
      </c>
      <c r="E9" s="106" t="n">
        <v>46284</v>
      </c>
      <c r="F9" s="90" t="n">
        <f aca="false">MAX(0,$B$4-E9)</f>
        <v>0</v>
      </c>
      <c r="G9" s="29" t="n">
        <f aca="false">IF(E9&gt;$B$4,D9,0)</f>
        <v>7103.78</v>
      </c>
      <c r="H9" s="29" t="n">
        <f aca="false">IF(AND(F9&gt;=1,F9&lt;=30),D9,0)</f>
        <v>0</v>
      </c>
      <c r="I9" s="29" t="n">
        <f aca="false">IF(AND(F9&gt;30,F9&lt;=60),D9,0)</f>
        <v>0</v>
      </c>
      <c r="J9" s="29" t="n">
        <f aca="false">IF(AND(F9&gt;60,F9&lt;=90),D9,0)</f>
        <v>0</v>
      </c>
      <c r="K9" s="29" t="n">
        <f aca="false">IF(F9&gt;90,D9,0)</f>
        <v>0</v>
      </c>
      <c r="L9" s="46" t="s">
        <v>985</v>
      </c>
    </row>
    <row r="10" customFormat="false" ht="21.75" hidden="false" customHeight="true" outlineLevel="0" collapsed="false">
      <c r="A10" s="15" t="s">
        <v>983</v>
      </c>
      <c r="B10" s="15" t="s">
        <v>986</v>
      </c>
      <c r="C10" s="15" t="s">
        <v>978</v>
      </c>
      <c r="D10" s="74" t="n">
        <v>2000</v>
      </c>
      <c r="E10" s="106" t="n">
        <v>46218</v>
      </c>
      <c r="F10" s="90" t="n">
        <f aca="false">MAX(0,$B$4-E10)</f>
        <v>47</v>
      </c>
      <c r="G10" s="29" t="n">
        <f aca="false">IF(E10&gt;$B$4,D10,0)</f>
        <v>0</v>
      </c>
      <c r="H10" s="29" t="n">
        <f aca="false">IF(AND(F10&gt;=1,F10&lt;=30),D10,0)</f>
        <v>0</v>
      </c>
      <c r="I10" s="29" t="n">
        <f aca="false">IF(AND(F10&gt;30,F10&lt;=60),D10,0)</f>
        <v>2000</v>
      </c>
      <c r="J10" s="29" t="n">
        <f aca="false">IF(AND(F10&gt;60,F10&lt;=90),D10,0)</f>
        <v>0</v>
      </c>
      <c r="K10" s="29" t="n">
        <f aca="false">IF(F10&gt;90,D10,0)</f>
        <v>0</v>
      </c>
      <c r="L10" s="46" t="s">
        <v>987</v>
      </c>
    </row>
    <row r="11" customFormat="false" ht="15" hidden="false" customHeight="true" outlineLevel="0" collapsed="false">
      <c r="A11" s="15" t="s">
        <v>988</v>
      </c>
      <c r="B11" s="15" t="s">
        <v>989</v>
      </c>
      <c r="C11" s="15" t="s">
        <v>463</v>
      </c>
      <c r="D11" s="74" t="n">
        <v>6571</v>
      </c>
      <c r="E11" s="106" t="n">
        <v>46275</v>
      </c>
      <c r="F11" s="90" t="n">
        <f aca="false">MAX(0,$B$4-E11)</f>
        <v>0</v>
      </c>
      <c r="G11" s="29" t="n">
        <f aca="false">IF(E11&gt;$B$4,D11,0)</f>
        <v>6571</v>
      </c>
      <c r="H11" s="29" t="n">
        <f aca="false">IF(AND(F11&gt;=1,F11&lt;=30),D11,0)</f>
        <v>0</v>
      </c>
      <c r="I11" s="29" t="n">
        <f aca="false">IF(AND(F11&gt;30,F11&lt;=60),D11,0)</f>
        <v>0</v>
      </c>
      <c r="J11" s="29" t="n">
        <f aca="false">IF(AND(F11&gt;60,F11&lt;=90),D11,0)</f>
        <v>0</v>
      </c>
      <c r="K11" s="29" t="n">
        <f aca="false">IF(F11&gt;90,D11,0)</f>
        <v>0</v>
      </c>
      <c r="L11" s="46" t="s">
        <v>990</v>
      </c>
    </row>
    <row r="12" customFormat="false" ht="15" hidden="false" customHeight="true" outlineLevel="0" collapsed="false">
      <c r="A12" s="15" t="s">
        <v>991</v>
      </c>
      <c r="B12" s="15" t="s">
        <v>989</v>
      </c>
      <c r="C12" s="15" t="s">
        <v>463</v>
      </c>
      <c r="D12" s="74" t="n">
        <v>2816</v>
      </c>
      <c r="E12" s="106" t="n">
        <v>46275</v>
      </c>
      <c r="F12" s="90" t="n">
        <f aca="false">MAX(0,$B$4-E12)</f>
        <v>0</v>
      </c>
      <c r="G12" s="29" t="n">
        <f aca="false">IF(E12&gt;$B$4,D12,0)</f>
        <v>2816</v>
      </c>
      <c r="H12" s="29" t="n">
        <f aca="false">IF(AND(F12&gt;=1,F12&lt;=30),D12,0)</f>
        <v>0</v>
      </c>
      <c r="I12" s="29" t="n">
        <f aca="false">IF(AND(F12&gt;30,F12&lt;=60),D12,0)</f>
        <v>0</v>
      </c>
      <c r="J12" s="29" t="n">
        <f aca="false">IF(AND(F12&gt;60,F12&lt;=90),D12,0)</f>
        <v>0</v>
      </c>
      <c r="K12" s="29" t="n">
        <f aca="false">IF(F12&gt;90,D12,0)</f>
        <v>0</v>
      </c>
      <c r="L12" s="46" t="s">
        <v>990</v>
      </c>
    </row>
    <row r="13" customFormat="false" ht="15" hidden="false" customHeight="true" outlineLevel="0" collapsed="false">
      <c r="A13" s="15" t="s">
        <v>944</v>
      </c>
      <c r="B13" s="15" t="s">
        <v>992</v>
      </c>
      <c r="C13" s="15" t="s">
        <v>993</v>
      </c>
      <c r="D13" s="74" t="n">
        <v>1490</v>
      </c>
      <c r="E13" s="106" t="n">
        <v>46270</v>
      </c>
      <c r="F13" s="90" t="n">
        <f aca="false">MAX(0,$B$4-E13)</f>
        <v>0</v>
      </c>
      <c r="G13" s="29" t="n">
        <f aca="false">IF(E13&gt;$B$4,D13,0)</f>
        <v>1490</v>
      </c>
      <c r="H13" s="29" t="n">
        <f aca="false">IF(AND(F13&gt;=1,F13&lt;=30),D13,0)</f>
        <v>0</v>
      </c>
      <c r="I13" s="29" t="n">
        <f aca="false">IF(AND(F13&gt;30,F13&lt;=60),D13,0)</f>
        <v>0</v>
      </c>
      <c r="J13" s="29" t="n">
        <f aca="false">IF(AND(F13&gt;60,F13&lt;=90),D13,0)</f>
        <v>0</v>
      </c>
      <c r="K13" s="29" t="n">
        <f aca="false">IF(F13&gt;90,D13,0)</f>
        <v>0</v>
      </c>
      <c r="L13" s="46" t="s">
        <v>994</v>
      </c>
    </row>
    <row r="14" customFormat="false" ht="15" hidden="false" customHeight="true" outlineLevel="0" collapsed="false">
      <c r="A14" s="15" t="s">
        <v>995</v>
      </c>
      <c r="B14" s="15" t="s">
        <v>996</v>
      </c>
      <c r="C14" s="15" t="s">
        <v>993</v>
      </c>
      <c r="D14" s="74" t="n">
        <v>2660</v>
      </c>
      <c r="E14" s="106" t="n">
        <v>46277</v>
      </c>
      <c r="F14" s="90" t="n">
        <f aca="false">MAX(0,$B$4-E14)</f>
        <v>0</v>
      </c>
      <c r="G14" s="29" t="n">
        <f aca="false">IF(E14&gt;$B$4,D14,0)</f>
        <v>2660</v>
      </c>
      <c r="H14" s="29" t="n">
        <f aca="false">IF(AND(F14&gt;=1,F14&lt;=30),D14,0)</f>
        <v>0</v>
      </c>
      <c r="I14" s="29" t="n">
        <f aca="false">IF(AND(F14&gt;30,F14&lt;=60),D14,0)</f>
        <v>0</v>
      </c>
      <c r="J14" s="29" t="n">
        <f aca="false">IF(AND(F14&gt;60,F14&lt;=90),D14,0)</f>
        <v>0</v>
      </c>
      <c r="K14" s="29" t="n">
        <f aca="false">IF(F14&gt;90,D14,0)</f>
        <v>0</v>
      </c>
      <c r="L14" s="46" t="s">
        <v>997</v>
      </c>
    </row>
    <row r="15" customFormat="false" ht="15" hidden="false" customHeight="true" outlineLevel="0" collapsed="false">
      <c r="A15" s="15" t="s">
        <v>998</v>
      </c>
      <c r="B15" s="15" t="s">
        <v>999</v>
      </c>
      <c r="C15" s="15" t="s">
        <v>993</v>
      </c>
      <c r="D15" s="74" t="n">
        <v>3872</v>
      </c>
      <c r="E15" s="106" t="n">
        <v>46290</v>
      </c>
      <c r="F15" s="90" t="n">
        <f aca="false">MAX(0,$B$4-E15)</f>
        <v>0</v>
      </c>
      <c r="G15" s="29" t="n">
        <f aca="false">IF(E15&gt;$B$4,D15,0)</f>
        <v>3872</v>
      </c>
      <c r="H15" s="29" t="n">
        <f aca="false">IF(AND(F15&gt;=1,F15&lt;=30),D15,0)</f>
        <v>0</v>
      </c>
      <c r="I15" s="29" t="n">
        <f aca="false">IF(AND(F15&gt;30,F15&lt;=60),D15,0)</f>
        <v>0</v>
      </c>
      <c r="J15" s="29" t="n">
        <f aca="false">IF(AND(F15&gt;60,F15&lt;=90),D15,0)</f>
        <v>0</v>
      </c>
      <c r="K15" s="29" t="n">
        <f aca="false">IF(F15&gt;90,D15,0)</f>
        <v>0</v>
      </c>
      <c r="L15" s="46"/>
    </row>
    <row r="16" customFormat="false" ht="15" hidden="false" customHeight="true" outlineLevel="0" collapsed="false">
      <c r="A16" s="15" t="s">
        <v>1000</v>
      </c>
      <c r="B16" s="15" t="s">
        <v>1001</v>
      </c>
      <c r="C16" s="15" t="s">
        <v>993</v>
      </c>
      <c r="D16" s="74" t="n">
        <v>4090</v>
      </c>
      <c r="E16" s="106" t="n">
        <v>46295</v>
      </c>
      <c r="F16" s="90" t="n">
        <f aca="false">MAX(0,$B$4-E16)</f>
        <v>0</v>
      </c>
      <c r="G16" s="29" t="n">
        <f aca="false">IF(E16&gt;$B$4,D16,0)</f>
        <v>4090</v>
      </c>
      <c r="H16" s="29" t="n">
        <f aca="false">IF(AND(F16&gt;=1,F16&lt;=30),D16,0)</f>
        <v>0</v>
      </c>
      <c r="I16" s="29" t="n">
        <f aca="false">IF(AND(F16&gt;30,F16&lt;=60),D16,0)</f>
        <v>0</v>
      </c>
      <c r="J16" s="29" t="n">
        <f aca="false">IF(AND(F16&gt;60,F16&lt;=90),D16,0)</f>
        <v>0</v>
      </c>
      <c r="K16" s="29" t="n">
        <f aca="false">IF(F16&gt;90,D16,0)</f>
        <v>0</v>
      </c>
      <c r="L16" s="46" t="s">
        <v>997</v>
      </c>
    </row>
    <row r="17" customFormat="false" ht="15" hidden="false" customHeight="true" outlineLevel="0" collapsed="false">
      <c r="A17" s="15" t="s">
        <v>1002</v>
      </c>
      <c r="B17" s="15" t="s">
        <v>1003</v>
      </c>
      <c r="C17" s="15" t="s">
        <v>993</v>
      </c>
      <c r="D17" s="74" t="n">
        <v>6050</v>
      </c>
      <c r="E17" s="106" t="n">
        <v>46295</v>
      </c>
      <c r="F17" s="90" t="n">
        <f aca="false">MAX(0,$B$4-E17)</f>
        <v>0</v>
      </c>
      <c r="G17" s="29" t="n">
        <f aca="false">IF(E17&gt;$B$4,D17,0)</f>
        <v>6050</v>
      </c>
      <c r="H17" s="29" t="n">
        <f aca="false">IF(AND(F17&gt;=1,F17&lt;=30),D17,0)</f>
        <v>0</v>
      </c>
      <c r="I17" s="29" t="n">
        <f aca="false">IF(AND(F17&gt;30,F17&lt;=60),D17,0)</f>
        <v>0</v>
      </c>
      <c r="J17" s="29" t="n">
        <f aca="false">IF(AND(F17&gt;60,F17&lt;=90),D17,0)</f>
        <v>0</v>
      </c>
      <c r="K17" s="29" t="n">
        <f aca="false">IF(F17&gt;90,D17,0)</f>
        <v>0</v>
      </c>
      <c r="L17" s="46"/>
    </row>
    <row r="18" customFormat="false" ht="15" hidden="false" customHeight="true" outlineLevel="0" collapsed="false">
      <c r="A18" s="15" t="s">
        <v>966</v>
      </c>
      <c r="B18" s="15" t="s">
        <v>1004</v>
      </c>
      <c r="C18" s="15" t="s">
        <v>993</v>
      </c>
      <c r="D18" s="74" t="n">
        <v>5808</v>
      </c>
      <c r="E18" s="106" t="n">
        <v>46266</v>
      </c>
      <c r="F18" s="90" t="n">
        <f aca="false">MAX(0,$B$4-E18)</f>
        <v>0</v>
      </c>
      <c r="G18" s="29" t="n">
        <f aca="false">IF(E18&gt;$B$4,D18,0)</f>
        <v>5808</v>
      </c>
      <c r="H18" s="29" t="n">
        <f aca="false">IF(AND(F18&gt;=1,F18&lt;=30),D18,0)</f>
        <v>0</v>
      </c>
      <c r="I18" s="29" t="n">
        <f aca="false">IF(AND(F18&gt;30,F18&lt;=60),D18,0)</f>
        <v>0</v>
      </c>
      <c r="J18" s="29" t="n">
        <f aca="false">IF(AND(F18&gt;60,F18&lt;=90),D18,0)</f>
        <v>0</v>
      </c>
      <c r="K18" s="29" t="n">
        <f aca="false">IF(F18&gt;90,D18,0)</f>
        <v>0</v>
      </c>
      <c r="L18" s="46" t="s">
        <v>1005</v>
      </c>
    </row>
    <row r="19" customFormat="false" ht="15" hidden="false" customHeight="true" outlineLevel="0" collapsed="false">
      <c r="A19" s="15" t="s">
        <v>963</v>
      </c>
      <c r="B19" s="15" t="s">
        <v>1006</v>
      </c>
      <c r="C19" s="15" t="s">
        <v>993</v>
      </c>
      <c r="D19" s="74" t="n">
        <v>3450</v>
      </c>
      <c r="E19" s="106" t="n">
        <v>46280</v>
      </c>
      <c r="F19" s="90" t="n">
        <f aca="false">MAX(0,$B$4-E19)</f>
        <v>0</v>
      </c>
      <c r="G19" s="29" t="n">
        <f aca="false">IF(E19&gt;$B$4,D19,0)</f>
        <v>3450</v>
      </c>
      <c r="H19" s="29" t="n">
        <f aca="false">IF(AND(F19&gt;=1,F19&lt;=30),D19,0)</f>
        <v>0</v>
      </c>
      <c r="I19" s="29" t="n">
        <f aca="false">IF(AND(F19&gt;30,F19&lt;=60),D19,0)</f>
        <v>0</v>
      </c>
      <c r="J19" s="29" t="n">
        <f aca="false">IF(AND(F19&gt;60,F19&lt;=90),D19,0)</f>
        <v>0</v>
      </c>
      <c r="K19" s="29" t="n">
        <f aca="false">IF(F19&gt;90,D19,0)</f>
        <v>0</v>
      </c>
      <c r="L19" s="46" t="s">
        <v>1007</v>
      </c>
    </row>
    <row r="20" customFormat="false" ht="15" hidden="false" customHeight="true" outlineLevel="0" collapsed="false">
      <c r="A20" s="15" t="s">
        <v>1008</v>
      </c>
      <c r="B20" s="15" t="s">
        <v>1009</v>
      </c>
      <c r="C20" s="15" t="s">
        <v>993</v>
      </c>
      <c r="D20" s="74" t="n">
        <v>3798.5</v>
      </c>
      <c r="E20" s="106" t="n">
        <v>46285</v>
      </c>
      <c r="F20" s="90" t="n">
        <f aca="false">MAX(0,$B$4-E20)</f>
        <v>0</v>
      </c>
      <c r="G20" s="29" t="n">
        <f aca="false">IF(E20&gt;$B$4,D20,0)</f>
        <v>3798.5</v>
      </c>
      <c r="H20" s="29" t="n">
        <f aca="false">IF(AND(F20&gt;=1,F20&lt;=30),D20,0)</f>
        <v>0</v>
      </c>
      <c r="I20" s="29" t="n">
        <f aca="false">IF(AND(F20&gt;30,F20&lt;=60),D20,0)</f>
        <v>0</v>
      </c>
      <c r="J20" s="29" t="n">
        <f aca="false">IF(AND(F20&gt;60,F20&lt;=90),D20,0)</f>
        <v>0</v>
      </c>
      <c r="K20" s="29" t="n">
        <f aca="false">IF(F20&gt;90,D20,0)</f>
        <v>0</v>
      </c>
      <c r="L20" s="46" t="s">
        <v>1010</v>
      </c>
    </row>
    <row r="21" customFormat="false" ht="15" hidden="false" customHeight="true" outlineLevel="0" collapsed="false">
      <c r="A21" s="81" t="s">
        <v>479</v>
      </c>
      <c r="D21" s="82" t="n">
        <f aca="false">SUM(D7:D20)</f>
        <v>71999.28</v>
      </c>
      <c r="G21" s="82" t="n">
        <f aca="false">SUM(G7:G20)</f>
        <v>69999.28</v>
      </c>
      <c r="H21" s="82" t="n">
        <f aca="false">SUM(H7:H20)</f>
        <v>0</v>
      </c>
      <c r="I21" s="82" t="n">
        <f aca="false">SUM(I7:I20)</f>
        <v>2000</v>
      </c>
      <c r="J21" s="82" t="n">
        <f aca="false">SUM(J7:J20)</f>
        <v>0</v>
      </c>
      <c r="K21" s="82" t="n">
        <f aca="false">SUM(K7:K20)</f>
        <v>0</v>
      </c>
    </row>
    <row r="22" customFormat="false" ht="15" hidden="false" customHeight="true" outlineLevel="0" collapsed="false">
      <c r="A22" s="14" t="s">
        <v>969</v>
      </c>
      <c r="G22" s="125" t="n">
        <f aca="false">IF($D$21=0,0,G21/$D$21)</f>
        <v>0.972221944441667</v>
      </c>
      <c r="H22" s="125" t="n">
        <f aca="false">IF($D$21=0,0,H21/$D$21)</f>
        <v>0</v>
      </c>
      <c r="I22" s="125" t="n">
        <f aca="false">IF($D$21=0,0,I21/$D$21)</f>
        <v>0.0277780555583334</v>
      </c>
      <c r="J22" s="125" t="n">
        <f aca="false">IF($D$21=0,0,J21/$D$21)</f>
        <v>0</v>
      </c>
      <c r="K22" s="125" t="n">
        <f aca="false">IF($D$21=0,0,K21/$D$21)</f>
        <v>0</v>
      </c>
    </row>
    <row r="24" customFormat="false" ht="15" hidden="false" customHeight="true" outlineLevel="0" collapsed="false">
      <c r="A24" s="6" t="s">
        <v>1011</v>
      </c>
      <c r="D24" s="29" t="n">
        <f aca="false">SUMIFS(D7:D20,C7:C20,"Logistics")</f>
        <v>31393.78</v>
      </c>
      <c r="E24" s="1" t="s">
        <v>971</v>
      </c>
      <c r="F24" s="57" t="n">
        <f aca="false">INDEX(AP_Schedule!$E$13:$AB$13,Assumptions!$C$10)</f>
        <v>31393.7845</v>
      </c>
      <c r="G24" s="1" t="s">
        <v>972</v>
      </c>
      <c r="H24" s="35" t="n">
        <f aca="false">ROUND(D24-F24,0)</f>
        <v>-0</v>
      </c>
    </row>
    <row r="25" customFormat="false" ht="15" hidden="false" customHeight="true" outlineLevel="0" collapsed="false">
      <c r="A25" s="6" t="s">
        <v>1012</v>
      </c>
      <c r="D25" s="29" t="n">
        <f aca="false">SUMIFS(D7:D20,C7:C20,"Paid media")</f>
        <v>9387</v>
      </c>
      <c r="E25" s="1" t="s">
        <v>971</v>
      </c>
      <c r="F25" s="57" t="n">
        <f aca="false">INDEX(AP_Schedule!$E$21:$AB$21,Assumptions!$C$10)</f>
        <v>9387</v>
      </c>
      <c r="G25" s="1" t="s">
        <v>972</v>
      </c>
      <c r="H25" s="35" t="n">
        <f aca="false">ROUND(D25-F25,0)</f>
        <v>0</v>
      </c>
    </row>
    <row r="26" customFormat="false" ht="15" hidden="false" customHeight="true" outlineLevel="0" collapsed="false">
      <c r="A26" s="6" t="s">
        <v>1013</v>
      </c>
      <c r="D26" s="29" t="n">
        <f aca="false">SUMIFS(D7:D20,C7:C20,"Other opex")</f>
        <v>31218.5</v>
      </c>
      <c r="E26" s="1" t="s">
        <v>971</v>
      </c>
      <c r="F26" s="57" t="n">
        <f aca="false">INDEX(AP_Schedule!$E$29:$AB$29,Assumptions!$C$10)</f>
        <v>31218.501</v>
      </c>
      <c r="G26" s="1" t="s">
        <v>972</v>
      </c>
      <c r="H26" s="35" t="n">
        <f aca="false">ROUND(D26-F26,0)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3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1014</v>
      </c>
    </row>
    <row r="3" customFormat="false" ht="15" hidden="false" customHeight="true" outlineLevel="0" collapsed="false">
      <c r="A3" s="25" t="s">
        <v>1015</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1016</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1017</v>
      </c>
      <c r="B9" s="55"/>
      <c r="E9" s="57" t="n">
        <f aca="false">Inputs_Actuals!$C$129</f>
        <v>62300</v>
      </c>
      <c r="F9" s="69" t="n">
        <f aca="false">E13</f>
        <v>62588.9845</v>
      </c>
      <c r="G9" s="69" t="n">
        <f aca="false">F13</f>
        <v>26187.6935</v>
      </c>
      <c r="H9" s="69" t="n">
        <f aca="false">G13</f>
        <v>29190.527</v>
      </c>
      <c r="I9" s="69" t="n">
        <f aca="false">H13</f>
        <v>21988.829</v>
      </c>
      <c r="J9" s="69" t="n">
        <f aca="false">I13</f>
        <v>46598.681</v>
      </c>
      <c r="K9" s="69" t="n">
        <f aca="false">J13</f>
        <v>37928.084</v>
      </c>
      <c r="L9" s="69" t="n">
        <f aca="false">K13</f>
        <v>30731.47</v>
      </c>
      <c r="M9" s="69" t="n">
        <f aca="false">L13</f>
        <v>31393.7845</v>
      </c>
      <c r="N9" s="69" t="n">
        <f aca="false">M13</f>
        <v>63076.3010937491</v>
      </c>
      <c r="O9" s="69" t="n">
        <f aca="false">N13</f>
        <v>78251.5378357704</v>
      </c>
      <c r="P9" s="69" t="n">
        <f aca="false">O13</f>
        <v>53696.8209964345</v>
      </c>
      <c r="Q9" s="69" t="n">
        <f aca="false">P13</f>
        <v>61484.8073310328</v>
      </c>
      <c r="R9" s="69" t="n">
        <f aca="false">Q13</f>
        <v>63771.7695147557</v>
      </c>
      <c r="S9" s="69" t="n">
        <f aca="false">R13</f>
        <v>30277.0042894199</v>
      </c>
      <c r="T9" s="69" t="n">
        <f aca="false">S13</f>
        <v>44097.7870331953</v>
      </c>
      <c r="U9" s="69" t="n">
        <f aca="false">T13</f>
        <v>47564.806972163</v>
      </c>
      <c r="V9" s="69" t="n">
        <f aca="false">U13</f>
        <v>50000.1282517787</v>
      </c>
      <c r="W9" s="69" t="n">
        <f aca="false">V13</f>
        <v>46755.7397633641</v>
      </c>
      <c r="X9" s="69" t="n">
        <f aca="false">W13</f>
        <v>51019.932873401</v>
      </c>
      <c r="Y9" s="69" t="n">
        <f aca="false">X13</f>
        <v>61817.6228835045</v>
      </c>
      <c r="Z9" s="69" t="n">
        <f aca="false">Y13</f>
        <v>68985.8402175803</v>
      </c>
      <c r="AA9" s="69" t="n">
        <f aca="false">Z13</f>
        <v>105367.438853336</v>
      </c>
      <c r="AB9" s="69" t="n">
        <f aca="false">AA13</f>
        <v>84633.9881074948</v>
      </c>
    </row>
    <row r="10" customFormat="false" ht="15" hidden="false" customHeight="true" outlineLevel="0" collapsed="false">
      <c r="A10" s="28" t="s">
        <v>1018</v>
      </c>
      <c r="B10" s="55" t="s">
        <v>1019</v>
      </c>
      <c r="C10" s="56" t="n">
        <f aca="false">SUM(E10:P10)</f>
        <v>555779.129929214</v>
      </c>
      <c r="D10" s="56" t="n">
        <f aca="false">SUM(Q10:AB10)</f>
        <v>754282.616324185</v>
      </c>
      <c r="E10" s="57" t="n">
        <f aca="false">-(Channel_PL!E26+Channel_PL!E27)*(1+Assumptions!$C$19*Assumptions!$C$23)-Channel_PL!E65+Inventory!E104</f>
        <v>55970.9845</v>
      </c>
      <c r="F10" s="57" t="n">
        <f aca="false">-(Channel_PL!F26+Channel_PL!F27)*(1+Assumptions!$C$19*Assumptions!$C$23)-Channel_PL!F65+Inventory!F104</f>
        <v>23993.709</v>
      </c>
      <c r="G10" s="57" t="n">
        <f aca="false">-(Channel_PL!G26+Channel_PL!G27)*(1+Assumptions!$C$19*Assumptions!$C$23)-Channel_PL!G65+Inventory!G104</f>
        <v>37445.8335</v>
      </c>
      <c r="H10" s="57" t="n">
        <f aca="false">-(Channel_PL!H26+Channel_PL!H27)*(1+Assumptions!$C$19*Assumptions!$C$23)-Channel_PL!H65+Inventory!H104</f>
        <v>24677.302</v>
      </c>
      <c r="I10" s="57" t="n">
        <f aca="false">-(Channel_PL!I26+Channel_PL!I27)*(1+Assumptions!$C$19*Assumptions!$C$23)-Channel_PL!I65+Inventory!I104</f>
        <v>50073.852</v>
      </c>
      <c r="J10" s="57" t="n">
        <f aca="false">-(Channel_PL!J26+Channel_PL!J27)*(1+Assumptions!$C$19*Assumptions!$C$23)-Channel_PL!J65+Inventory!J104</f>
        <v>38989.403</v>
      </c>
      <c r="K10" s="57" t="n">
        <f aca="false">-(Channel_PL!K26+Channel_PL!K27)*(1+Assumptions!$C$19*Assumptions!$C$23)-Channel_PL!K65+Inventory!K104</f>
        <v>31863.386</v>
      </c>
      <c r="L10" s="57" t="n">
        <f aca="false">-(Channel_PL!L26+Channel_PL!L27)*(1+Assumptions!$C$19*Assumptions!$C$23)-Channel_PL!L65+Inventory!L104</f>
        <v>31597.3145</v>
      </c>
      <c r="M10" s="57" t="n">
        <f aca="false">-(Channel_PL!M26+Channel_PL!M27)*(1+Assumptions!$C$19*Assumptions!$C$23)-Channel_PL!M65+Inventory!M104</f>
        <v>63076.3010937491</v>
      </c>
      <c r="N10" s="57" t="n">
        <f aca="false">-(Channel_PL!N26+Channel_PL!N27)*(1+Assumptions!$C$19*Assumptions!$C$23)-Channel_PL!N65+Inventory!N104</f>
        <v>80859.9224302961</v>
      </c>
      <c r="O10" s="57" t="n">
        <f aca="false">-(Channel_PL!O26+Channel_PL!O27)*(1+Assumptions!$C$19*Assumptions!$C$23)-Channel_PL!O65+Inventory!O104</f>
        <v>53696.8209964345</v>
      </c>
      <c r="P10" s="57" t="n">
        <f aca="false">-(Channel_PL!P26+Channel_PL!P27)*(1+Assumptions!$C$19*Assumptions!$C$23)-Channel_PL!P65+Inventory!P104</f>
        <v>63534.3009087339</v>
      </c>
      <c r="Q10" s="57" t="n">
        <f aca="false">-(Channel_PL!Q26+Channel_PL!Q27)*(1+Assumptions!$C$19*Assumptions!$C$23)-Channel_PL!Q65+Inventory!Q104</f>
        <v>65897.4951652475</v>
      </c>
      <c r="R10" s="57" t="n">
        <f aca="false">-(Channel_PL!R26+Channel_PL!R27)*(1+Assumptions!$C$19*Assumptions!$C$23)-Channel_PL!R65+Inventory!R104</f>
        <v>28258.5373367919</v>
      </c>
      <c r="S10" s="57" t="n">
        <f aca="false">-(Channel_PL!S26+Channel_PL!S27)*(1+Assumptions!$C$19*Assumptions!$C$23)-Channel_PL!S65+Inventory!S104</f>
        <v>45567.7132676351</v>
      </c>
      <c r="T10" s="57" t="n">
        <f aca="false">-(Channel_PL!T26+Channel_PL!T27)*(1+Assumptions!$C$19*Assumptions!$C$23)-Channel_PL!T65+Inventory!T104</f>
        <v>47564.806972163</v>
      </c>
      <c r="U10" s="57" t="n">
        <f aca="false">-(Channel_PL!U26+Channel_PL!U27)*(1+Assumptions!$C$19*Assumptions!$C$23)-Channel_PL!U65+Inventory!U104</f>
        <v>51666.7991935047</v>
      </c>
      <c r="V10" s="57" t="n">
        <f aca="false">-(Channel_PL!V26+Channel_PL!V27)*(1+Assumptions!$C$19*Assumptions!$C$23)-Channel_PL!V65+Inventory!V104</f>
        <v>46755.7397633641</v>
      </c>
      <c r="W10" s="57" t="n">
        <f aca="false">-(Channel_PL!W26+Channel_PL!W27)*(1+Assumptions!$C$19*Assumptions!$C$23)-Channel_PL!W65+Inventory!W104</f>
        <v>52720.5973025144</v>
      </c>
      <c r="X10" s="57" t="n">
        <f aca="false">-(Channel_PL!X26+Channel_PL!X27)*(1+Assumptions!$C$19*Assumptions!$C$23)-Channel_PL!X65+Inventory!X104</f>
        <v>63878.2103129546</v>
      </c>
      <c r="Y10" s="57" t="n">
        <f aca="false">-(Channel_PL!Y26+Channel_PL!Y27)*(1+Assumptions!$C$19*Assumptions!$C$23)-Channel_PL!Y65+Inventory!Y104</f>
        <v>68985.8402175803</v>
      </c>
      <c r="Z10" s="57" t="n">
        <f aca="false">-(Channel_PL!Z26+Channel_PL!Z27)*(1+Assumptions!$C$19*Assumptions!$C$23)-Channel_PL!Z65+Inventory!Z104</f>
        <v>108879.686815114</v>
      </c>
      <c r="AA10" s="57" t="n">
        <f aca="false">-(Channel_PL!AA26+Channel_PL!AA27)*(1+Assumptions!$C$19*Assumptions!$C$23)-Channel_PL!AA65+Inventory!AA104</f>
        <v>84633.9881074948</v>
      </c>
      <c r="AB10" s="57" t="n">
        <f aca="false">-(Channel_PL!AB26+Channel_PL!AB27)*(1+Assumptions!$C$19*Assumptions!$C$23)-Channel_PL!AB65+Inventory!AB104</f>
        <v>89473.2018698212</v>
      </c>
    </row>
    <row r="11" customFormat="false" ht="15" hidden="false" customHeight="true" outlineLevel="0" collapsed="false">
      <c r="A11" s="28" t="s">
        <v>1020</v>
      </c>
      <c r="B11" s="55" t="s">
        <v>71</v>
      </c>
      <c r="E11" s="57" t="n">
        <f aca="false">E10*Assumptions!$C$44/Assumptions!E$67</f>
        <v>54165.4688709678</v>
      </c>
      <c r="F11" s="57" t="n">
        <f aca="false">F10*Assumptions!$C$44/Assumptions!F$67</f>
        <v>25707.5453571429</v>
      </c>
      <c r="G11" s="57" t="n">
        <f aca="false">G10*Assumptions!$C$44/Assumptions!G$67</f>
        <v>36237.9033870968</v>
      </c>
      <c r="H11" s="57" t="n">
        <f aca="false">H10*Assumptions!$C$44/Assumptions!H$67</f>
        <v>24677.302</v>
      </c>
      <c r="I11" s="57" t="n">
        <f aca="false">I10*Assumptions!$C$44/Assumptions!I$67</f>
        <v>48458.5664516129</v>
      </c>
      <c r="J11" s="57" t="n">
        <f aca="false">J10*Assumptions!$C$44/Assumptions!J$67</f>
        <v>38989.403</v>
      </c>
      <c r="K11" s="57" t="n">
        <f aca="false">K10*Assumptions!$C$44/Assumptions!K$67</f>
        <v>30835.5348387097</v>
      </c>
      <c r="L11" s="57" t="n">
        <f aca="false">L10*Assumptions!$C$44/Assumptions!L$67</f>
        <v>30578.0462903226</v>
      </c>
      <c r="M11" s="57" t="n">
        <f aca="false">M10*Assumptions!$C$44/Assumptions!M$67</f>
        <v>63076.3010937491</v>
      </c>
      <c r="N11" s="57" t="n">
        <f aca="false">N10*Assumptions!$C$44/Assumptions!N$67</f>
        <v>78251.5378357704</v>
      </c>
      <c r="O11" s="57" t="n">
        <f aca="false">O10*Assumptions!$C$44/Assumptions!O$67</f>
        <v>53696.8209964345</v>
      </c>
      <c r="P11" s="57" t="n">
        <f aca="false">P10*Assumptions!$C$44/Assumptions!P$67</f>
        <v>61484.8073310328</v>
      </c>
      <c r="Q11" s="57" t="n">
        <f aca="false">Q10*Assumptions!$C$44/Assumptions!Q$67</f>
        <v>63771.7695147557</v>
      </c>
      <c r="R11" s="57" t="n">
        <f aca="false">R10*Assumptions!$C$44/Assumptions!R$67</f>
        <v>30277.0042894199</v>
      </c>
      <c r="S11" s="57" t="n">
        <f aca="false">S10*Assumptions!$C$44/Assumptions!S$67</f>
        <v>44097.7870331953</v>
      </c>
      <c r="T11" s="57" t="n">
        <f aca="false">T10*Assumptions!$C$44/Assumptions!T$67</f>
        <v>47564.806972163</v>
      </c>
      <c r="U11" s="57" t="n">
        <f aca="false">U10*Assumptions!$C$44/Assumptions!U$67</f>
        <v>50000.1282517787</v>
      </c>
      <c r="V11" s="57" t="n">
        <f aca="false">V10*Assumptions!$C$44/Assumptions!V$67</f>
        <v>46755.7397633641</v>
      </c>
      <c r="W11" s="57" t="n">
        <f aca="false">W10*Assumptions!$C$44/Assumptions!W$67</f>
        <v>51019.932873401</v>
      </c>
      <c r="X11" s="57" t="n">
        <f aca="false">X10*Assumptions!$C$44/Assumptions!X$67</f>
        <v>61817.6228835045</v>
      </c>
      <c r="Y11" s="57" t="n">
        <f aca="false">Y10*Assumptions!$C$44/Assumptions!Y$67</f>
        <v>68985.8402175803</v>
      </c>
      <c r="Z11" s="57" t="n">
        <f aca="false">Z10*Assumptions!$C$44/Assumptions!Z$67</f>
        <v>105367.438853336</v>
      </c>
      <c r="AA11" s="57" t="n">
        <f aca="false">AA10*Assumptions!$C$44/Assumptions!AA$67</f>
        <v>84633.9881074948</v>
      </c>
      <c r="AB11" s="57" t="n">
        <f aca="false">AB10*Assumptions!$C$44/Assumptions!AB$67</f>
        <v>86586.9695514398</v>
      </c>
    </row>
    <row r="12" customFormat="false" ht="15" hidden="false" customHeight="true" outlineLevel="0" collapsed="false">
      <c r="A12" s="28" t="s">
        <v>1021</v>
      </c>
      <c r="B12" s="55" t="s">
        <v>791</v>
      </c>
      <c r="C12" s="56" t="n">
        <f aca="false">SUM(E12:P12)</f>
        <v>-556594.322598181</v>
      </c>
      <c r="D12" s="56" t="n">
        <f aca="false">SUM(Q12:AB12)</f>
        <v>-729180.454103778</v>
      </c>
      <c r="E12" s="57" t="n">
        <f aca="false">-IF(E$5="A",Inputs_Actuals!E108,(E9+E10-E11))</f>
        <v>-55682</v>
      </c>
      <c r="F12" s="57" t="n">
        <f aca="false">-IF(F$5="A",Inputs_Actuals!F108,(F9+F10-F11))</f>
        <v>-60395</v>
      </c>
      <c r="G12" s="57" t="n">
        <f aca="false">-IF(G$5="A",Inputs_Actuals!G108,(G9+G10-G11))</f>
        <v>-34443</v>
      </c>
      <c r="H12" s="57" t="n">
        <f aca="false">-IF(H$5="A",Inputs_Actuals!H108,(H9+H10-H11))</f>
        <v>-31879</v>
      </c>
      <c r="I12" s="57" t="n">
        <f aca="false">-IF(I$5="A",Inputs_Actuals!I108,(I9+I10-I11))</f>
        <v>-25464</v>
      </c>
      <c r="J12" s="57" t="n">
        <f aca="false">-IF(J$5="A",Inputs_Actuals!J108,(J9+J10-J11))</f>
        <v>-47660</v>
      </c>
      <c r="K12" s="57" t="n">
        <f aca="false">-IF(K$5="A",Inputs_Actuals!K108,(K9+K10-K11))</f>
        <v>-39060</v>
      </c>
      <c r="L12" s="57" t="n">
        <f aca="false">-IF(L$5="A",Inputs_Actuals!L108,(L9+L10-L11))</f>
        <v>-30935</v>
      </c>
      <c r="M12" s="57" t="n">
        <f aca="false">-IF(M$5="A",Inputs_Actuals!M108,(M9+M10-M11))</f>
        <v>-31393.7845</v>
      </c>
      <c r="N12" s="57" t="n">
        <f aca="false">-IF(N$5="A",Inputs_Actuals!N108,(N9+N10-N11))</f>
        <v>-65684.6856882747</v>
      </c>
      <c r="O12" s="57" t="n">
        <f aca="false">-IF(O$5="A",Inputs_Actuals!O108,(O9+O10-O11))</f>
        <v>-78251.5378357704</v>
      </c>
      <c r="P12" s="57" t="n">
        <f aca="false">-IF(P$5="A",Inputs_Actuals!P108,(P9+P10-P11))</f>
        <v>-55746.3145741356</v>
      </c>
      <c r="Q12" s="57" t="n">
        <f aca="false">-IF(Q$5="A",Inputs_Actuals!Q108,(Q9+Q10-Q11))</f>
        <v>-63610.5329815246</v>
      </c>
      <c r="R12" s="57" t="n">
        <f aca="false">-IF(R$5="A",Inputs_Actuals!R108,(R9+R10-R11))</f>
        <v>-61753.3025621277</v>
      </c>
      <c r="S12" s="57" t="n">
        <f aca="false">-IF(S$5="A",Inputs_Actuals!S108,(S9+S10-S11))</f>
        <v>-31746.9305238597</v>
      </c>
      <c r="T12" s="57" t="n">
        <f aca="false">-IF(T$5="A",Inputs_Actuals!T108,(T9+T10-T11))</f>
        <v>-44097.7870331953</v>
      </c>
      <c r="U12" s="57" t="n">
        <f aca="false">-IF(U$5="A",Inputs_Actuals!U108,(U9+U10-U11))</f>
        <v>-49231.477913889</v>
      </c>
      <c r="V12" s="57" t="n">
        <f aca="false">-IF(V$5="A",Inputs_Actuals!V108,(V9+V10-V11))</f>
        <v>-50000.1282517787</v>
      </c>
      <c r="W12" s="57" t="n">
        <f aca="false">-IF(W$5="A",Inputs_Actuals!W108,(W9+W10-W11))</f>
        <v>-48456.4041924774</v>
      </c>
      <c r="X12" s="57" t="n">
        <f aca="false">-IF(X$5="A",Inputs_Actuals!X108,(X9+X10-X11))</f>
        <v>-53080.5203028511</v>
      </c>
      <c r="Y12" s="57" t="n">
        <f aca="false">-IF(Y$5="A",Inputs_Actuals!Y108,(Y9+Y10-Y11))</f>
        <v>-61817.6228835045</v>
      </c>
      <c r="Z12" s="57" t="n">
        <f aca="false">-IF(Z$5="A",Inputs_Actuals!Z108,(Z9+Z10-Z11))</f>
        <v>-72498.0881793582</v>
      </c>
      <c r="AA12" s="57" t="n">
        <f aca="false">-IF(AA$5="A",Inputs_Actuals!AA108,(AA9+AA10-AA11))</f>
        <v>-105367.438853336</v>
      </c>
      <c r="AB12" s="57" t="n">
        <f aca="false">-IF(AB$5="A",Inputs_Actuals!AB108,(AB9+AB10-AB11))</f>
        <v>-87520.2204258761</v>
      </c>
    </row>
    <row r="13" customFormat="false" ht="15" hidden="false" customHeight="true" outlineLevel="0" collapsed="false">
      <c r="A13" s="70" t="s">
        <v>1022</v>
      </c>
      <c r="B13" s="71"/>
      <c r="C13" s="72" t="n">
        <f aca="false">P13</f>
        <v>61484.8073310328</v>
      </c>
      <c r="D13" s="72" t="n">
        <f aca="false">AB13</f>
        <v>86586.9695514398</v>
      </c>
      <c r="E13" s="72" t="n">
        <f aca="false">E9+E10+E12</f>
        <v>62588.9845</v>
      </c>
      <c r="F13" s="72" t="n">
        <f aca="false">F9+F10+F12</f>
        <v>26187.6935</v>
      </c>
      <c r="G13" s="72" t="n">
        <f aca="false">G9+G10+G12</f>
        <v>29190.527</v>
      </c>
      <c r="H13" s="72" t="n">
        <f aca="false">H9+H10+H12</f>
        <v>21988.829</v>
      </c>
      <c r="I13" s="72" t="n">
        <f aca="false">I9+I10+I12</f>
        <v>46598.681</v>
      </c>
      <c r="J13" s="72" t="n">
        <f aca="false">J9+J10+J12</f>
        <v>37928.084</v>
      </c>
      <c r="K13" s="72" t="n">
        <f aca="false">K9+K10+K12</f>
        <v>30731.47</v>
      </c>
      <c r="L13" s="72" t="n">
        <f aca="false">L9+L10+L12</f>
        <v>31393.7845</v>
      </c>
      <c r="M13" s="72" t="n">
        <f aca="false">M9+M10+M12</f>
        <v>63076.3010937491</v>
      </c>
      <c r="N13" s="72" t="n">
        <f aca="false">N9+N10+N12</f>
        <v>78251.5378357704</v>
      </c>
      <c r="O13" s="72" t="n">
        <f aca="false">O9+O10+O12</f>
        <v>53696.8209964345</v>
      </c>
      <c r="P13" s="72" t="n">
        <f aca="false">P9+P10+P12</f>
        <v>61484.8073310328</v>
      </c>
      <c r="Q13" s="72" t="n">
        <f aca="false">Q9+Q10+Q12</f>
        <v>63771.7695147557</v>
      </c>
      <c r="R13" s="72" t="n">
        <f aca="false">R9+R10+R12</f>
        <v>30277.0042894199</v>
      </c>
      <c r="S13" s="72" t="n">
        <f aca="false">S9+S10+S12</f>
        <v>44097.7870331953</v>
      </c>
      <c r="T13" s="72" t="n">
        <f aca="false">T9+T10+T12</f>
        <v>47564.806972163</v>
      </c>
      <c r="U13" s="72" t="n">
        <f aca="false">U9+U10+U12</f>
        <v>50000.1282517787</v>
      </c>
      <c r="V13" s="72" t="n">
        <f aca="false">V9+V10+V12</f>
        <v>46755.7397633641</v>
      </c>
      <c r="W13" s="72" t="n">
        <f aca="false">W9+W10+W12</f>
        <v>51019.932873401</v>
      </c>
      <c r="X13" s="72" t="n">
        <f aca="false">X9+X10+X12</f>
        <v>61817.6228835045</v>
      </c>
      <c r="Y13" s="72" t="n">
        <f aca="false">Y9+Y10+Y12</f>
        <v>68985.8402175803</v>
      </c>
      <c r="Z13" s="72" t="n">
        <f aca="false">Z9+Z10+Z12</f>
        <v>105367.438853336</v>
      </c>
      <c r="AA13" s="72" t="n">
        <f aca="false">AA9+AA10+AA12</f>
        <v>84633.9881074948</v>
      </c>
      <c r="AB13" s="72" t="n">
        <f aca="false">AB9+AB10+AB12</f>
        <v>86586.9695514398</v>
      </c>
    </row>
    <row r="14" customFormat="false" ht="15" hidden="false" customHeight="true" outlineLevel="0" collapsed="false">
      <c r="A14" s="28" t="s">
        <v>1023</v>
      </c>
      <c r="B14" s="55" t="s">
        <v>315</v>
      </c>
      <c r="E14" s="67" t="n">
        <f aca="false">IF(E10=0,0,E13/E10*Assumptions!E$67)</f>
        <v>34.6654349004706</v>
      </c>
      <c r="F14" s="67" t="n">
        <f aca="false">IF(F10=0,0,F13/F10*Assumptions!F$67)</f>
        <v>30.5603197071366</v>
      </c>
      <c r="G14" s="67" t="n">
        <f aca="false">IF(G10=0,0,G13/G10*Assumptions!G$67)</f>
        <v>24.1657416171548</v>
      </c>
      <c r="H14" s="67" t="n">
        <f aca="false">IF(H10=0,0,H13/H10*Assumptions!H$67)</f>
        <v>26.7316447316648</v>
      </c>
      <c r="I14" s="67" t="n">
        <f aca="false">IF(I10=0,0,I13/I10*Assumptions!I$67)</f>
        <v>28.8485717256184</v>
      </c>
      <c r="J14" s="67" t="n">
        <f aca="false">IF(J10=0,0,J13/J10*Assumptions!J$67)</f>
        <v>29.1833788786148</v>
      </c>
      <c r="K14" s="67" t="n">
        <f aca="false">IF(K10=0,0,K13/K10*Assumptions!K$67)</f>
        <v>29.8987549534127</v>
      </c>
      <c r="L14" s="67" t="n">
        <f aca="false">IF(L10=0,0,L13/L10*Assumptions!L$67)</f>
        <v>30.80031752382</v>
      </c>
      <c r="M14" s="67" t="n">
        <f aca="false">IF(M10=0,0,M13/M10*Assumptions!M$67)</f>
        <v>30</v>
      </c>
      <c r="N14" s="67" t="n">
        <f aca="false">IF(N10=0,0,N13/N10*Assumptions!N$67)</f>
        <v>30</v>
      </c>
      <c r="O14" s="67" t="n">
        <f aca="false">IF(O10=0,0,O13/O10*Assumptions!O$67)</f>
        <v>30</v>
      </c>
      <c r="P14" s="67" t="n">
        <f aca="false">IF(P10=0,0,P13/P10*Assumptions!P$67)</f>
        <v>30</v>
      </c>
      <c r="Q14" s="67" t="n">
        <f aca="false">IF(Q10=0,0,Q13/Q10*Assumptions!Q$67)</f>
        <v>30</v>
      </c>
      <c r="R14" s="67" t="n">
        <f aca="false">IF(R10=0,0,R13/R10*Assumptions!R$67)</f>
        <v>30</v>
      </c>
      <c r="S14" s="67" t="n">
        <f aca="false">IF(S10=0,0,S13/S10*Assumptions!S$67)</f>
        <v>30</v>
      </c>
      <c r="T14" s="67" t="n">
        <f aca="false">IF(T10=0,0,T13/T10*Assumptions!T$67)</f>
        <v>30</v>
      </c>
      <c r="U14" s="67" t="n">
        <f aca="false">IF(U10=0,0,U13/U10*Assumptions!U$67)</f>
        <v>30</v>
      </c>
      <c r="V14" s="67" t="n">
        <f aca="false">IF(V10=0,0,V13/V10*Assumptions!V$67)</f>
        <v>30</v>
      </c>
      <c r="W14" s="67" t="n">
        <f aca="false">IF(W10=0,0,W13/W10*Assumptions!W$67)</f>
        <v>30</v>
      </c>
      <c r="X14" s="67" t="n">
        <f aca="false">IF(X10=0,0,X13/X10*Assumptions!X$67)</f>
        <v>30</v>
      </c>
      <c r="Y14" s="67" t="n">
        <f aca="false">IF(Y10=0,0,Y13/Y10*Assumptions!Y$67)</f>
        <v>30</v>
      </c>
      <c r="Z14" s="67" t="n">
        <f aca="false">IF(Z10=0,0,Z13/Z10*Assumptions!Z$67)</f>
        <v>30</v>
      </c>
      <c r="AA14" s="67" t="n">
        <f aca="false">IF(AA10=0,0,AA13/AA10*Assumptions!AA$67)</f>
        <v>30</v>
      </c>
      <c r="AB14" s="67" t="n">
        <f aca="false">IF(AB10=0,0,AB13/AB10*Assumptions!AB$67)</f>
        <v>30</v>
      </c>
    </row>
    <row r="16" customFormat="false" ht="15" hidden="false" customHeight="true" outlineLevel="0" collapsed="false">
      <c r="A16" s="22" t="s">
        <v>1024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row>
    <row r="17" customFormat="false" ht="15" hidden="false" customHeight="true" outlineLevel="0" collapsed="false">
      <c r="A17" s="28" t="s">
        <v>1017</v>
      </c>
      <c r="B17" s="55"/>
      <c r="E17" s="57" t="n">
        <f aca="false">Inputs_Actuals!$C$130</f>
        <v>24800</v>
      </c>
      <c r="F17" s="69" t="n">
        <f aca="false">E21</f>
        <v>7125</v>
      </c>
      <c r="G17" s="69" t="n">
        <f aca="false">F21</f>
        <v>7203</v>
      </c>
      <c r="H17" s="69" t="n">
        <f aca="false">G21</f>
        <v>8925</v>
      </c>
      <c r="I17" s="69" t="n">
        <f aca="false">H21</f>
        <v>7862</v>
      </c>
      <c r="J17" s="69" t="n">
        <f aca="false">I21</f>
        <v>9598</v>
      </c>
      <c r="K17" s="69" t="n">
        <f aca="false">J21</f>
        <v>8656</v>
      </c>
      <c r="L17" s="69" t="n">
        <f aca="false">K21</f>
        <v>7902</v>
      </c>
      <c r="M17" s="69" t="n">
        <f aca="false">L21</f>
        <v>9387</v>
      </c>
      <c r="N17" s="69" t="n">
        <f aca="false">M21</f>
        <v>10210.5754295168</v>
      </c>
      <c r="O17" s="69" t="n">
        <f aca="false">N21</f>
        <v>11392.2684242799</v>
      </c>
      <c r="P17" s="69" t="n">
        <f aca="false">O21</f>
        <v>16924.1719683492</v>
      </c>
      <c r="Q17" s="69" t="n">
        <f aca="false">P21</f>
        <v>14578.2979231578</v>
      </c>
      <c r="R17" s="69" t="n">
        <f aca="false">Q21</f>
        <v>9258.57462880325</v>
      </c>
      <c r="S17" s="69" t="n">
        <f aca="false">R21</f>
        <v>9717.56354207277</v>
      </c>
      <c r="T17" s="69" t="n">
        <f aca="false">S21</f>
        <v>10062.9293131656</v>
      </c>
      <c r="U17" s="69" t="n">
        <f aca="false">T21</f>
        <v>10950.2387059915</v>
      </c>
      <c r="V17" s="69" t="n">
        <f aca="false">U21</f>
        <v>11380.0632002192</v>
      </c>
      <c r="W17" s="69" t="n">
        <f aca="false">V21</f>
        <v>11617.1916743062</v>
      </c>
      <c r="X17" s="69" t="n">
        <f aca="false">W21</f>
        <v>10854.2106261095</v>
      </c>
      <c r="Y17" s="69" t="n">
        <f aca="false">X21</f>
        <v>10815.7625638811</v>
      </c>
      <c r="Z17" s="69" t="n">
        <f aca="false">Y21</f>
        <v>12813.5348844905</v>
      </c>
      <c r="AA17" s="69" t="n">
        <f aca="false">Z21</f>
        <v>14296.5189970357</v>
      </c>
      <c r="AB17" s="69" t="n">
        <f aca="false">AA21</f>
        <v>21238.7465242395</v>
      </c>
    </row>
    <row r="18" customFormat="false" ht="15" hidden="false" customHeight="true" outlineLevel="0" collapsed="false">
      <c r="A18" s="28" t="s">
        <v>1018</v>
      </c>
      <c r="B18" s="55" t="s">
        <v>1019</v>
      </c>
      <c r="C18" s="56" t="n">
        <f aca="false">SUM(E18:P18)</f>
        <v>374316.997870655</v>
      </c>
      <c r="D18" s="56" t="n">
        <f aca="false">SUM(Q18:AB18)</f>
        <v>460453.433175451</v>
      </c>
      <c r="E18" s="57" t="n">
        <f aca="false">-(Channel_PL!E31+Channel_PL!E32)</f>
        <v>21321</v>
      </c>
      <c r="F18" s="57" t="n">
        <f aca="false">-(Channel_PL!F31+Channel_PL!F32)</f>
        <v>22468</v>
      </c>
      <c r="G18" s="57" t="n">
        <f aca="false">-(Channel_PL!G31+Channel_PL!G32)</f>
        <v>27523</v>
      </c>
      <c r="H18" s="57" t="n">
        <f aca="false">-(Channel_PL!H31+Channel_PL!H32)</f>
        <v>25490</v>
      </c>
      <c r="I18" s="57" t="n">
        <f aca="false">-(Channel_PL!I31+Channel_PL!I32)</f>
        <v>29570</v>
      </c>
      <c r="J18" s="57" t="n">
        <f aca="false">-(Channel_PL!J31+Channel_PL!J32)</f>
        <v>28738</v>
      </c>
      <c r="K18" s="57" t="n">
        <f aca="false">-(Channel_PL!K31+Channel_PL!K32)</f>
        <v>28030</v>
      </c>
      <c r="L18" s="57" t="n">
        <f aca="false">-(Channel_PL!L31+Channel_PL!L32)</f>
        <v>29264</v>
      </c>
      <c r="M18" s="57" t="n">
        <f aca="false">-(Channel_PL!M31+Channel_PL!M32)</f>
        <v>30631.7262885505</v>
      </c>
      <c r="N18" s="57" t="n">
        <f aca="false">-(Channel_PL!N31+Channel_PL!N32)</f>
        <v>35316.0321152678</v>
      </c>
      <c r="O18" s="57" t="n">
        <f aca="false">-(Channel_PL!O31+Channel_PL!O32)</f>
        <v>50772.5159050475</v>
      </c>
      <c r="P18" s="57" t="n">
        <f aca="false">-(Channel_PL!P31+Channel_PL!P32)</f>
        <v>45192.7235617892</v>
      </c>
      <c r="Q18" s="57" t="n">
        <f aca="false">-(Channel_PL!Q31+Channel_PL!Q32)</f>
        <v>28701.5813492901</v>
      </c>
      <c r="R18" s="57" t="n">
        <f aca="false">-(Channel_PL!R31+Channel_PL!R32)</f>
        <v>27209.1779178038</v>
      </c>
      <c r="S18" s="57" t="n">
        <f aca="false">-(Channel_PL!S31+Channel_PL!S32)</f>
        <v>31195.0808708133</v>
      </c>
      <c r="T18" s="57" t="n">
        <f aca="false">-(Channel_PL!T31+Channel_PL!T32)</f>
        <v>32850.7161179744</v>
      </c>
      <c r="U18" s="57" t="n">
        <f aca="false">-(Channel_PL!U31+Channel_PL!U32)</f>
        <v>35278.1959206795</v>
      </c>
      <c r="V18" s="57" t="n">
        <f aca="false">-(Channel_PL!V31+Channel_PL!V32)</f>
        <v>34851.5750229186</v>
      </c>
      <c r="W18" s="57" t="n">
        <f aca="false">-(Channel_PL!W31+Channel_PL!W32)</f>
        <v>33648.0529409395</v>
      </c>
      <c r="X18" s="57" t="n">
        <f aca="false">-(Channel_PL!X31+Channel_PL!X32)</f>
        <v>33528.8639480313</v>
      </c>
      <c r="Y18" s="57" t="n">
        <f aca="false">-(Channel_PL!Y31+Channel_PL!Y32)</f>
        <v>38440.6046534716</v>
      </c>
      <c r="Z18" s="57" t="n">
        <f aca="false">-(Channel_PL!Z31+Channel_PL!Z32)</f>
        <v>44319.2088908106</v>
      </c>
      <c r="AA18" s="57" t="n">
        <f aca="false">-(Channel_PL!AA31+Channel_PL!AA32)</f>
        <v>63716.2395727184</v>
      </c>
      <c r="AB18" s="57" t="n">
        <f aca="false">-(Channel_PL!AB31+Channel_PL!AB32)</f>
        <v>56714.1359699996</v>
      </c>
    </row>
    <row r="19" customFormat="false" ht="15" hidden="false" customHeight="true" outlineLevel="0" collapsed="false">
      <c r="A19" s="28" t="s">
        <v>1020</v>
      </c>
      <c r="B19" s="55" t="s">
        <v>71</v>
      </c>
      <c r="E19" s="57" t="n">
        <f aca="false">E18*Assumptions!$C$45/Assumptions!E$67</f>
        <v>6877.74193548387</v>
      </c>
      <c r="F19" s="57" t="n">
        <f aca="false">F18*Assumptions!$C$45/Assumptions!F$67</f>
        <v>8024.28571428572</v>
      </c>
      <c r="G19" s="57" t="n">
        <f aca="false">G18*Assumptions!$C$45/Assumptions!G$67</f>
        <v>8878.38709677419</v>
      </c>
      <c r="H19" s="57" t="n">
        <f aca="false">H18*Assumptions!$C$45/Assumptions!H$67</f>
        <v>8496.66666666667</v>
      </c>
      <c r="I19" s="57" t="n">
        <f aca="false">I18*Assumptions!$C$45/Assumptions!I$67</f>
        <v>9538.70967741935</v>
      </c>
      <c r="J19" s="57" t="n">
        <f aca="false">J18*Assumptions!$C$45/Assumptions!J$67</f>
        <v>9579.33333333333</v>
      </c>
      <c r="K19" s="57" t="n">
        <f aca="false">K18*Assumptions!$C$45/Assumptions!K$67</f>
        <v>9041.93548387097</v>
      </c>
      <c r="L19" s="57" t="n">
        <f aca="false">L18*Assumptions!$C$45/Assumptions!L$67</f>
        <v>9440</v>
      </c>
      <c r="M19" s="57" t="n">
        <f aca="false">M18*Assumptions!$C$45/Assumptions!M$67</f>
        <v>10210.5754295168</v>
      </c>
      <c r="N19" s="57" t="n">
        <f aca="false">N18*Assumptions!$C$45/Assumptions!N$67</f>
        <v>11392.2684242799</v>
      </c>
      <c r="O19" s="57" t="n">
        <f aca="false">O18*Assumptions!$C$45/Assumptions!O$67</f>
        <v>16924.1719683492</v>
      </c>
      <c r="P19" s="57" t="n">
        <f aca="false">P18*Assumptions!$C$45/Assumptions!P$67</f>
        <v>14578.2979231578</v>
      </c>
      <c r="Q19" s="57" t="n">
        <f aca="false">Q18*Assumptions!$C$45/Assumptions!Q$67</f>
        <v>9258.57462880326</v>
      </c>
      <c r="R19" s="57" t="n">
        <f aca="false">R18*Assumptions!$C$45/Assumptions!R$67</f>
        <v>9717.56354207277</v>
      </c>
      <c r="S19" s="57" t="n">
        <f aca="false">S18*Assumptions!$C$45/Assumptions!S$67</f>
        <v>10062.9293131656</v>
      </c>
      <c r="T19" s="57" t="n">
        <f aca="false">T18*Assumptions!$C$45/Assumptions!T$67</f>
        <v>10950.2387059915</v>
      </c>
      <c r="U19" s="57" t="n">
        <f aca="false">U18*Assumptions!$C$45/Assumptions!U$67</f>
        <v>11380.0632002192</v>
      </c>
      <c r="V19" s="57" t="n">
        <f aca="false">V18*Assumptions!$C$45/Assumptions!V$67</f>
        <v>11617.1916743062</v>
      </c>
      <c r="W19" s="57" t="n">
        <f aca="false">W18*Assumptions!$C$45/Assumptions!W$67</f>
        <v>10854.2106261095</v>
      </c>
      <c r="X19" s="57" t="n">
        <f aca="false">X18*Assumptions!$C$45/Assumptions!X$67</f>
        <v>10815.7625638811</v>
      </c>
      <c r="Y19" s="57" t="n">
        <f aca="false">Y18*Assumptions!$C$45/Assumptions!Y$67</f>
        <v>12813.5348844905</v>
      </c>
      <c r="Z19" s="57" t="n">
        <f aca="false">Z18*Assumptions!$C$45/Assumptions!Z$67</f>
        <v>14296.5189970357</v>
      </c>
      <c r="AA19" s="57" t="n">
        <f aca="false">AA18*Assumptions!$C$45/Assumptions!AA$67</f>
        <v>21238.7465242395</v>
      </c>
      <c r="AB19" s="57" t="n">
        <f aca="false">AB18*Assumptions!$C$45/Assumptions!AB$67</f>
        <v>18294.8825709676</v>
      </c>
    </row>
    <row r="20" customFormat="false" ht="15" hidden="false" customHeight="true" outlineLevel="0" collapsed="false">
      <c r="A20" s="28" t="s">
        <v>1021</v>
      </c>
      <c r="B20" s="55" t="s">
        <v>791</v>
      </c>
      <c r="C20" s="56" t="n">
        <f aca="false">SUM(E20:P20)</f>
        <v>-384538.699947497</v>
      </c>
      <c r="D20" s="56" t="n">
        <f aca="false">SUM(Q20:AB20)</f>
        <v>-456736.848527641</v>
      </c>
      <c r="E20" s="57" t="n">
        <f aca="false">-IF(E$5="A",Inputs_Actuals!E109,(E17+E18-E19))</f>
        <v>-38996</v>
      </c>
      <c r="F20" s="57" t="n">
        <f aca="false">-IF(F$5="A",Inputs_Actuals!F109,(F17+F18-F19))</f>
        <v>-22390</v>
      </c>
      <c r="G20" s="57" t="n">
        <f aca="false">-IF(G$5="A",Inputs_Actuals!G109,(G17+G18-G19))</f>
        <v>-25801</v>
      </c>
      <c r="H20" s="57" t="n">
        <f aca="false">-IF(H$5="A",Inputs_Actuals!H109,(H17+H18-H19))</f>
        <v>-26553</v>
      </c>
      <c r="I20" s="57" t="n">
        <f aca="false">-IF(I$5="A",Inputs_Actuals!I109,(I17+I18-I19))</f>
        <v>-27834</v>
      </c>
      <c r="J20" s="57" t="n">
        <f aca="false">-IF(J$5="A",Inputs_Actuals!J109,(J17+J18-J19))</f>
        <v>-29680</v>
      </c>
      <c r="K20" s="57" t="n">
        <f aca="false">-IF(K$5="A",Inputs_Actuals!K109,(K17+K18-K19))</f>
        <v>-28784</v>
      </c>
      <c r="L20" s="57" t="n">
        <f aca="false">-IF(L$5="A",Inputs_Actuals!L109,(L17+L18-L19))</f>
        <v>-27779</v>
      </c>
      <c r="M20" s="57" t="n">
        <f aca="false">-IF(M$5="A",Inputs_Actuals!M109,(M17+M18-M19))</f>
        <v>-29808.1508590337</v>
      </c>
      <c r="N20" s="57" t="n">
        <f aca="false">-IF(N$5="A",Inputs_Actuals!N109,(N17+N18-N19))</f>
        <v>-34134.3391205047</v>
      </c>
      <c r="O20" s="57" t="n">
        <f aca="false">-IF(O$5="A",Inputs_Actuals!O109,(O17+O18-O19))</f>
        <v>-45240.6123609783</v>
      </c>
      <c r="P20" s="57" t="n">
        <f aca="false">-IF(P$5="A",Inputs_Actuals!P109,(P17+P18-P19))</f>
        <v>-47538.5976069806</v>
      </c>
      <c r="Q20" s="57" t="n">
        <f aca="false">-IF(Q$5="A",Inputs_Actuals!Q109,(Q17+Q18-Q19))</f>
        <v>-34021.3046436446</v>
      </c>
      <c r="R20" s="57" t="n">
        <f aca="false">-IF(R$5="A",Inputs_Actuals!R109,(R17+R18-R19))</f>
        <v>-26750.1890045342</v>
      </c>
      <c r="S20" s="57" t="n">
        <f aca="false">-IF(S$5="A",Inputs_Actuals!S109,(S17+S18-S19))</f>
        <v>-30849.7150997205</v>
      </c>
      <c r="T20" s="57" t="n">
        <f aca="false">-IF(T$5="A",Inputs_Actuals!T109,(T17+T18-T19))</f>
        <v>-31963.4067251485</v>
      </c>
      <c r="U20" s="57" t="n">
        <f aca="false">-IF(U$5="A",Inputs_Actuals!U109,(U17+U18-U19))</f>
        <v>-34848.3714264518</v>
      </c>
      <c r="V20" s="57" t="n">
        <f aca="false">-IF(V$5="A",Inputs_Actuals!V109,(V17+V18-V19))</f>
        <v>-34614.4465488316</v>
      </c>
      <c r="W20" s="57" t="n">
        <f aca="false">-IF(W$5="A",Inputs_Actuals!W109,(W17+W18-W19))</f>
        <v>-34411.0339891361</v>
      </c>
      <c r="X20" s="57" t="n">
        <f aca="false">-IF(X$5="A",Inputs_Actuals!X109,(X17+X18-X19))</f>
        <v>-33567.3120102597</v>
      </c>
      <c r="Y20" s="57" t="n">
        <f aca="false">-IF(Y$5="A",Inputs_Actuals!Y109,(Y17+Y18-Y19))</f>
        <v>-36442.8323328621</v>
      </c>
      <c r="Z20" s="57" t="n">
        <f aca="false">-IF(Z$5="A",Inputs_Actuals!Z109,(Z17+Z18-Z19))</f>
        <v>-42836.2247782654</v>
      </c>
      <c r="AA20" s="57" t="n">
        <f aca="false">-IF(AA$5="A",Inputs_Actuals!AA109,(AA17+AA18-AA19))</f>
        <v>-56774.0120455146</v>
      </c>
      <c r="AB20" s="57" t="n">
        <f aca="false">-IF(AB$5="A",Inputs_Actuals!AB109,(AB17+AB18-AB19))</f>
        <v>-59657.9999232715</v>
      </c>
    </row>
    <row r="21" customFormat="false" ht="15" hidden="false" customHeight="true" outlineLevel="0" collapsed="false">
      <c r="A21" s="70" t="s">
        <v>1022</v>
      </c>
      <c r="B21" s="71"/>
      <c r="C21" s="72" t="n">
        <f aca="false">P21</f>
        <v>14578.2979231578</v>
      </c>
      <c r="D21" s="72" t="n">
        <f aca="false">AB21</f>
        <v>18294.8825709676</v>
      </c>
      <c r="E21" s="72" t="n">
        <f aca="false">E17+E18+E20</f>
        <v>7125</v>
      </c>
      <c r="F21" s="72" t="n">
        <f aca="false">F17+F18+F20</f>
        <v>7203</v>
      </c>
      <c r="G21" s="72" t="n">
        <f aca="false">G17+G18+G20</f>
        <v>8925</v>
      </c>
      <c r="H21" s="72" t="n">
        <f aca="false">H17+H18+H20</f>
        <v>7862</v>
      </c>
      <c r="I21" s="72" t="n">
        <f aca="false">I17+I18+I20</f>
        <v>9598</v>
      </c>
      <c r="J21" s="72" t="n">
        <f aca="false">J17+J18+J20</f>
        <v>8656</v>
      </c>
      <c r="K21" s="72" t="n">
        <f aca="false">K17+K18+K20</f>
        <v>7902</v>
      </c>
      <c r="L21" s="72" t="n">
        <f aca="false">L17+L18+L20</f>
        <v>9387</v>
      </c>
      <c r="M21" s="72" t="n">
        <f aca="false">M17+M18+M20</f>
        <v>10210.5754295168</v>
      </c>
      <c r="N21" s="72" t="n">
        <f aca="false">N17+N18+N20</f>
        <v>11392.2684242799</v>
      </c>
      <c r="O21" s="72" t="n">
        <f aca="false">O17+O18+O20</f>
        <v>16924.1719683492</v>
      </c>
      <c r="P21" s="72" t="n">
        <f aca="false">P17+P18+P20</f>
        <v>14578.2979231578</v>
      </c>
      <c r="Q21" s="72" t="n">
        <f aca="false">Q17+Q18+Q20</f>
        <v>9258.57462880325</v>
      </c>
      <c r="R21" s="72" t="n">
        <f aca="false">R17+R18+R20</f>
        <v>9717.56354207277</v>
      </c>
      <c r="S21" s="72" t="n">
        <f aca="false">S17+S18+S20</f>
        <v>10062.9293131656</v>
      </c>
      <c r="T21" s="72" t="n">
        <f aca="false">T17+T18+T20</f>
        <v>10950.2387059915</v>
      </c>
      <c r="U21" s="72" t="n">
        <f aca="false">U17+U18+U20</f>
        <v>11380.0632002192</v>
      </c>
      <c r="V21" s="72" t="n">
        <f aca="false">V17+V18+V20</f>
        <v>11617.1916743062</v>
      </c>
      <c r="W21" s="72" t="n">
        <f aca="false">W17+W18+W20</f>
        <v>10854.2106261095</v>
      </c>
      <c r="X21" s="72" t="n">
        <f aca="false">X17+X18+X20</f>
        <v>10815.7625638811</v>
      </c>
      <c r="Y21" s="72" t="n">
        <f aca="false">Y17+Y18+Y20</f>
        <v>12813.5348844905</v>
      </c>
      <c r="Z21" s="72" t="n">
        <f aca="false">Z17+Z18+Z20</f>
        <v>14296.5189970357</v>
      </c>
      <c r="AA21" s="72" t="n">
        <f aca="false">AA17+AA18+AA20</f>
        <v>21238.7465242395</v>
      </c>
      <c r="AB21" s="72" t="n">
        <f aca="false">AB17+AB18+AB20</f>
        <v>18294.8825709676</v>
      </c>
    </row>
    <row r="22" customFormat="false" ht="15" hidden="false" customHeight="true" outlineLevel="0" collapsed="false">
      <c r="A22" s="28" t="s">
        <v>1023</v>
      </c>
      <c r="B22" s="55" t="s">
        <v>315</v>
      </c>
      <c r="E22" s="67" t="n">
        <f aca="false">IF(E18=0,0,E21/E18*Assumptions!E$67)</f>
        <v>10.3595047136626</v>
      </c>
      <c r="F22" s="67" t="n">
        <f aca="false">IF(F18=0,0,F21/F18*Assumptions!F$67)</f>
        <v>8.97649991098451</v>
      </c>
      <c r="G22" s="67" t="n">
        <f aca="false">IF(G18=0,0,G21/G18*Assumptions!G$67)</f>
        <v>10.0525015441631</v>
      </c>
      <c r="H22" s="67" t="n">
        <f aca="false">IF(H18=0,0,H21/H18*Assumptions!H$67)</f>
        <v>9.25304040800314</v>
      </c>
      <c r="I22" s="67" t="n">
        <f aca="false">IF(I18=0,0,I21/I18*Assumptions!I$67)</f>
        <v>10.0621575921542</v>
      </c>
      <c r="J22" s="67" t="n">
        <f aca="false">IF(J18=0,0,J21/J18*Assumptions!J$67)</f>
        <v>9.03611942375948</v>
      </c>
      <c r="K22" s="67" t="n">
        <f aca="false">IF(K18=0,0,K21/K18*Assumptions!K$67)</f>
        <v>8.73927934356047</v>
      </c>
      <c r="L22" s="67" t="n">
        <f aca="false">IF(L18=0,0,L21/L18*Assumptions!L$67)</f>
        <v>9.94385593220339</v>
      </c>
      <c r="M22" s="67" t="n">
        <f aca="false">IF(M18=0,0,M21/M18*Assumptions!M$67)</f>
        <v>10</v>
      </c>
      <c r="N22" s="67" t="n">
        <f aca="false">IF(N18=0,0,N21/N18*Assumptions!N$67)</f>
        <v>10</v>
      </c>
      <c r="O22" s="67" t="n">
        <f aca="false">IF(O18=0,0,O21/O18*Assumptions!O$67)</f>
        <v>10</v>
      </c>
      <c r="P22" s="67" t="n">
        <f aca="false">IF(P18=0,0,P21/P18*Assumptions!P$67)</f>
        <v>10</v>
      </c>
      <c r="Q22" s="67" t="n">
        <f aca="false">IF(Q18=0,0,Q21/Q18*Assumptions!Q$67)</f>
        <v>10</v>
      </c>
      <c r="R22" s="67" t="n">
        <f aca="false">IF(R18=0,0,R21/R18*Assumptions!R$67)</f>
        <v>10</v>
      </c>
      <c r="S22" s="67" t="n">
        <f aca="false">IF(S18=0,0,S21/S18*Assumptions!S$67)</f>
        <v>10</v>
      </c>
      <c r="T22" s="67" t="n">
        <f aca="false">IF(T18=0,0,T21/T18*Assumptions!T$67)</f>
        <v>10</v>
      </c>
      <c r="U22" s="67" t="n">
        <f aca="false">IF(U18=0,0,U21/U18*Assumptions!U$67)</f>
        <v>10</v>
      </c>
      <c r="V22" s="67" t="n">
        <f aca="false">IF(V18=0,0,V21/V18*Assumptions!V$67)</f>
        <v>10</v>
      </c>
      <c r="W22" s="67" t="n">
        <f aca="false">IF(W18=0,0,W21/W18*Assumptions!W$67)</f>
        <v>10</v>
      </c>
      <c r="X22" s="67" t="n">
        <f aca="false">IF(X18=0,0,X21/X18*Assumptions!X$67)</f>
        <v>10</v>
      </c>
      <c r="Y22" s="67" t="n">
        <f aca="false">IF(Y18=0,0,Y21/Y18*Assumptions!Y$67)</f>
        <v>10</v>
      </c>
      <c r="Z22" s="67" t="n">
        <f aca="false">IF(Z18=0,0,Z21/Z18*Assumptions!Z$67)</f>
        <v>10</v>
      </c>
      <c r="AA22" s="67" t="n">
        <f aca="false">IF(AA18=0,0,AA21/AA18*Assumptions!AA$67)</f>
        <v>10</v>
      </c>
      <c r="AB22" s="67" t="n">
        <f aca="false">IF(AB18=0,0,AB21/AB18*Assumptions!AB$67)</f>
        <v>10</v>
      </c>
    </row>
    <row r="24" customFormat="false" ht="15" hidden="false" customHeight="true" outlineLevel="0" collapsed="false">
      <c r="A24" s="22" t="s">
        <v>1025</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row>
    <row r="25" customFormat="false" ht="15" hidden="false" customHeight="true" outlineLevel="0" collapsed="false">
      <c r="A25" s="28" t="s">
        <v>1017</v>
      </c>
      <c r="B25" s="55"/>
      <c r="E25" s="57" t="n">
        <f aca="false">Inputs_Actuals!$C$131</f>
        <v>41600</v>
      </c>
      <c r="F25" s="69" t="n">
        <f aca="false">E29</f>
        <v>26674.452</v>
      </c>
      <c r="G25" s="69" t="n">
        <f aca="false">F29</f>
        <v>31140.92</v>
      </c>
      <c r="H25" s="69" t="n">
        <f aca="false">G29</f>
        <v>32209.6225</v>
      </c>
      <c r="I25" s="69" t="n">
        <f aca="false">H29</f>
        <v>32682.442</v>
      </c>
      <c r="J25" s="69" t="n">
        <f aca="false">I29</f>
        <v>24281.6135</v>
      </c>
      <c r="K25" s="69" t="n">
        <f aca="false">J29</f>
        <v>27304.335</v>
      </c>
      <c r="L25" s="69" t="n">
        <f aca="false">K29</f>
        <v>28863.7035</v>
      </c>
      <c r="M25" s="69" t="n">
        <f aca="false">L29</f>
        <v>31218.501</v>
      </c>
      <c r="N25" s="69" t="n">
        <f aca="false">M29</f>
        <v>29472.9366668128</v>
      </c>
      <c r="O25" s="69" t="n">
        <f aca="false">N29</f>
        <v>29065.2690526455</v>
      </c>
      <c r="P25" s="69" t="n">
        <f aca="false">O29</f>
        <v>31867.6569449212</v>
      </c>
      <c r="Q25" s="69" t="n">
        <f aca="false">P29</f>
        <v>30220.9318982027</v>
      </c>
      <c r="R25" s="69" t="n">
        <f aca="false">Q29</f>
        <v>29196.9690704111</v>
      </c>
      <c r="S25" s="69" t="n">
        <f aca="false">R29</f>
        <v>32142.3789382789</v>
      </c>
      <c r="T25" s="69" t="n">
        <f aca="false">S29</f>
        <v>29517.6760089055</v>
      </c>
      <c r="U25" s="69" t="n">
        <f aca="false">T29</f>
        <v>30719.9525060621</v>
      </c>
      <c r="V25" s="69" t="n">
        <f aca="false">U29</f>
        <v>30034.6775324032</v>
      </c>
      <c r="W25" s="69" t="n">
        <f aca="false">V29</f>
        <v>30999.5089445429</v>
      </c>
      <c r="X25" s="69" t="n">
        <f aca="false">W29</f>
        <v>29870.5483886223</v>
      </c>
      <c r="Y25" s="69" t="n">
        <f aca="false">X29</f>
        <v>29872.3793158141</v>
      </c>
      <c r="Z25" s="69" t="n">
        <f aca="false">Y29</f>
        <v>31503.5189442485</v>
      </c>
      <c r="AA25" s="69" t="n">
        <f aca="false">Z29</f>
        <v>31225.8915612398</v>
      </c>
      <c r="AB25" s="69" t="n">
        <f aca="false">AA29</f>
        <v>34752.7279023528</v>
      </c>
    </row>
    <row r="26" customFormat="false" ht="15" hidden="false" customHeight="true" outlineLevel="0" collapsed="false">
      <c r="A26" s="28" t="s">
        <v>1018</v>
      </c>
      <c r="B26" s="55" t="s">
        <v>1019</v>
      </c>
      <c r="C26" s="56" t="n">
        <f aca="false">SUM(E26:P26)</f>
        <v>430842.102513133</v>
      </c>
      <c r="D26" s="56" t="n">
        <f aca="false">SUM(Q26:AB26)</f>
        <v>453095.456958432</v>
      </c>
      <c r="E26" s="57" t="n">
        <f aca="false">Opex!E51*(1+Assumptions!$C$19*Assumptions!$C$24)</f>
        <v>36347.452</v>
      </c>
      <c r="F26" s="57" t="n">
        <f aca="false">Opex!F51*(1+Assumptions!$C$19*Assumptions!$C$24)</f>
        <v>33527.468</v>
      </c>
      <c r="G26" s="57" t="n">
        <f aca="false">Opex!G51*(1+Assumptions!$C$19*Assumptions!$C$24)</f>
        <v>35422.7025</v>
      </c>
      <c r="H26" s="57" t="n">
        <f aca="false">Opex!H51*(1+Assumptions!$C$19*Assumptions!$C$24)</f>
        <v>34322.8195</v>
      </c>
      <c r="I26" s="57" t="n">
        <f aca="false">Opex!I51*(1+Assumptions!$C$19*Assumptions!$C$24)</f>
        <v>34751.1715</v>
      </c>
      <c r="J26" s="57" t="n">
        <f aca="false">Opex!J51*(1+Assumptions!$C$19*Assumptions!$C$24)</f>
        <v>37093.7215</v>
      </c>
      <c r="K26" s="57" t="n">
        <f aca="false">Opex!K51*(1+Assumptions!$C$19*Assumptions!$C$24)</f>
        <v>35168.3685</v>
      </c>
      <c r="L26" s="57" t="n">
        <f aca="false">Opex!L51*(1+Assumptions!$C$19*Assumptions!$C$24)</f>
        <v>37084.7975</v>
      </c>
      <c r="M26" s="57" t="n">
        <f aca="false">Opex!M51*(1+Assumptions!$C$19*Assumptions!$C$24)</f>
        <v>35367.5240001754</v>
      </c>
      <c r="N26" s="57" t="n">
        <f aca="false">Opex!N51*(1+Assumptions!$C$19*Assumptions!$C$24)</f>
        <v>36040.9336252804</v>
      </c>
      <c r="O26" s="57" t="n">
        <f aca="false">Opex!O51*(1+Assumptions!$C$19*Assumptions!$C$24)</f>
        <v>38241.1883339054</v>
      </c>
      <c r="P26" s="57" t="n">
        <f aca="false">Opex!P51*(1+Assumptions!$C$19*Assumptions!$C$24)</f>
        <v>37473.9555537713</v>
      </c>
      <c r="Q26" s="57" t="n">
        <f aca="false">Opex!Q51*(1+Assumptions!$C$19*Assumptions!$C$24)</f>
        <v>36204.2416473098</v>
      </c>
      <c r="R26" s="57" t="n">
        <f aca="false">Opex!R51*(1+Assumptions!$C$19*Assumptions!$C$24)</f>
        <v>35999.4644108723</v>
      </c>
      <c r="S26" s="57" t="n">
        <f aca="false">Opex!S51*(1+Assumptions!$C$19*Assumptions!$C$24)</f>
        <v>36601.9182510428</v>
      </c>
      <c r="T26" s="57" t="n">
        <f aca="false">Opex!T51*(1+Assumptions!$C$19*Assumptions!$C$24)</f>
        <v>36863.9430072745</v>
      </c>
      <c r="U26" s="57" t="n">
        <f aca="false">Opex!U51*(1+Assumptions!$C$19*Assumptions!$C$24)</f>
        <v>37243.00014018</v>
      </c>
      <c r="V26" s="57" t="n">
        <f aca="false">Opex!V51*(1+Assumptions!$C$19*Assumptions!$C$24)</f>
        <v>37199.4107334515</v>
      </c>
      <c r="W26" s="57" t="n">
        <f aca="false">Opex!W51*(1+Assumptions!$C$19*Assumptions!$C$24)</f>
        <v>37039.4800018917</v>
      </c>
      <c r="X26" s="57" t="n">
        <f aca="false">Opex!X51*(1+Assumptions!$C$19*Assumptions!$C$24)</f>
        <v>37041.7503516094</v>
      </c>
      <c r="Y26" s="57" t="n">
        <f aca="false">Opex!Y51*(1+Assumptions!$C$19*Assumptions!$C$24)</f>
        <v>37804.2227330982</v>
      </c>
      <c r="Z26" s="57" t="n">
        <f aca="false">Opex!Z51*(1+Assumptions!$C$19*Assumptions!$C$24)</f>
        <v>38720.1055359373</v>
      </c>
      <c r="AA26" s="57" t="n">
        <f aca="false">Opex!AA51*(1+Assumptions!$C$19*Assumptions!$C$24)</f>
        <v>41703.2734828234</v>
      </c>
      <c r="AB26" s="57" t="n">
        <f aca="false">Opex!AB51*(1+Assumptions!$C$19*Assumptions!$C$24)</f>
        <v>40674.646662941</v>
      </c>
    </row>
    <row r="27" customFormat="false" ht="15" hidden="false" customHeight="true" outlineLevel="0" collapsed="false">
      <c r="A27" s="28" t="s">
        <v>1020</v>
      </c>
      <c r="B27" s="55" t="s">
        <v>71</v>
      </c>
      <c r="E27" s="57" t="n">
        <f aca="false">E26*Assumptions!$C$46/Assumptions!E$67</f>
        <v>29312.4612903226</v>
      </c>
      <c r="F27" s="57" t="n">
        <f aca="false">F26*Assumptions!$C$46/Assumptions!F$67</f>
        <v>29935.2392857143</v>
      </c>
      <c r="G27" s="57" t="n">
        <f aca="false">G26*Assumptions!$C$46/Assumptions!G$67</f>
        <v>28566.6955645161</v>
      </c>
      <c r="H27" s="57" t="n">
        <f aca="false">H26*Assumptions!$C$46/Assumptions!H$67</f>
        <v>28602.3495833333</v>
      </c>
      <c r="I27" s="57" t="n">
        <f aca="false">I26*Assumptions!$C$46/Assumptions!I$67</f>
        <v>28025.1383064516</v>
      </c>
      <c r="J27" s="57" t="n">
        <f aca="false">J26*Assumptions!$C$46/Assumptions!J$67</f>
        <v>30911.4345833333</v>
      </c>
      <c r="K27" s="57" t="n">
        <f aca="false">K26*Assumptions!$C$46/Assumptions!K$67</f>
        <v>28361.5875</v>
      </c>
      <c r="L27" s="57" t="n">
        <f aca="false">L26*Assumptions!$C$46/Assumptions!L$67</f>
        <v>29907.0947580645</v>
      </c>
      <c r="M27" s="57" t="n">
        <f aca="false">M26*Assumptions!$C$46/Assumptions!M$67</f>
        <v>29472.9366668128</v>
      </c>
      <c r="N27" s="57" t="n">
        <f aca="false">N26*Assumptions!$C$46/Assumptions!N$67</f>
        <v>29065.2690526455</v>
      </c>
      <c r="O27" s="57" t="n">
        <f aca="false">O26*Assumptions!$C$46/Assumptions!O$67</f>
        <v>31867.6569449212</v>
      </c>
      <c r="P27" s="57" t="n">
        <f aca="false">P26*Assumptions!$C$46/Assumptions!P$67</f>
        <v>30220.9318982027</v>
      </c>
      <c r="Q27" s="57" t="n">
        <f aca="false">Q26*Assumptions!$C$46/Assumptions!Q$67</f>
        <v>29196.9690704111</v>
      </c>
      <c r="R27" s="57" t="n">
        <f aca="false">R26*Assumptions!$C$46/Assumptions!R$67</f>
        <v>32142.3789382789</v>
      </c>
      <c r="S27" s="57" t="n">
        <f aca="false">S26*Assumptions!$C$46/Assumptions!S$67</f>
        <v>29517.6760089055</v>
      </c>
      <c r="T27" s="57" t="n">
        <f aca="false">T26*Assumptions!$C$46/Assumptions!T$67</f>
        <v>30719.9525060621</v>
      </c>
      <c r="U27" s="57" t="n">
        <f aca="false">U26*Assumptions!$C$46/Assumptions!U$67</f>
        <v>30034.6775324032</v>
      </c>
      <c r="V27" s="57" t="n">
        <f aca="false">V26*Assumptions!$C$46/Assumptions!V$67</f>
        <v>30999.5089445429</v>
      </c>
      <c r="W27" s="57" t="n">
        <f aca="false">W26*Assumptions!$C$46/Assumptions!W$67</f>
        <v>29870.5483886223</v>
      </c>
      <c r="X27" s="57" t="n">
        <f aca="false">X26*Assumptions!$C$46/Assumptions!X$67</f>
        <v>29872.3793158141</v>
      </c>
      <c r="Y27" s="57" t="n">
        <f aca="false">Y26*Assumptions!$C$46/Assumptions!Y$67</f>
        <v>31503.5189442485</v>
      </c>
      <c r="Z27" s="57" t="n">
        <f aca="false">Z26*Assumptions!$C$46/Assumptions!Z$67</f>
        <v>31225.8915612398</v>
      </c>
      <c r="AA27" s="57" t="n">
        <f aca="false">AA26*Assumptions!$C$46/Assumptions!AA$67</f>
        <v>34752.7279023528</v>
      </c>
      <c r="AB27" s="57" t="n">
        <f aca="false">AB26*Assumptions!$C$46/Assumptions!AB$67</f>
        <v>32802.1344055976</v>
      </c>
    </row>
    <row r="28" customFormat="false" ht="15" hidden="false" customHeight="true" outlineLevel="0" collapsed="false">
      <c r="A28" s="28" t="s">
        <v>1021</v>
      </c>
      <c r="B28" s="55" t="s">
        <v>791</v>
      </c>
      <c r="C28" s="56" t="n">
        <f aca="false">SUM(E28:P28)</f>
        <v>-442221.17061493</v>
      </c>
      <c r="D28" s="56" t="n">
        <f aca="false">SUM(Q28:AB28)</f>
        <v>-450514.254451037</v>
      </c>
      <c r="E28" s="57" t="n">
        <f aca="false">-IF(E$5="A",Inputs_Actuals!E110,(E25+E26-E27))</f>
        <v>-51273</v>
      </c>
      <c r="F28" s="57" t="n">
        <f aca="false">-IF(F$5="A",Inputs_Actuals!F110,(F25+F26-F27))</f>
        <v>-29061</v>
      </c>
      <c r="G28" s="57" t="n">
        <f aca="false">-IF(G$5="A",Inputs_Actuals!G110,(G25+G26-G27))</f>
        <v>-34354</v>
      </c>
      <c r="H28" s="57" t="n">
        <f aca="false">-IF(H$5="A",Inputs_Actuals!H110,(H25+H26-H27))</f>
        <v>-33850</v>
      </c>
      <c r="I28" s="57" t="n">
        <f aca="false">-IF(I$5="A",Inputs_Actuals!I110,(I25+I26-I27))</f>
        <v>-43152</v>
      </c>
      <c r="J28" s="57" t="n">
        <f aca="false">-IF(J$5="A",Inputs_Actuals!J110,(J25+J26-J27))</f>
        <v>-34071</v>
      </c>
      <c r="K28" s="57" t="n">
        <f aca="false">-IF(K$5="A",Inputs_Actuals!K110,(K25+K26-K27))</f>
        <v>-33609</v>
      </c>
      <c r="L28" s="57" t="n">
        <f aca="false">-IF(L$5="A",Inputs_Actuals!L110,(L25+L26-L27))</f>
        <v>-34730</v>
      </c>
      <c r="M28" s="57" t="n">
        <f aca="false">-IF(M$5="A",Inputs_Actuals!M110,(M25+M26-M27))</f>
        <v>-37113.0883333625</v>
      </c>
      <c r="N28" s="57" t="n">
        <f aca="false">-IF(N$5="A",Inputs_Actuals!N110,(N25+N26-N27))</f>
        <v>-36448.6012394477</v>
      </c>
      <c r="O28" s="57" t="n">
        <f aca="false">-IF(O$5="A",Inputs_Actuals!O110,(O25+O26-O27))</f>
        <v>-35438.8004416298</v>
      </c>
      <c r="P28" s="57" t="n">
        <f aca="false">-IF(P$5="A",Inputs_Actuals!P110,(P25+P26-P27))</f>
        <v>-39120.6806004898</v>
      </c>
      <c r="Q28" s="57" t="n">
        <f aca="false">-IF(Q$5="A",Inputs_Actuals!Q110,(Q25+Q26-Q27))</f>
        <v>-37228.2044751014</v>
      </c>
      <c r="R28" s="57" t="n">
        <f aca="false">-IF(R$5="A",Inputs_Actuals!R110,(R25+R26-R27))</f>
        <v>-33054.0545430046</v>
      </c>
      <c r="S28" s="57" t="n">
        <f aca="false">-IF(S$5="A",Inputs_Actuals!S110,(S25+S26-S27))</f>
        <v>-39226.6211804162</v>
      </c>
      <c r="T28" s="57" t="n">
        <f aca="false">-IF(T$5="A",Inputs_Actuals!T110,(T25+T26-T27))</f>
        <v>-35661.6665101179</v>
      </c>
      <c r="U28" s="57" t="n">
        <f aca="false">-IF(U$5="A",Inputs_Actuals!U110,(U25+U26-U27))</f>
        <v>-37928.2751138389</v>
      </c>
      <c r="V28" s="57" t="n">
        <f aca="false">-IF(V$5="A",Inputs_Actuals!V110,(V25+V26-V27))</f>
        <v>-36234.5793213118</v>
      </c>
      <c r="W28" s="57" t="n">
        <f aca="false">-IF(W$5="A",Inputs_Actuals!W110,(W25+W26-W27))</f>
        <v>-38168.4405578123</v>
      </c>
      <c r="X28" s="57" t="n">
        <f aca="false">-IF(X$5="A",Inputs_Actuals!X110,(X25+X26-X27))</f>
        <v>-37039.9194244177</v>
      </c>
      <c r="Y28" s="57" t="n">
        <f aca="false">-IF(Y$5="A",Inputs_Actuals!Y110,(Y25+Y26-Y27))</f>
        <v>-36173.0831046638</v>
      </c>
      <c r="Z28" s="57" t="n">
        <f aca="false">-IF(Z$5="A",Inputs_Actuals!Z110,(Z25+Z26-Z27))</f>
        <v>-38997.732918946</v>
      </c>
      <c r="AA28" s="57" t="n">
        <f aca="false">-IF(AA$5="A",Inputs_Actuals!AA110,(AA25+AA26-AA27))</f>
        <v>-38176.4371417103</v>
      </c>
      <c r="AB28" s="57" t="n">
        <f aca="false">-IF(AB$5="A",Inputs_Actuals!AB110,(AB25+AB26-AB27))</f>
        <v>-42625.2401596963</v>
      </c>
    </row>
    <row r="29" customFormat="false" ht="15" hidden="false" customHeight="true" outlineLevel="0" collapsed="false">
      <c r="A29" s="70" t="s">
        <v>1022</v>
      </c>
      <c r="B29" s="71"/>
      <c r="C29" s="72" t="n">
        <f aca="false">P29</f>
        <v>30220.9318982027</v>
      </c>
      <c r="D29" s="72" t="n">
        <f aca="false">AB29</f>
        <v>32802.1344055976</v>
      </c>
      <c r="E29" s="72" t="n">
        <f aca="false">E25+E26+E28</f>
        <v>26674.452</v>
      </c>
      <c r="F29" s="72" t="n">
        <f aca="false">F25+F26+F28</f>
        <v>31140.92</v>
      </c>
      <c r="G29" s="72" t="n">
        <f aca="false">G25+G26+G28</f>
        <v>32209.6225</v>
      </c>
      <c r="H29" s="72" t="n">
        <f aca="false">H25+H26+H28</f>
        <v>32682.442</v>
      </c>
      <c r="I29" s="72" t="n">
        <f aca="false">I25+I26+I28</f>
        <v>24281.6135</v>
      </c>
      <c r="J29" s="72" t="n">
        <f aca="false">J25+J26+J28</f>
        <v>27304.335</v>
      </c>
      <c r="K29" s="72" t="n">
        <f aca="false">K25+K26+K28</f>
        <v>28863.7035</v>
      </c>
      <c r="L29" s="72" t="n">
        <f aca="false">L25+L26+L28</f>
        <v>31218.501</v>
      </c>
      <c r="M29" s="72" t="n">
        <f aca="false">M25+M26+M28</f>
        <v>29472.9366668128</v>
      </c>
      <c r="N29" s="72" t="n">
        <f aca="false">N25+N26+N28</f>
        <v>29065.2690526455</v>
      </c>
      <c r="O29" s="72" t="n">
        <f aca="false">O25+O26+O28</f>
        <v>31867.6569449212</v>
      </c>
      <c r="P29" s="72" t="n">
        <f aca="false">P25+P26+P28</f>
        <v>30220.9318982027</v>
      </c>
      <c r="Q29" s="72" t="n">
        <f aca="false">Q25+Q26+Q28</f>
        <v>29196.9690704111</v>
      </c>
      <c r="R29" s="72" t="n">
        <f aca="false">R25+R26+R28</f>
        <v>32142.3789382789</v>
      </c>
      <c r="S29" s="72" t="n">
        <f aca="false">S25+S26+S28</f>
        <v>29517.6760089055</v>
      </c>
      <c r="T29" s="72" t="n">
        <f aca="false">T25+T26+T28</f>
        <v>30719.9525060621</v>
      </c>
      <c r="U29" s="72" t="n">
        <f aca="false">U25+U26+U28</f>
        <v>30034.6775324032</v>
      </c>
      <c r="V29" s="72" t="n">
        <f aca="false">V25+V26+V28</f>
        <v>30999.5089445429</v>
      </c>
      <c r="W29" s="72" t="n">
        <f aca="false">W25+W26+W28</f>
        <v>29870.5483886223</v>
      </c>
      <c r="X29" s="72" t="n">
        <f aca="false">X25+X26+X28</f>
        <v>29872.3793158141</v>
      </c>
      <c r="Y29" s="72" t="n">
        <f aca="false">Y25+Y26+Y28</f>
        <v>31503.5189442485</v>
      </c>
      <c r="Z29" s="72" t="n">
        <f aca="false">Z25+Z26+Z28</f>
        <v>31225.8915612398</v>
      </c>
      <c r="AA29" s="72" t="n">
        <f aca="false">AA25+AA26+AA28</f>
        <v>34752.7279023528</v>
      </c>
      <c r="AB29" s="72" t="n">
        <f aca="false">AB25+AB26+AB28</f>
        <v>32802.1344055976</v>
      </c>
    </row>
    <row r="30" customFormat="false" ht="15" hidden="false" customHeight="true" outlineLevel="0" collapsed="false">
      <c r="A30" s="28" t="s">
        <v>1023</v>
      </c>
      <c r="B30" s="55" t="s">
        <v>315</v>
      </c>
      <c r="E30" s="67" t="n">
        <f aca="false">IF(E26=0,0,E29/E26*Assumptions!E$67)</f>
        <v>22.7500957150999</v>
      </c>
      <c r="F30" s="67" t="n">
        <f aca="false">IF(F26=0,0,F29/F26*Assumptions!F$67)</f>
        <v>26.0069075302674</v>
      </c>
      <c r="G30" s="67" t="n">
        <f aca="false">IF(G26=0,0,G29/G26*Assumptions!G$67)</f>
        <v>28.1880891922348</v>
      </c>
      <c r="H30" s="67" t="n">
        <f aca="false">IF(H26=0,0,H29/H26*Assumptions!H$67)</f>
        <v>28.5662213735092</v>
      </c>
      <c r="I30" s="67" t="n">
        <f aca="false">IF(I26=0,0,I29/I26*Assumptions!I$67)</f>
        <v>21.6605652704399</v>
      </c>
      <c r="J30" s="67" t="n">
        <f aca="false">IF(J26=0,0,J29/J26*Assumptions!J$67)</f>
        <v>22.0827141865504</v>
      </c>
      <c r="K30" s="67" t="n">
        <f aca="false">IF(K26=0,0,K29/K26*Assumptions!K$67)</f>
        <v>25.4426021639303</v>
      </c>
      <c r="L30" s="67" t="n">
        <f aca="false">IF(L26=0,0,L29/L26*Assumptions!L$67)</f>
        <v>26.0962333959084</v>
      </c>
      <c r="M30" s="67" t="n">
        <f aca="false">IF(M26=0,0,M29/M26*Assumptions!M$67)</f>
        <v>25</v>
      </c>
      <c r="N30" s="67" t="n">
        <f aca="false">IF(N26=0,0,N29/N26*Assumptions!N$67)</f>
        <v>25</v>
      </c>
      <c r="O30" s="67" t="n">
        <f aca="false">IF(O26=0,0,O29/O26*Assumptions!O$67)</f>
        <v>25</v>
      </c>
      <c r="P30" s="67" t="n">
        <f aca="false">IF(P26=0,0,P29/P26*Assumptions!P$67)</f>
        <v>25</v>
      </c>
      <c r="Q30" s="67" t="n">
        <f aca="false">IF(Q26=0,0,Q29/Q26*Assumptions!Q$67)</f>
        <v>25</v>
      </c>
      <c r="R30" s="67" t="n">
        <f aca="false">IF(R26=0,0,R29/R26*Assumptions!R$67)</f>
        <v>25</v>
      </c>
      <c r="S30" s="67" t="n">
        <f aca="false">IF(S26=0,0,S29/S26*Assumptions!S$67)</f>
        <v>25</v>
      </c>
      <c r="T30" s="67" t="n">
        <f aca="false">IF(T26=0,0,T29/T26*Assumptions!T$67)</f>
        <v>25</v>
      </c>
      <c r="U30" s="67" t="n">
        <f aca="false">IF(U26=0,0,U29/U26*Assumptions!U$67)</f>
        <v>25</v>
      </c>
      <c r="V30" s="67" t="n">
        <f aca="false">IF(V26=0,0,V29/V26*Assumptions!V$67)</f>
        <v>25</v>
      </c>
      <c r="W30" s="67" t="n">
        <f aca="false">IF(W26=0,0,W29/W26*Assumptions!W$67)</f>
        <v>25</v>
      </c>
      <c r="X30" s="67" t="n">
        <f aca="false">IF(X26=0,0,X29/X26*Assumptions!X$67)</f>
        <v>25</v>
      </c>
      <c r="Y30" s="67" t="n">
        <f aca="false">IF(Y26=0,0,Y29/Y26*Assumptions!Y$67)</f>
        <v>25</v>
      </c>
      <c r="Z30" s="67" t="n">
        <f aca="false">IF(Z26=0,0,Z29/Z26*Assumptions!Z$67)</f>
        <v>25</v>
      </c>
      <c r="AA30" s="67" t="n">
        <f aca="false">IF(AA26=0,0,AA29/AA26*Assumptions!AA$67)</f>
        <v>25</v>
      </c>
      <c r="AB30" s="67" t="n">
        <f aca="false">IF(AB26=0,0,AB29/AB26*Assumptions!AB$67)</f>
        <v>25</v>
      </c>
    </row>
    <row r="32" customFormat="false" ht="15" hidden="false" customHeight="true" outlineLevel="0" collapsed="false">
      <c r="A32" s="22" t="s">
        <v>1026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row>
    <row r="33" customFormat="false" ht="15" hidden="false" customHeight="true" outlineLevel="0" collapsed="false">
      <c r="A33" s="28" t="s">
        <v>1027</v>
      </c>
      <c r="B33" s="55" t="s">
        <v>310</v>
      </c>
      <c r="C33" s="56" t="n">
        <f aca="false">SUM(E33:P33)</f>
        <v>1360938.230313</v>
      </c>
      <c r="D33" s="56" t="n">
        <f aca="false">SUM(Q33:AB33)</f>
        <v>1667831.50645807</v>
      </c>
      <c r="E33" s="69" t="n">
        <f aca="false">E10+E18+E26</f>
        <v>113639.4365</v>
      </c>
      <c r="F33" s="69" t="n">
        <f aca="false">F10+F18+F26</f>
        <v>79989.177</v>
      </c>
      <c r="G33" s="69" t="n">
        <f aca="false">G10+G18+G26</f>
        <v>100391.536</v>
      </c>
      <c r="H33" s="69" t="n">
        <f aca="false">H10+H18+H26</f>
        <v>84490.1215</v>
      </c>
      <c r="I33" s="69" t="n">
        <f aca="false">I10+I18+I26</f>
        <v>114395.0235</v>
      </c>
      <c r="J33" s="69" t="n">
        <f aca="false">J10+J18+J26</f>
        <v>104821.1245</v>
      </c>
      <c r="K33" s="69" t="n">
        <f aca="false">K10+K18+K26</f>
        <v>95061.7545</v>
      </c>
      <c r="L33" s="69" t="n">
        <f aca="false">L10+L18+L26</f>
        <v>97946.112</v>
      </c>
      <c r="M33" s="69" t="n">
        <f aca="false">M10+M18+M26</f>
        <v>129075.551382475</v>
      </c>
      <c r="N33" s="69" t="n">
        <f aca="false">N10+N18+N26</f>
        <v>152216.888170844</v>
      </c>
      <c r="O33" s="69" t="n">
        <f aca="false">O10+O18+O26</f>
        <v>142710.525235388</v>
      </c>
      <c r="P33" s="69" t="n">
        <f aca="false">P10+P18+P26</f>
        <v>146200.980024294</v>
      </c>
      <c r="Q33" s="69" t="n">
        <f aca="false">Q10+Q18+Q26</f>
        <v>130803.318161847</v>
      </c>
      <c r="R33" s="69" t="n">
        <f aca="false">R10+R18+R26</f>
        <v>91467.179665468</v>
      </c>
      <c r="S33" s="69" t="n">
        <f aca="false">S10+S18+S26</f>
        <v>113364.712389491</v>
      </c>
      <c r="T33" s="69" t="n">
        <f aca="false">T10+T18+T26</f>
        <v>117279.466097412</v>
      </c>
      <c r="U33" s="69" t="n">
        <f aca="false">U10+U18+U26</f>
        <v>124187.995254364</v>
      </c>
      <c r="V33" s="69" t="n">
        <f aca="false">V10+V18+V26</f>
        <v>118806.725519734</v>
      </c>
      <c r="W33" s="69" t="n">
        <f aca="false">W10+W18+W26</f>
        <v>123408.130245345</v>
      </c>
      <c r="X33" s="69" t="n">
        <f aca="false">X10+X18+X26</f>
        <v>134448.824612595</v>
      </c>
      <c r="Y33" s="69" t="n">
        <f aca="false">Y10+Y18+Y26</f>
        <v>145230.66760415</v>
      </c>
      <c r="Z33" s="69" t="n">
        <f aca="false">Z10+Z18+Z26</f>
        <v>191919.001241862</v>
      </c>
      <c r="AA33" s="69" t="n">
        <f aca="false">AA10+AA18+AA26</f>
        <v>190053.501163037</v>
      </c>
      <c r="AB33" s="69" t="n">
        <f aca="false">AB10+AB18+AB26</f>
        <v>186861.984502762</v>
      </c>
    </row>
    <row r="34" customFormat="false" ht="15" hidden="false" customHeight="true" outlineLevel="0" collapsed="false">
      <c r="A34" s="28" t="s">
        <v>1021</v>
      </c>
      <c r="B34" s="55" t="s">
        <v>310</v>
      </c>
      <c r="C34" s="56" t="n">
        <f aca="false">SUM(E34:P34)</f>
        <v>-1383354.19316061</v>
      </c>
      <c r="D34" s="56" t="n">
        <f aca="false">SUM(Q34:AB34)</f>
        <v>-1636431.55708246</v>
      </c>
      <c r="E34" s="69" t="n">
        <f aca="false">E12+E20+E28</f>
        <v>-145951</v>
      </c>
      <c r="F34" s="69" t="n">
        <f aca="false">F12+F20+F28</f>
        <v>-111846</v>
      </c>
      <c r="G34" s="69" t="n">
        <f aca="false">G12+G20+G28</f>
        <v>-94598</v>
      </c>
      <c r="H34" s="69" t="n">
        <f aca="false">H12+H20+H28</f>
        <v>-92282</v>
      </c>
      <c r="I34" s="69" t="n">
        <f aca="false">I12+I20+I28</f>
        <v>-96450</v>
      </c>
      <c r="J34" s="69" t="n">
        <f aca="false">J12+J20+J28</f>
        <v>-111411</v>
      </c>
      <c r="K34" s="69" t="n">
        <f aca="false">K12+K20+K28</f>
        <v>-101453</v>
      </c>
      <c r="L34" s="69" t="n">
        <f aca="false">L12+L20+L28</f>
        <v>-93444</v>
      </c>
      <c r="M34" s="69" t="n">
        <f aca="false">M12+M20+M28</f>
        <v>-98315.0236923962</v>
      </c>
      <c r="N34" s="69" t="n">
        <f aca="false">N12+N20+N28</f>
        <v>-136267.626048227</v>
      </c>
      <c r="O34" s="69" t="n">
        <f aca="false">O12+O20+O28</f>
        <v>-158930.950638378</v>
      </c>
      <c r="P34" s="69" t="n">
        <f aca="false">P12+P20+P28</f>
        <v>-142405.592781606</v>
      </c>
      <c r="Q34" s="69" t="n">
        <f aca="false">Q12+Q20+Q28</f>
        <v>-134860.042100271</v>
      </c>
      <c r="R34" s="69" t="n">
        <f aca="false">R12+R20+R28</f>
        <v>-121557.546109667</v>
      </c>
      <c r="S34" s="69" t="n">
        <f aca="false">S12+S20+S28</f>
        <v>-101823.266803996</v>
      </c>
      <c r="T34" s="69" t="n">
        <f aca="false">T12+T20+T28</f>
        <v>-111722.860268462</v>
      </c>
      <c r="U34" s="69" t="n">
        <f aca="false">U12+U20+U28</f>
        <v>-122008.12445418</v>
      </c>
      <c r="V34" s="69" t="n">
        <f aca="false">V12+V20+V28</f>
        <v>-120849.154121922</v>
      </c>
      <c r="W34" s="69" t="n">
        <f aca="false">W12+W20+W28</f>
        <v>-121035.878739426</v>
      </c>
      <c r="X34" s="69" t="n">
        <f aca="false">X12+X20+X28</f>
        <v>-123687.751737529</v>
      </c>
      <c r="Y34" s="69" t="n">
        <f aca="false">Y12+Y20+Y28</f>
        <v>-134433.53832103</v>
      </c>
      <c r="Z34" s="69" t="n">
        <f aca="false">Z12+Z20+Z28</f>
        <v>-154332.04587657</v>
      </c>
      <c r="AA34" s="69" t="n">
        <f aca="false">AA12+AA20+AA28</f>
        <v>-200317.888040561</v>
      </c>
      <c r="AB34" s="69" t="n">
        <f aca="false">AB12+AB20+AB28</f>
        <v>-189803.460508844</v>
      </c>
    </row>
    <row r="35" customFormat="false" ht="15" hidden="false" customHeight="true" outlineLevel="0" collapsed="false">
      <c r="A35" s="70" t="s">
        <v>1028</v>
      </c>
      <c r="B35" s="71" t="s">
        <v>310</v>
      </c>
      <c r="C35" s="72" t="n">
        <f aca="false">P35</f>
        <v>106284.037152393</v>
      </c>
      <c r="D35" s="72" t="n">
        <f aca="false">AB35</f>
        <v>137683.986528005</v>
      </c>
      <c r="E35" s="72" t="n">
        <f aca="false">E13+E21+E29</f>
        <v>96388.4365</v>
      </c>
      <c r="F35" s="72" t="n">
        <f aca="false">F13+F21+F29</f>
        <v>64531.6135</v>
      </c>
      <c r="G35" s="72" t="n">
        <f aca="false">G13+G21+G29</f>
        <v>70325.1495</v>
      </c>
      <c r="H35" s="72" t="n">
        <f aca="false">H13+H21+H29</f>
        <v>62533.271</v>
      </c>
      <c r="I35" s="72" t="n">
        <f aca="false">I13+I21+I29</f>
        <v>80478.2945</v>
      </c>
      <c r="J35" s="72" t="n">
        <f aca="false">J13+J21+J29</f>
        <v>73888.419</v>
      </c>
      <c r="K35" s="72" t="n">
        <f aca="false">K13+K21+K29</f>
        <v>67497.1735</v>
      </c>
      <c r="L35" s="72" t="n">
        <f aca="false">L13+L21+L29</f>
        <v>71999.2855</v>
      </c>
      <c r="M35" s="72" t="n">
        <f aca="false">M13+M21+M29</f>
        <v>102759.813190079</v>
      </c>
      <c r="N35" s="72" t="n">
        <f aca="false">N13+N21+N29</f>
        <v>118709.075312696</v>
      </c>
      <c r="O35" s="72" t="n">
        <f aca="false">O13+O21+O29</f>
        <v>102488.649909705</v>
      </c>
      <c r="P35" s="72" t="n">
        <f aca="false">P13+P21+P29</f>
        <v>106284.037152393</v>
      </c>
      <c r="Q35" s="72" t="n">
        <f aca="false">Q13+Q21+Q29</f>
        <v>102227.31321397</v>
      </c>
      <c r="R35" s="72" t="n">
        <f aca="false">R13+R21+R29</f>
        <v>72136.9467697715</v>
      </c>
      <c r="S35" s="72" t="n">
        <f aca="false">S13+S21+S29</f>
        <v>83678.3923552663</v>
      </c>
      <c r="T35" s="72" t="n">
        <f aca="false">T13+T21+T29</f>
        <v>89234.9981842166</v>
      </c>
      <c r="U35" s="72" t="n">
        <f aca="false">U13+U21+U29</f>
        <v>91414.8689844011</v>
      </c>
      <c r="V35" s="72" t="n">
        <f aca="false">V13+V21+V29</f>
        <v>89372.4403822132</v>
      </c>
      <c r="W35" s="72" t="n">
        <f aca="false">W13+W21+W29</f>
        <v>91744.6918881328</v>
      </c>
      <c r="X35" s="72" t="n">
        <f aca="false">X13+X21+X29</f>
        <v>102505.7647632</v>
      </c>
      <c r="Y35" s="72" t="n">
        <f aca="false">Y13+Y21+Y29</f>
        <v>113302.894046319</v>
      </c>
      <c r="Z35" s="72" t="n">
        <f aca="false">Z13+Z21+Z29</f>
        <v>150889.849411612</v>
      </c>
      <c r="AA35" s="72" t="n">
        <f aca="false">AA13+AA21+AA29</f>
        <v>140625.462534087</v>
      </c>
      <c r="AB35" s="72" t="n">
        <f aca="false">AB13+AB21+AB29</f>
        <v>137683.986528005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1029</v>
      </c>
    </row>
    <row r="3" customFormat="false" ht="15" hidden="false" customHeight="true" outlineLevel="0" collapsed="false">
      <c r="A3" s="25" t="s">
        <v>1030</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1031</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1032</v>
      </c>
      <c r="B9" s="55" t="s">
        <v>1033</v>
      </c>
      <c r="C9" s="56" t="n">
        <f aca="false">SUM(E9:P9)</f>
        <v>410253.335515707</v>
      </c>
      <c r="D9" s="56" t="n">
        <f aca="false">SUM(Q9:AB9)</f>
        <v>496805.020005091</v>
      </c>
      <c r="E9" s="57" t="n">
        <f aca="false">(Channel_PL!E13+Channel_PL!E14+Channel_PL!E15+Channel_PL!E17)*Assumptions!$C$20</f>
        <v>25936.19</v>
      </c>
      <c r="F9" s="57" t="n">
        <f aca="false">(Channel_PL!F13+Channel_PL!F14+Channel_PL!F15+Channel_PL!F17)*Assumptions!$C$20</f>
        <v>26091.6989</v>
      </c>
      <c r="G9" s="57" t="n">
        <f aca="false">(Channel_PL!G13+Channel_PL!G14+Channel_PL!G15+Channel_PL!G17)*Assumptions!$C$20</f>
        <v>29569.5239</v>
      </c>
      <c r="H9" s="57" t="n">
        <f aca="false">(Channel_PL!H13+Channel_PL!H14+Channel_PL!H15+Channel_PL!H17)*Assumptions!$C$20</f>
        <v>29329.8379</v>
      </c>
      <c r="I9" s="57" t="n">
        <f aca="false">(Channel_PL!I13+Channel_PL!I14+Channel_PL!I15+Channel_PL!I17)*Assumptions!$C$20</f>
        <v>33743.1312</v>
      </c>
      <c r="J9" s="57" t="n">
        <f aca="false">(Channel_PL!J13+Channel_PL!J14+Channel_PL!J15+Channel_PL!J17)*Assumptions!$C$20</f>
        <v>31586.86125</v>
      </c>
      <c r="K9" s="57" t="n">
        <f aca="false">(Channel_PL!K13+Channel_PL!K14+Channel_PL!K15+Channel_PL!K17)*Assumptions!$C$20</f>
        <v>29384.37815</v>
      </c>
      <c r="L9" s="57" t="n">
        <f aca="false">(Channel_PL!L13+Channel_PL!L14+Channel_PL!L15+Channel_PL!L17)*Assumptions!$C$20</f>
        <v>29916.11125</v>
      </c>
      <c r="M9" s="57" t="n">
        <f aca="false">(Channel_PL!M13+Channel_PL!M14+Channel_PL!M15+Channel_PL!M17)*Assumptions!$C$20</f>
        <v>33050.0204692255</v>
      </c>
      <c r="N9" s="57" t="n">
        <f aca="false">(Channel_PL!N13+Channel_PL!N14+Channel_PL!N15+Channel_PL!N17)*Assumptions!$C$20</f>
        <v>38104.1399138415</v>
      </c>
      <c r="O9" s="57" t="n">
        <f aca="false">(Channel_PL!O13+Channel_PL!O14+Channel_PL!O15+Channel_PL!O17)*Assumptions!$C$20</f>
        <v>54780.8724238671</v>
      </c>
      <c r="P9" s="57" t="n">
        <f aca="false">(Channel_PL!P13+Channel_PL!P14+Channel_PL!P15+Channel_PL!P17)*Assumptions!$C$20</f>
        <v>48760.5701587725</v>
      </c>
      <c r="Q9" s="57" t="n">
        <f aca="false">(Channel_PL!Q13+Channel_PL!Q14+Channel_PL!Q15+Channel_PL!Q17)*Assumptions!$C$20</f>
        <v>30967.4956663393</v>
      </c>
      <c r="R9" s="57" t="n">
        <f aca="false">(Channel_PL!R13+Channel_PL!R14+Channel_PL!R15+Channel_PL!R17)*Assumptions!$C$20</f>
        <v>29357.2709113146</v>
      </c>
      <c r="S9" s="57" t="n">
        <f aca="false">(Channel_PL!S13+Channel_PL!S14+Channel_PL!S15+Channel_PL!S17)*Assumptions!$C$20</f>
        <v>33657.850413246</v>
      </c>
      <c r="T9" s="57" t="n">
        <f aca="false">(Channel_PL!T13+Channel_PL!T14+Channel_PL!T15+Channel_PL!T17)*Assumptions!$C$20</f>
        <v>35444.1937062355</v>
      </c>
      <c r="U9" s="57" t="n">
        <f aca="false">(Channel_PL!U13+Channel_PL!U14+Channel_PL!U15+Channel_PL!U17)*Assumptions!$C$20</f>
        <v>38063.3166512594</v>
      </c>
      <c r="V9" s="57" t="n">
        <f aca="false">(Channel_PL!V13+Channel_PL!V14+Channel_PL!V15+Channel_PL!V17)*Assumptions!$C$20</f>
        <v>37603.0151563069</v>
      </c>
      <c r="W9" s="57" t="n">
        <f aca="false">(Channel_PL!W13+Channel_PL!W14+Channel_PL!W15+Channel_PL!W17)*Assumptions!$C$20</f>
        <v>36304.4781731189</v>
      </c>
      <c r="X9" s="57" t="n">
        <f aca="false">(Channel_PL!X13+Channel_PL!X14+Channel_PL!X15+Channel_PL!X17)*Assumptions!$C$20</f>
        <v>36175.8795228758</v>
      </c>
      <c r="Y9" s="57" t="n">
        <f aca="false">(Channel_PL!Y13+Channel_PL!Y14+Channel_PL!Y15+Channel_PL!Y17)*Assumptions!$C$20</f>
        <v>41475.3892313773</v>
      </c>
      <c r="Z9" s="57" t="n">
        <f aca="false">(Channel_PL!Z13+Channel_PL!Z14+Channel_PL!Z15+Channel_PL!Z17)*Assumptions!$C$20</f>
        <v>47818.093803243</v>
      </c>
      <c r="AA9" s="57" t="n">
        <f aca="false">(Channel_PL!AA13+Channel_PL!AA14+Channel_PL!AA15+Channel_PL!AA17)*Assumptions!$C$20</f>
        <v>68746.4690126698</v>
      </c>
      <c r="AB9" s="57" t="n">
        <f aca="false">(Channel_PL!AB13+Channel_PL!AB14+Channel_PL!AB15+Channel_PL!AB17)*Assumptions!$C$20</f>
        <v>61191.5677571049</v>
      </c>
    </row>
    <row r="10" customFormat="false" ht="15" hidden="false" customHeight="true" outlineLevel="0" collapsed="false">
      <c r="A10" s="28" t="s">
        <v>1034</v>
      </c>
      <c r="B10" s="55"/>
      <c r="C10" s="56" t="n">
        <f aca="false">SUM(E10:P10)</f>
        <v>373488.96406529</v>
      </c>
      <c r="D10" s="56" t="n">
        <f aca="false">SUM(Q10:AB10)</f>
        <v>466682.622489292</v>
      </c>
      <c r="E10" s="57" t="n">
        <f aca="false">(Channel_PL!E51+Channel_PL!E52+Channel_PL!E53)*Assumptions!$C$21</f>
        <v>26035.01435</v>
      </c>
      <c r="F10" s="57" t="n">
        <f aca="false">(Channel_PL!F51+Channel_PL!F52+Channel_PL!F53)*Assumptions!$C$21</f>
        <v>22190.7129</v>
      </c>
      <c r="G10" s="57" t="n">
        <f aca="false">(Channel_PL!G51+Channel_PL!G52+Channel_PL!G53)*Assumptions!$C$21</f>
        <v>26224.4897</v>
      </c>
      <c r="H10" s="57" t="n">
        <f aca="false">(Channel_PL!H51+Channel_PL!H52+Channel_PL!H53)*Assumptions!$C$21</f>
        <v>28767.9493</v>
      </c>
      <c r="I10" s="57" t="n">
        <f aca="false">(Channel_PL!I51+Channel_PL!I52+Channel_PL!I53)*Assumptions!$C$21</f>
        <v>31277.9324</v>
      </c>
      <c r="J10" s="57" t="n">
        <f aca="false">(Channel_PL!J51+Channel_PL!J52+Channel_PL!J53)*Assumptions!$C$21</f>
        <v>28621.3948</v>
      </c>
      <c r="K10" s="57" t="n">
        <f aca="false">(Channel_PL!K51+Channel_PL!K52+Channel_PL!K53)*Assumptions!$C$21</f>
        <v>25774.05755</v>
      </c>
      <c r="L10" s="57" t="n">
        <f aca="false">(Channel_PL!L51+Channel_PL!L52+Channel_PL!L53)*Assumptions!$C$21</f>
        <v>25110.2163</v>
      </c>
      <c r="M10" s="57" t="n">
        <f aca="false">(Channel_PL!M51+Channel_PL!M52+Channel_PL!M53)*Assumptions!$C$21</f>
        <v>30005.5350715502</v>
      </c>
      <c r="N10" s="57" t="n">
        <f aca="false">(Channel_PL!N51+Channel_PL!N52+Channel_PL!N53)*Assumptions!$C$21</f>
        <v>34708.436364223</v>
      </c>
      <c r="O10" s="57" t="n">
        <f aca="false">(Channel_PL!O51+Channel_PL!O52+Channel_PL!O53)*Assumptions!$C$21</f>
        <v>50063.9322734245</v>
      </c>
      <c r="P10" s="57" t="n">
        <f aca="false">(Channel_PL!P51+Channel_PL!P52+Channel_PL!P53)*Assumptions!$C$21</f>
        <v>44709.2930560919</v>
      </c>
      <c r="Q10" s="57" t="n">
        <f aca="false">(Channel_PL!Q51+Channel_PL!Q52+Channel_PL!Q53)*Assumptions!$C$21</f>
        <v>28488.3969996082</v>
      </c>
      <c r="R10" s="57" t="n">
        <f aca="false">(Channel_PL!R51+Channel_PL!R52+Channel_PL!R53)*Assumptions!$C$21</f>
        <v>27096.3250608494</v>
      </c>
      <c r="S10" s="57" t="n">
        <f aca="false">(Channel_PL!S51+Channel_PL!S52+Channel_PL!S53)*Assumptions!$C$21</f>
        <v>31168.3463525248</v>
      </c>
      <c r="T10" s="57" t="n">
        <f aca="false">(Channel_PL!T51+Channel_PL!T52+Channel_PL!T53)*Assumptions!$C$21</f>
        <v>32931.009595773</v>
      </c>
      <c r="U10" s="57" t="n">
        <f aca="false">(Channel_PL!U51+Channel_PL!U52+Channel_PL!U53)*Assumptions!$C$21</f>
        <v>35481.2586732593</v>
      </c>
      <c r="V10" s="57" t="n">
        <f aca="false">(Channel_PL!V51+Channel_PL!V52+Channel_PL!V53)*Assumptions!$C$21</f>
        <v>35167.9774641492</v>
      </c>
      <c r="W10" s="57" t="n">
        <f aca="false">(Channel_PL!W51+Channel_PL!W52+Channel_PL!W53)*Assumptions!$C$21</f>
        <v>34065.6862130149</v>
      </c>
      <c r="X10" s="57" t="n">
        <f aca="false">(Channel_PL!X51+Channel_PL!X52+Channel_PL!X53)*Assumptions!$C$21</f>
        <v>34057.1380333515</v>
      </c>
      <c r="Y10" s="57" t="n">
        <f aca="false">(Channel_PL!Y51+Channel_PL!Y52+Channel_PL!Y53)*Assumptions!$C$21</f>
        <v>39175.2265894159</v>
      </c>
      <c r="Z10" s="57" t="n">
        <f aca="false">(Channel_PL!Z51+Channel_PL!Z52+Channel_PL!Z53)*Assumptions!$C$21</f>
        <v>45315.3345171295</v>
      </c>
      <c r="AA10" s="57" t="n">
        <f aca="false">(Channel_PL!AA51+Channel_PL!AA52+Channel_PL!AA53)*Assumptions!$C$21</f>
        <v>65363.469976183</v>
      </c>
      <c r="AB10" s="57" t="n">
        <f aca="false">(Channel_PL!AB51+Channel_PL!AB52+Channel_PL!AB53)*Assumptions!$C$21</f>
        <v>58372.4530140335</v>
      </c>
    </row>
    <row r="11" customFormat="false" ht="15" hidden="false" customHeight="true" outlineLevel="0" collapsed="false">
      <c r="A11" s="28" t="s">
        <v>1035</v>
      </c>
      <c r="B11" s="55"/>
      <c r="C11" s="56" t="n">
        <f aca="false">SUM(E11:P11)</f>
        <v>0</v>
      </c>
      <c r="D11" s="56" t="n">
        <f aca="false">SUM(Q11:AB11)</f>
        <v>0</v>
      </c>
      <c r="E11" s="57" t="n">
        <f aca="false">Channel_PL!E89*Assumptions!$C$22</f>
        <v>0</v>
      </c>
      <c r="F11" s="57" t="n">
        <f aca="false">Channel_PL!F89*Assumptions!$C$22</f>
        <v>0</v>
      </c>
      <c r="G11" s="57" t="n">
        <f aca="false">Channel_PL!G89*Assumptions!$C$22</f>
        <v>0</v>
      </c>
      <c r="H11" s="57" t="n">
        <f aca="false">Channel_PL!H89*Assumptions!$C$22</f>
        <v>0</v>
      </c>
      <c r="I11" s="57" t="n">
        <f aca="false">Channel_PL!I89*Assumptions!$C$22</f>
        <v>0</v>
      </c>
      <c r="J11" s="57" t="n">
        <f aca="false">Channel_PL!J89*Assumptions!$C$22</f>
        <v>0</v>
      </c>
      <c r="K11" s="57" t="n">
        <f aca="false">Channel_PL!K89*Assumptions!$C$22</f>
        <v>0</v>
      </c>
      <c r="L11" s="57" t="n">
        <f aca="false">Channel_PL!L89*Assumptions!$C$22</f>
        <v>0</v>
      </c>
      <c r="M11" s="57" t="n">
        <f aca="false">Channel_PL!M89*Assumptions!$C$22</f>
        <v>0</v>
      </c>
      <c r="N11" s="57" t="n">
        <f aca="false">Channel_PL!N89*Assumptions!$C$22</f>
        <v>0</v>
      </c>
      <c r="O11" s="57" t="n">
        <f aca="false">Channel_PL!O89*Assumptions!$C$22</f>
        <v>0</v>
      </c>
      <c r="P11" s="57" t="n">
        <f aca="false">Channel_PL!P89*Assumptions!$C$22</f>
        <v>0</v>
      </c>
      <c r="Q11" s="57" t="n">
        <f aca="false">Channel_PL!Q89*Assumptions!$C$22</f>
        <v>0</v>
      </c>
      <c r="R11" s="57" t="n">
        <f aca="false">Channel_PL!R89*Assumptions!$C$22</f>
        <v>0</v>
      </c>
      <c r="S11" s="57" t="n">
        <f aca="false">Channel_PL!S89*Assumptions!$C$22</f>
        <v>0</v>
      </c>
      <c r="T11" s="57" t="n">
        <f aca="false">Channel_PL!T89*Assumptions!$C$22</f>
        <v>0</v>
      </c>
      <c r="U11" s="57" t="n">
        <f aca="false">Channel_PL!U89*Assumptions!$C$22</f>
        <v>0</v>
      </c>
      <c r="V11" s="57" t="n">
        <f aca="false">Channel_PL!V89*Assumptions!$C$22</f>
        <v>0</v>
      </c>
      <c r="W11" s="57" t="n">
        <f aca="false">Channel_PL!W89*Assumptions!$C$22</f>
        <v>0</v>
      </c>
      <c r="X11" s="57" t="n">
        <f aca="false">Channel_PL!X89*Assumptions!$C$22</f>
        <v>0</v>
      </c>
      <c r="Y11" s="57" t="n">
        <f aca="false">Channel_PL!Y89*Assumptions!$C$22</f>
        <v>0</v>
      </c>
      <c r="Z11" s="57" t="n">
        <f aca="false">Channel_PL!Z89*Assumptions!$C$22</f>
        <v>0</v>
      </c>
      <c r="AA11" s="57" t="n">
        <f aca="false">Channel_PL!AA89*Assumptions!$C$22</f>
        <v>0</v>
      </c>
      <c r="AB11" s="57" t="n">
        <f aca="false">Channel_PL!AB89*Assumptions!$C$22</f>
        <v>0</v>
      </c>
    </row>
    <row r="12" customFormat="false" ht="15" hidden="false" customHeight="true" outlineLevel="0" collapsed="false">
      <c r="A12" s="70" t="s">
        <v>1036</v>
      </c>
      <c r="B12" s="71" t="s">
        <v>310</v>
      </c>
      <c r="C12" s="72" t="n">
        <f aca="false">SUM(E12:P12)</f>
        <v>783742.299580996</v>
      </c>
      <c r="D12" s="72" t="n">
        <f aca="false">SUM(Q12:AB12)</f>
        <v>963487.642494384</v>
      </c>
      <c r="E12" s="72" t="n">
        <f aca="false">E9+E10+E11</f>
        <v>51971.20435</v>
      </c>
      <c r="F12" s="72" t="n">
        <f aca="false">F9+F10+F11</f>
        <v>48282.4118</v>
      </c>
      <c r="G12" s="72" t="n">
        <f aca="false">G9+G10+G11</f>
        <v>55794.0136</v>
      </c>
      <c r="H12" s="72" t="n">
        <f aca="false">H9+H10+H11</f>
        <v>58097.7872</v>
      </c>
      <c r="I12" s="72" t="n">
        <f aca="false">I9+I10+I11</f>
        <v>65021.0636</v>
      </c>
      <c r="J12" s="72" t="n">
        <f aca="false">J9+J10+J11</f>
        <v>60208.25605</v>
      </c>
      <c r="K12" s="72" t="n">
        <f aca="false">K9+K10+K11</f>
        <v>55158.4357</v>
      </c>
      <c r="L12" s="72" t="n">
        <f aca="false">L9+L10+L11</f>
        <v>55026.32755</v>
      </c>
      <c r="M12" s="72" t="n">
        <f aca="false">M9+M10+M11</f>
        <v>63055.5555407757</v>
      </c>
      <c r="N12" s="72" t="n">
        <f aca="false">N9+N10+N11</f>
        <v>72812.5762780645</v>
      </c>
      <c r="O12" s="72" t="n">
        <f aca="false">O9+O10+O11</f>
        <v>104844.804697292</v>
      </c>
      <c r="P12" s="72" t="n">
        <f aca="false">P9+P10+P11</f>
        <v>93469.8632148644</v>
      </c>
      <c r="Q12" s="72" t="n">
        <f aca="false">Q9+Q10+Q11</f>
        <v>59455.8926659475</v>
      </c>
      <c r="R12" s="72" t="n">
        <f aca="false">R9+R10+R11</f>
        <v>56453.595972164</v>
      </c>
      <c r="S12" s="72" t="n">
        <f aca="false">S9+S10+S11</f>
        <v>64826.1967657708</v>
      </c>
      <c r="T12" s="72" t="n">
        <f aca="false">T9+T10+T11</f>
        <v>68375.2033020085</v>
      </c>
      <c r="U12" s="72" t="n">
        <f aca="false">U9+U10+U11</f>
        <v>73544.5753245187</v>
      </c>
      <c r="V12" s="72" t="n">
        <f aca="false">V9+V10+V11</f>
        <v>72770.992620456</v>
      </c>
      <c r="W12" s="72" t="n">
        <f aca="false">W9+W10+W11</f>
        <v>70370.1643861338</v>
      </c>
      <c r="X12" s="72" t="n">
        <f aca="false">X9+X10+X11</f>
        <v>70233.0175562274</v>
      </c>
      <c r="Y12" s="72" t="n">
        <f aca="false">Y9+Y10+Y11</f>
        <v>80650.6158207932</v>
      </c>
      <c r="Z12" s="72" t="n">
        <f aca="false">Z9+Z10+Z11</f>
        <v>93133.4283203725</v>
      </c>
      <c r="AA12" s="72" t="n">
        <f aca="false">AA9+AA10+AA11</f>
        <v>134109.938988853</v>
      </c>
      <c r="AB12" s="72" t="n">
        <f aca="false">AB9+AB10+AB11</f>
        <v>119564.020771138</v>
      </c>
    </row>
    <row r="13" customFormat="false" ht="15" hidden="false" customHeight="true" outlineLevel="0" collapsed="false">
      <c r="A13" s="22" t="s">
        <v>1037</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row>
    <row r="14" customFormat="false" ht="15" hidden="false" customHeight="true" outlineLevel="0" collapsed="false">
      <c r="A14" s="28" t="s">
        <v>1038</v>
      </c>
      <c r="B14" s="55"/>
      <c r="C14" s="56" t="n">
        <f aca="false">SUM(E14:P14)</f>
        <v>48782.2836885992</v>
      </c>
      <c r="D14" s="56" t="n">
        <f aca="false">SUM(Q14:AB14)</f>
        <v>57589.6696143249</v>
      </c>
      <c r="E14" s="57" t="n">
        <f aca="false">-(Channel_PL!E26+Channel_PL!E27)*Assumptions!$C$23*Assumptions!$C$19</f>
        <v>2983.9845</v>
      </c>
      <c r="F14" s="57" t="n">
        <f aca="false">-(Channel_PL!F26+Channel_PL!F27)*Assumptions!$C$23*Assumptions!$C$19</f>
        <v>3047.709</v>
      </c>
      <c r="G14" s="57" t="n">
        <f aca="false">-(Channel_PL!G26+Channel_PL!G27)*Assumptions!$C$23*Assumptions!$C$19</f>
        <v>3539.8335</v>
      </c>
      <c r="H14" s="57" t="n">
        <f aca="false">-(Channel_PL!H26+Channel_PL!H27)*Assumptions!$C$23*Assumptions!$C$19</f>
        <v>3529.302</v>
      </c>
      <c r="I14" s="57" t="n">
        <f aca="false">-(Channel_PL!I26+Channel_PL!I27)*Assumptions!$C$23*Assumptions!$C$19</f>
        <v>3939.852</v>
      </c>
      <c r="J14" s="57" t="n">
        <f aca="false">-(Channel_PL!J26+Channel_PL!J27)*Assumptions!$C$23*Assumptions!$C$19</f>
        <v>3812.403</v>
      </c>
      <c r="K14" s="57" t="n">
        <f aca="false">-(Channel_PL!K26+Channel_PL!K27)*Assumptions!$C$23*Assumptions!$C$19</f>
        <v>3676.386</v>
      </c>
      <c r="L14" s="57" t="n">
        <f aca="false">-(Channel_PL!L26+Channel_PL!L27)*Assumptions!$C$23*Assumptions!$C$19</f>
        <v>3587.3145</v>
      </c>
      <c r="M14" s="57" t="n">
        <f aca="false">-(Channel_PL!M26+Channel_PL!M27)*Assumptions!$C$23*Assumptions!$C$19</f>
        <v>3925.11408673667</v>
      </c>
      <c r="N14" s="57" t="n">
        <f aca="false">-(Channel_PL!N26+Channel_PL!N27)*Assumptions!$C$23*Assumptions!$C$19</f>
        <v>4514.72981551014</v>
      </c>
      <c r="O14" s="57" t="n">
        <f aca="false">-(Channel_PL!O26+Channel_PL!O27)*Assumptions!$C$23*Assumptions!$C$19</f>
        <v>6475.41313497608</v>
      </c>
      <c r="P14" s="57" t="n">
        <f aca="false">-(Channel_PL!P26+Channel_PL!P27)*Assumptions!$C$23*Assumptions!$C$19</f>
        <v>5750.24215137628</v>
      </c>
      <c r="Q14" s="57" t="n">
        <f aca="false">-(Channel_PL!Q26+Channel_PL!Q27)*Assumptions!$C$23*Assumptions!$C$19</f>
        <v>3643.36054795726</v>
      </c>
      <c r="R14" s="57" t="n">
        <f aca="false">-(Channel_PL!R26+Channel_PL!R27)*Assumptions!$C$23*Assumptions!$C$19</f>
        <v>3445.8021653301</v>
      </c>
      <c r="S14" s="57" t="n">
        <f aca="false">-(Channel_PL!S26+Channel_PL!S27)*Assumptions!$C$23*Assumptions!$C$19</f>
        <v>3941.30019287762</v>
      </c>
      <c r="T14" s="57" t="n">
        <f aca="false">-(Channel_PL!T26+Channel_PL!T27)*Assumptions!$C$23*Assumptions!$C$19</f>
        <v>4140.72707659401</v>
      </c>
      <c r="U14" s="57" t="n">
        <f aca="false">-(Channel_PL!U26+Channel_PL!U27)*Assumptions!$C$23*Assumptions!$C$19</f>
        <v>4436.25381614065</v>
      </c>
      <c r="V14" s="57" t="n">
        <f aca="false">-(Channel_PL!V26+Channel_PL!V27)*Assumptions!$C$23*Assumptions!$C$19</f>
        <v>4372.30619371657</v>
      </c>
      <c r="W14" s="57" t="n">
        <f aca="false">-(Channel_PL!W26+Channel_PL!W27)*Assumptions!$C$23*Assumptions!$C$19</f>
        <v>4211.39643153123</v>
      </c>
      <c r="X14" s="57" t="n">
        <f aca="false">-(Channel_PL!X26+Channel_PL!X27)*Assumptions!$C$23*Assumptions!$C$19</f>
        <v>4186.61418008642</v>
      </c>
      <c r="Y14" s="57" t="n">
        <f aca="false">-(Channel_PL!Y26+Channel_PL!Y27)*Assumptions!$C$23*Assumptions!$C$19</f>
        <v>4788.63918581874</v>
      </c>
      <c r="Z14" s="57" t="n">
        <f aca="false">-(Channel_PL!Z26+Channel_PL!Z27)*Assumptions!$C$23*Assumptions!$C$19</f>
        <v>5507.97037492238</v>
      </c>
      <c r="AA14" s="57" t="n">
        <f aca="false">-(Channel_PL!AA26+Channel_PL!AA27)*Assumptions!$C$23*Assumptions!$C$19</f>
        <v>7900.00402467082</v>
      </c>
      <c r="AB14" s="57" t="n">
        <f aca="false">-(Channel_PL!AB26+Channel_PL!AB27)*Assumptions!$C$23*Assumptions!$C$19</f>
        <v>7015.29542467906</v>
      </c>
    </row>
    <row r="15" customFormat="false" ht="15" hidden="false" customHeight="true" outlineLevel="0" collapsed="false">
      <c r="A15" s="28" t="s">
        <v>1039</v>
      </c>
      <c r="B15" s="55"/>
      <c r="C15" s="56" t="n">
        <f aca="false">SUM(E15:P15)</f>
        <v>44609.8277366802</v>
      </c>
      <c r="D15" s="56" t="n">
        <f aca="false">SUM(Q15:AB15)</f>
        <v>46913.9625985647</v>
      </c>
      <c r="E15" s="57" t="n">
        <f aca="false">Opex!E51*Assumptions!$C$24*Assumptions!$C$19</f>
        <v>3763.452</v>
      </c>
      <c r="F15" s="57" t="n">
        <f aca="false">Opex!F51*Assumptions!$C$24*Assumptions!$C$19</f>
        <v>3471.468</v>
      </c>
      <c r="G15" s="57" t="n">
        <f aca="false">Opex!G51*Assumptions!$C$24*Assumptions!$C$19</f>
        <v>3667.7025</v>
      </c>
      <c r="H15" s="57" t="n">
        <f aca="false">Opex!H51*Assumptions!$C$24*Assumptions!$C$19</f>
        <v>3553.8195</v>
      </c>
      <c r="I15" s="57" t="n">
        <f aca="false">Opex!I51*Assumptions!$C$24*Assumptions!$C$19</f>
        <v>3598.1715</v>
      </c>
      <c r="J15" s="57" t="n">
        <f aca="false">Opex!J51*Assumptions!$C$24*Assumptions!$C$19</f>
        <v>3840.7215</v>
      </c>
      <c r="K15" s="57" t="n">
        <f aca="false">Opex!K51*Assumptions!$C$24*Assumptions!$C$19</f>
        <v>3641.3685</v>
      </c>
      <c r="L15" s="57" t="n">
        <f aca="false">Opex!L51*Assumptions!$C$24*Assumptions!$C$19</f>
        <v>3839.7975</v>
      </c>
      <c r="M15" s="57" t="n">
        <f aca="false">Opex!M51*Assumptions!$C$24*Assumptions!$C$19</f>
        <v>3661.98926223241</v>
      </c>
      <c r="N15" s="57" t="n">
        <f aca="false">Opex!N51*Assumptions!$C$24*Assumptions!$C$19</f>
        <v>3731.71477697884</v>
      </c>
      <c r="O15" s="57" t="n">
        <f aca="false">Opex!O51*Assumptions!$C$24*Assumptions!$C$19</f>
        <v>3959.53137836493</v>
      </c>
      <c r="P15" s="57" t="n">
        <f aca="false">Opex!P51*Assumptions!$C$24*Assumptions!$C$19</f>
        <v>3880.09131910407</v>
      </c>
      <c r="Q15" s="57" t="n">
        <f aca="false">Opex!Q51*Assumptions!$C$24*Assumptions!$C$19</f>
        <v>3748.62385501056</v>
      </c>
      <c r="R15" s="57" t="n">
        <f aca="false">Opex!R51*Assumptions!$C$24*Assumptions!$C$19</f>
        <v>3727.42101251076</v>
      </c>
      <c r="S15" s="57" t="n">
        <f aca="false">Opex!S51*Assumptions!$C$24*Assumptions!$C$19</f>
        <v>3789.79969340694</v>
      </c>
      <c r="T15" s="57" t="n">
        <f aca="false">Opex!T51*Assumptions!$C$24*Assumptions!$C$19</f>
        <v>3816.9300020979</v>
      </c>
      <c r="U15" s="57" t="n">
        <f aca="false">Opex!U51*Assumptions!$C$24*Assumptions!$C$19</f>
        <v>3856.1779616233</v>
      </c>
      <c r="V15" s="57" t="n">
        <f aca="false">Opex!V51*Assumptions!$C$24*Assumptions!$C$19</f>
        <v>3851.66467029462</v>
      </c>
      <c r="W15" s="57" t="n">
        <f aca="false">Opex!W51*Assumptions!$C$24*Assumptions!$C$19</f>
        <v>3835.1052803393</v>
      </c>
      <c r="X15" s="57" t="n">
        <f aca="false">Opex!X51*Assumptions!$C$24*Assumptions!$C$19</f>
        <v>3835.34035464894</v>
      </c>
      <c r="Y15" s="57" t="n">
        <f aca="false">Opex!Y51*Assumptions!$C$24*Assumptions!$C$19</f>
        <v>3914.28751741178</v>
      </c>
      <c r="Z15" s="57" t="n">
        <f aca="false">Opex!Z51*Assumptions!$C$24*Assumptions!$C$19</f>
        <v>4009.11895060579</v>
      </c>
      <c r="AA15" s="57" t="n">
        <f aca="false">Opex!AA51*Assumptions!$C$24*Assumptions!$C$19</f>
        <v>4317.9991817715</v>
      </c>
      <c r="AB15" s="57" t="n">
        <f aca="false">Opex!AB51*Assumptions!$C$24*Assumptions!$C$19</f>
        <v>4211.49411884328</v>
      </c>
    </row>
    <row r="16" customFormat="false" ht="15" hidden="false" customHeight="true" outlineLevel="0" collapsed="false">
      <c r="A16" s="28" t="s">
        <v>1040</v>
      </c>
      <c r="B16" s="55"/>
      <c r="C16" s="56" t="n">
        <f aca="false">SUM(E16:P16)</f>
        <v>4179</v>
      </c>
      <c r="D16" s="56" t="n">
        <f aca="false">SUM(Q16:AB16)</f>
        <v>10080</v>
      </c>
      <c r="E16" s="57" t="n">
        <f aca="false">Fixed_Assets!E27*Assumptions!$C$25*Assumptions!$C$19</f>
        <v>504</v>
      </c>
      <c r="F16" s="57" t="n">
        <f aca="false">Fixed_Assets!F27*Assumptions!$C$25*Assumptions!$C$19</f>
        <v>0</v>
      </c>
      <c r="G16" s="57" t="n">
        <f aca="false">Fixed_Assets!G27*Assumptions!$C$25*Assumptions!$C$19</f>
        <v>1428</v>
      </c>
      <c r="H16" s="57" t="n">
        <f aca="false">Fixed_Assets!H27*Assumptions!$C$25*Assumptions!$C$19</f>
        <v>0</v>
      </c>
      <c r="I16" s="57" t="n">
        <f aca="false">Fixed_Assets!I27*Assumptions!$C$25*Assumptions!$C$19</f>
        <v>252</v>
      </c>
      <c r="J16" s="57" t="n">
        <f aca="false">Fixed_Assets!J27*Assumptions!$C$25*Assumptions!$C$19</f>
        <v>0</v>
      </c>
      <c r="K16" s="57" t="n">
        <f aca="false">Fixed_Assets!K27*Assumptions!$C$25*Assumptions!$C$19</f>
        <v>735</v>
      </c>
      <c r="L16" s="57" t="n">
        <f aca="false">Fixed_Assets!L27*Assumptions!$C$25*Assumptions!$C$19</f>
        <v>0</v>
      </c>
      <c r="M16" s="57" t="n">
        <f aca="false">Fixed_Assets!M27*Assumptions!$C$25*Assumptions!$C$19</f>
        <v>315</v>
      </c>
      <c r="N16" s="57" t="n">
        <f aca="false">Fixed_Assets!N27*Assumptions!$C$25*Assumptions!$C$19</f>
        <v>315</v>
      </c>
      <c r="O16" s="57" t="n">
        <f aca="false">Fixed_Assets!O27*Assumptions!$C$25*Assumptions!$C$19</f>
        <v>315</v>
      </c>
      <c r="P16" s="57" t="n">
        <f aca="false">Fixed_Assets!P27*Assumptions!$C$25*Assumptions!$C$19</f>
        <v>315</v>
      </c>
      <c r="Q16" s="57" t="n">
        <f aca="false">Fixed_Assets!Q27*Assumptions!$C$25*Assumptions!$C$19</f>
        <v>315</v>
      </c>
      <c r="R16" s="57" t="n">
        <f aca="false">Fixed_Assets!R27*Assumptions!$C$25*Assumptions!$C$19</f>
        <v>6615</v>
      </c>
      <c r="S16" s="57" t="n">
        <f aca="false">Fixed_Assets!S27*Assumptions!$C$25*Assumptions!$C$19</f>
        <v>315</v>
      </c>
      <c r="T16" s="57" t="n">
        <f aca="false">Fixed_Assets!T27*Assumptions!$C$25*Assumptions!$C$19</f>
        <v>315</v>
      </c>
      <c r="U16" s="57" t="n">
        <f aca="false">Fixed_Assets!U27*Assumptions!$C$25*Assumptions!$C$19</f>
        <v>315</v>
      </c>
      <c r="V16" s="57" t="n">
        <f aca="false">Fixed_Assets!V27*Assumptions!$C$25*Assumptions!$C$19</f>
        <v>315</v>
      </c>
      <c r="W16" s="57" t="n">
        <f aca="false">Fixed_Assets!W27*Assumptions!$C$25*Assumptions!$C$19</f>
        <v>315</v>
      </c>
      <c r="X16" s="57" t="n">
        <f aca="false">Fixed_Assets!X27*Assumptions!$C$25*Assumptions!$C$19</f>
        <v>315</v>
      </c>
      <c r="Y16" s="57" t="n">
        <f aca="false">Fixed_Assets!Y27*Assumptions!$C$25*Assumptions!$C$19</f>
        <v>315</v>
      </c>
      <c r="Z16" s="57" t="n">
        <f aca="false">Fixed_Assets!Z27*Assumptions!$C$25*Assumptions!$C$19</f>
        <v>315</v>
      </c>
      <c r="AA16" s="57" t="n">
        <f aca="false">Fixed_Assets!AA27*Assumptions!$C$25*Assumptions!$C$19</f>
        <v>315</v>
      </c>
      <c r="AB16" s="57" t="n">
        <f aca="false">Fixed_Assets!AB27*Assumptions!$C$25*Assumptions!$C$19</f>
        <v>315</v>
      </c>
    </row>
    <row r="17" customFormat="false" ht="15" hidden="false" customHeight="true" outlineLevel="0" collapsed="false">
      <c r="A17" s="70" t="s">
        <v>1041</v>
      </c>
      <c r="B17" s="71" t="s">
        <v>310</v>
      </c>
      <c r="C17" s="72" t="n">
        <f aca="false">SUM(E17:P17)</f>
        <v>97571.1114252794</v>
      </c>
      <c r="D17" s="72" t="n">
        <f aca="false">SUM(Q17:AB17)</f>
        <v>114583.63221289</v>
      </c>
      <c r="E17" s="72" t="n">
        <f aca="false">E14+E15+E16</f>
        <v>7251.4365</v>
      </c>
      <c r="F17" s="72" t="n">
        <f aca="false">F14+F15+F16</f>
        <v>6519.177</v>
      </c>
      <c r="G17" s="72" t="n">
        <f aca="false">G14+G15+G16</f>
        <v>8635.536</v>
      </c>
      <c r="H17" s="72" t="n">
        <f aca="false">H14+H15+H16</f>
        <v>7083.1215</v>
      </c>
      <c r="I17" s="72" t="n">
        <f aca="false">I14+I15+I16</f>
        <v>7790.0235</v>
      </c>
      <c r="J17" s="72" t="n">
        <f aca="false">J14+J15+J16</f>
        <v>7653.1245</v>
      </c>
      <c r="K17" s="72" t="n">
        <f aca="false">K14+K15+K16</f>
        <v>8052.7545</v>
      </c>
      <c r="L17" s="72" t="n">
        <f aca="false">L14+L15+L16</f>
        <v>7427.112</v>
      </c>
      <c r="M17" s="72" t="n">
        <f aca="false">M14+M15+M16</f>
        <v>7902.10334896908</v>
      </c>
      <c r="N17" s="72" t="n">
        <f aca="false">N14+N15+N16</f>
        <v>8561.44459248898</v>
      </c>
      <c r="O17" s="72" t="n">
        <f aca="false">O14+O15+O16</f>
        <v>10749.944513341</v>
      </c>
      <c r="P17" s="72" t="n">
        <f aca="false">P14+P15+P16</f>
        <v>9945.33347048035</v>
      </c>
      <c r="Q17" s="72" t="n">
        <f aca="false">Q14+Q15+Q16</f>
        <v>7706.98440296782</v>
      </c>
      <c r="R17" s="72" t="n">
        <f aca="false">R14+R15+R16</f>
        <v>13788.2231778409</v>
      </c>
      <c r="S17" s="72" t="n">
        <f aca="false">S14+S15+S16</f>
        <v>8046.09988628455</v>
      </c>
      <c r="T17" s="72" t="n">
        <f aca="false">T14+T15+T16</f>
        <v>8272.65707869191</v>
      </c>
      <c r="U17" s="72" t="n">
        <f aca="false">U14+U15+U16</f>
        <v>8607.43177776394</v>
      </c>
      <c r="V17" s="72" t="n">
        <f aca="false">V14+V15+V16</f>
        <v>8538.97086401119</v>
      </c>
      <c r="W17" s="72" t="n">
        <f aca="false">W14+W15+W16</f>
        <v>8361.50171187053</v>
      </c>
      <c r="X17" s="72" t="n">
        <f aca="false">X14+X15+X16</f>
        <v>8336.95453473536</v>
      </c>
      <c r="Y17" s="72" t="n">
        <f aca="false">Y14+Y15+Y16</f>
        <v>9017.92670323051</v>
      </c>
      <c r="Z17" s="72" t="n">
        <f aca="false">Z14+Z15+Z16</f>
        <v>9832.08932552817</v>
      </c>
      <c r="AA17" s="72" t="n">
        <f aca="false">AA14+AA15+AA16</f>
        <v>12533.0032064423</v>
      </c>
      <c r="AB17" s="72" t="n">
        <f aca="false">AB14+AB15+AB16</f>
        <v>11541.7895435223</v>
      </c>
    </row>
    <row r="18" customFormat="false" ht="15" hidden="false" customHeight="true" outlineLevel="0" collapsed="false">
      <c r="A18" s="22" t="s">
        <v>1042</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row>
    <row r="19" customFormat="false" ht="15" hidden="false" customHeight="true" outlineLevel="0" collapsed="false">
      <c r="A19" s="28" t="s">
        <v>1043</v>
      </c>
      <c r="B19" s="55"/>
      <c r="C19" s="56" t="n">
        <f aca="false">SUM(E19:P19)</f>
        <v>686171.188155717</v>
      </c>
      <c r="D19" s="56" t="n">
        <f aca="false">SUM(Q19:AB19)</f>
        <v>848904.010281494</v>
      </c>
      <c r="E19" s="69" t="n">
        <f aca="false">E12-E17</f>
        <v>44719.76785</v>
      </c>
      <c r="F19" s="69" t="n">
        <f aca="false">F12-F17</f>
        <v>41763.2348</v>
      </c>
      <c r="G19" s="69" t="n">
        <f aca="false">G12-G17</f>
        <v>47158.4776</v>
      </c>
      <c r="H19" s="69" t="n">
        <f aca="false">H12-H17</f>
        <v>51014.6657</v>
      </c>
      <c r="I19" s="69" t="n">
        <f aca="false">I12-I17</f>
        <v>57231.0401</v>
      </c>
      <c r="J19" s="69" t="n">
        <f aca="false">J12-J17</f>
        <v>52555.13155</v>
      </c>
      <c r="K19" s="69" t="n">
        <f aca="false">K12-K17</f>
        <v>47105.6812</v>
      </c>
      <c r="L19" s="69" t="n">
        <f aca="false">L12-L17</f>
        <v>47599.21555</v>
      </c>
      <c r="M19" s="69" t="n">
        <f aca="false">M12-M17</f>
        <v>55153.4521918066</v>
      </c>
      <c r="N19" s="69" t="n">
        <f aca="false">N12-N17</f>
        <v>64251.1316855755</v>
      </c>
      <c r="O19" s="69" t="n">
        <f aca="false">O12-O17</f>
        <v>94094.8601839505</v>
      </c>
      <c r="P19" s="69" t="n">
        <f aca="false">P12-P17</f>
        <v>83524.529744384</v>
      </c>
      <c r="Q19" s="69" t="n">
        <f aca="false">Q12-Q17</f>
        <v>51748.9082629796</v>
      </c>
      <c r="R19" s="69" t="n">
        <f aca="false">R12-R17</f>
        <v>42665.3727943232</v>
      </c>
      <c r="S19" s="69" t="n">
        <f aca="false">S12-S17</f>
        <v>56780.0968794862</v>
      </c>
      <c r="T19" s="69" t="n">
        <f aca="false">T12-T17</f>
        <v>60102.5462233166</v>
      </c>
      <c r="U19" s="69" t="n">
        <f aca="false">U12-U17</f>
        <v>64937.1435467548</v>
      </c>
      <c r="V19" s="69" t="n">
        <f aca="false">V12-V17</f>
        <v>64232.0217564448</v>
      </c>
      <c r="W19" s="69" t="n">
        <f aca="false">W12-W17</f>
        <v>62008.6626742632</v>
      </c>
      <c r="X19" s="69" t="n">
        <f aca="false">X12-X17</f>
        <v>61896.063021492</v>
      </c>
      <c r="Y19" s="69" t="n">
        <f aca="false">Y12-Y17</f>
        <v>71632.6891175627</v>
      </c>
      <c r="Z19" s="69" t="n">
        <f aca="false">Z12-Z17</f>
        <v>83301.3389948443</v>
      </c>
      <c r="AA19" s="69" t="n">
        <f aca="false">AA12-AA17</f>
        <v>121576.93578241</v>
      </c>
      <c r="AB19" s="69" t="n">
        <f aca="false">AB12-AB17</f>
        <v>108022.231227616</v>
      </c>
    </row>
    <row r="20" customFormat="false" ht="15" hidden="false" customHeight="true" outlineLevel="0" collapsed="false">
      <c r="A20" s="28" t="s">
        <v>1044</v>
      </c>
      <c r="B20" s="55"/>
      <c r="E20" s="57" t="n">
        <f aca="false">Inputs_Actuals!$C$134</f>
        <v>38700</v>
      </c>
      <c r="F20" s="69" t="n">
        <f aca="false">E22</f>
        <v>44719.76785</v>
      </c>
      <c r="G20" s="69" t="n">
        <f aca="false">F22</f>
        <v>86483.00265</v>
      </c>
      <c r="H20" s="69" t="n">
        <f aca="false">G22</f>
        <v>133641.48025</v>
      </c>
      <c r="I20" s="69" t="n">
        <f aca="false">H22</f>
        <v>51014.6657</v>
      </c>
      <c r="J20" s="69" t="n">
        <f aca="false">I22</f>
        <v>108245.7058</v>
      </c>
      <c r="K20" s="69" t="n">
        <f aca="false">J22</f>
        <v>160800.83735</v>
      </c>
      <c r="L20" s="69" t="n">
        <f aca="false">K22</f>
        <v>47105.6812</v>
      </c>
      <c r="M20" s="69" t="n">
        <f aca="false">L22</f>
        <v>94704.89675</v>
      </c>
      <c r="N20" s="69" t="n">
        <f aca="false">M22</f>
        <v>149858.348941807</v>
      </c>
      <c r="O20" s="69" t="n">
        <f aca="false">N22</f>
        <v>64251.1316855755</v>
      </c>
      <c r="P20" s="69" t="n">
        <f aca="false">O22</f>
        <v>158345.991869526</v>
      </c>
      <c r="Q20" s="69" t="n">
        <f aca="false">P22</f>
        <v>241870.52161391</v>
      </c>
      <c r="R20" s="69" t="n">
        <f aca="false">Q22</f>
        <v>51748.9082629797</v>
      </c>
      <c r="S20" s="69" t="n">
        <f aca="false">R22</f>
        <v>94414.2810573028</v>
      </c>
      <c r="T20" s="69" t="n">
        <f aca="false">S22</f>
        <v>151194.377936789</v>
      </c>
      <c r="U20" s="69" t="n">
        <f aca="false">T22</f>
        <v>60102.5462233166</v>
      </c>
      <c r="V20" s="69" t="n">
        <f aca="false">U22</f>
        <v>125039.689770071</v>
      </c>
      <c r="W20" s="69" t="n">
        <f aca="false">V22</f>
        <v>189271.711526516</v>
      </c>
      <c r="X20" s="69" t="n">
        <f aca="false">W22</f>
        <v>62008.6626742632</v>
      </c>
      <c r="Y20" s="69" t="n">
        <f aca="false">X22</f>
        <v>123904.725695755</v>
      </c>
      <c r="Z20" s="69" t="n">
        <f aca="false">Y22</f>
        <v>195537.414813318</v>
      </c>
      <c r="AA20" s="69" t="n">
        <f aca="false">Z22</f>
        <v>83301.3389948443</v>
      </c>
      <c r="AB20" s="69" t="n">
        <f aca="false">AA22</f>
        <v>204878.274777255</v>
      </c>
    </row>
    <row r="21" customFormat="false" ht="15" hidden="false" customHeight="true" outlineLevel="0" collapsed="false">
      <c r="A21" s="28" t="s">
        <v>1045</v>
      </c>
      <c r="B21" s="55" t="s">
        <v>378</v>
      </c>
      <c r="C21" s="56" t="n">
        <f aca="false">SUM(E21:P21)</f>
        <v>-483000.666541807</v>
      </c>
      <c r="D21" s="56" t="n">
        <f aca="false">SUM(Q21:AB21)</f>
        <v>-777874.025890533</v>
      </c>
      <c r="E21" s="57" t="n">
        <f aca="false">IF(Assumptions!E$72=1,-Inputs_Actuals!$C$134,0)</f>
        <v>-38700</v>
      </c>
      <c r="F21" s="57" t="n">
        <f aca="false">IF(Assumptions!F$72=1,-E22,0)</f>
        <v>0</v>
      </c>
      <c r="G21" s="57" t="n">
        <f aca="false">IF(Assumptions!G$72=1,-F22,0)</f>
        <v>0</v>
      </c>
      <c r="H21" s="57" t="n">
        <f aca="false">IF(Assumptions!H$72=1,-G22,0)</f>
        <v>-133641.48025</v>
      </c>
      <c r="I21" s="57" t="n">
        <f aca="false">IF(Assumptions!I$72=1,-H22,0)</f>
        <v>0</v>
      </c>
      <c r="J21" s="57" t="n">
        <f aca="false">IF(Assumptions!J$72=1,-I22,0)</f>
        <v>0</v>
      </c>
      <c r="K21" s="57" t="n">
        <f aca="false">IF(Assumptions!K$72=1,-J22,0)</f>
        <v>-160800.83735</v>
      </c>
      <c r="L21" s="57" t="n">
        <f aca="false">IF(Assumptions!L$72=1,-K22,0)</f>
        <v>0</v>
      </c>
      <c r="M21" s="57" t="n">
        <f aca="false">IF(Assumptions!M$72=1,-L22,0)</f>
        <v>0</v>
      </c>
      <c r="N21" s="57" t="n">
        <f aca="false">IF(Assumptions!N$72=1,-M22,0)</f>
        <v>-149858.348941807</v>
      </c>
      <c r="O21" s="57" t="n">
        <f aca="false">IF(Assumptions!O$72=1,-N22,0)</f>
        <v>0</v>
      </c>
      <c r="P21" s="57" t="n">
        <f aca="false">IF(Assumptions!P$72=1,-O22,0)</f>
        <v>0</v>
      </c>
      <c r="Q21" s="57" t="n">
        <f aca="false">IF(Assumptions!Q$72=1,-P22,0)</f>
        <v>-241870.52161391</v>
      </c>
      <c r="R21" s="57" t="n">
        <f aca="false">IF(Assumptions!R$72=1,-Q22,0)</f>
        <v>0</v>
      </c>
      <c r="S21" s="57" t="n">
        <f aca="false">IF(Assumptions!S$72=1,-R22,0)</f>
        <v>0</v>
      </c>
      <c r="T21" s="57" t="n">
        <f aca="false">IF(Assumptions!T$72=1,-S22,0)</f>
        <v>-151194.377936789</v>
      </c>
      <c r="U21" s="57" t="n">
        <f aca="false">IF(Assumptions!U$72=1,-T22,0)</f>
        <v>0</v>
      </c>
      <c r="V21" s="57" t="n">
        <f aca="false">IF(Assumptions!V$72=1,-U22,0)</f>
        <v>0</v>
      </c>
      <c r="W21" s="57" t="n">
        <f aca="false">IF(Assumptions!W$72=1,-V22,0)</f>
        <v>-189271.711526516</v>
      </c>
      <c r="X21" s="57" t="n">
        <f aca="false">IF(Assumptions!X$72=1,-W22,0)</f>
        <v>0</v>
      </c>
      <c r="Y21" s="57" t="n">
        <f aca="false">IF(Assumptions!Y$72=1,-X22,0)</f>
        <v>0</v>
      </c>
      <c r="Z21" s="57" t="n">
        <f aca="false">IF(Assumptions!Z$72=1,-Y22,0)</f>
        <v>-195537.414813318</v>
      </c>
      <c r="AA21" s="57" t="n">
        <f aca="false">IF(Assumptions!AA$72=1,-Z22,0)</f>
        <v>0</v>
      </c>
      <c r="AB21" s="57" t="n">
        <f aca="false">IF(Assumptions!AB$72=1,-AA22,0)</f>
        <v>0</v>
      </c>
    </row>
    <row r="22" customFormat="false" ht="15" hidden="false" customHeight="true" outlineLevel="0" collapsed="false">
      <c r="A22" s="70" t="s">
        <v>1046</v>
      </c>
      <c r="B22" s="71"/>
      <c r="C22" s="72" t="n">
        <f aca="false">P22</f>
        <v>241870.52161391</v>
      </c>
      <c r="D22" s="72" t="n">
        <f aca="false">AB22</f>
        <v>312900.506004871</v>
      </c>
      <c r="E22" s="72" t="n">
        <f aca="false">E20+E19+E21</f>
        <v>44719.76785</v>
      </c>
      <c r="F22" s="72" t="n">
        <f aca="false">F20+F19+F21</f>
        <v>86483.00265</v>
      </c>
      <c r="G22" s="72" t="n">
        <f aca="false">G20+G19+G21</f>
        <v>133641.48025</v>
      </c>
      <c r="H22" s="72" t="n">
        <f aca="false">H20+H19+H21</f>
        <v>51014.6657</v>
      </c>
      <c r="I22" s="72" t="n">
        <f aca="false">I20+I19+I21</f>
        <v>108245.7058</v>
      </c>
      <c r="J22" s="72" t="n">
        <f aca="false">J20+J19+J21</f>
        <v>160800.83735</v>
      </c>
      <c r="K22" s="72" t="n">
        <f aca="false">K20+K19+K21</f>
        <v>47105.6812</v>
      </c>
      <c r="L22" s="72" t="n">
        <f aca="false">L20+L19+L21</f>
        <v>94704.89675</v>
      </c>
      <c r="M22" s="72" t="n">
        <f aca="false">M20+M19+M21</f>
        <v>149858.348941807</v>
      </c>
      <c r="N22" s="72" t="n">
        <f aca="false">N20+N19+N21</f>
        <v>64251.1316855755</v>
      </c>
      <c r="O22" s="72" t="n">
        <f aca="false">O20+O19+O21</f>
        <v>158345.991869526</v>
      </c>
      <c r="P22" s="72" t="n">
        <f aca="false">P20+P19+P21</f>
        <v>241870.52161391</v>
      </c>
      <c r="Q22" s="72" t="n">
        <f aca="false">Q20+Q19+Q21</f>
        <v>51748.9082629797</v>
      </c>
      <c r="R22" s="72" t="n">
        <f aca="false">R20+R19+R21</f>
        <v>94414.2810573028</v>
      </c>
      <c r="S22" s="72" t="n">
        <f aca="false">S20+S19+S21</f>
        <v>151194.377936789</v>
      </c>
      <c r="T22" s="72" t="n">
        <f aca="false">T20+T19+T21</f>
        <v>60102.5462233166</v>
      </c>
      <c r="U22" s="72" t="n">
        <f aca="false">U20+U19+U21</f>
        <v>125039.689770071</v>
      </c>
      <c r="V22" s="72" t="n">
        <f aca="false">V20+V19+V21</f>
        <v>189271.711526516</v>
      </c>
      <c r="W22" s="72" t="n">
        <f aca="false">W20+W19+W21</f>
        <v>62008.6626742632</v>
      </c>
      <c r="X22" s="72" t="n">
        <f aca="false">X20+X19+X21</f>
        <v>123904.725695755</v>
      </c>
      <c r="Y22" s="72" t="n">
        <f aca="false">Y20+Y19+Y21</f>
        <v>195537.414813318</v>
      </c>
      <c r="Z22" s="72" t="n">
        <f aca="false">Z20+Z19+Z21</f>
        <v>83301.3389948443</v>
      </c>
      <c r="AA22" s="72" t="n">
        <f aca="false">AA20+AA19+AA21</f>
        <v>204878.274777255</v>
      </c>
      <c r="AB22" s="72" t="n">
        <f aca="false">AB20+AB19+AB21</f>
        <v>312900.506004871</v>
      </c>
    </row>
    <row r="23" customFormat="false" ht="15" hidden="false" customHeight="true" outlineLevel="0" collapsed="false">
      <c r="A23" s="22" t="s">
        <v>1047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row>
    <row r="24" customFormat="false" ht="15" hidden="false" customHeight="true" outlineLevel="0" collapsed="false">
      <c r="A24" s="28" t="s">
        <v>1048</v>
      </c>
      <c r="B24" s="55" t="s">
        <v>315</v>
      </c>
      <c r="C24" s="56" t="n">
        <f aca="false">SUM(E24:P24)</f>
        <v>250467.984575662</v>
      </c>
      <c r="D24" s="56" t="n">
        <f aca="false">SUM(Q24:AB24)</f>
        <v>426069.634977548</v>
      </c>
      <c r="E24" s="57" t="n">
        <f aca="false">-Inventory!E102*Assumptions!$C$19</f>
        <v>32340</v>
      </c>
      <c r="F24" s="57" t="n">
        <f aca="false">-Inventory!F102*Assumptions!$C$19</f>
        <v>10080</v>
      </c>
      <c r="G24" s="57" t="n">
        <f aca="false">-Inventory!G102*Assumptions!$C$19</f>
        <v>16170</v>
      </c>
      <c r="H24" s="57" t="n">
        <f aca="false">-Inventory!H102*Assumptions!$C$19</f>
        <v>0</v>
      </c>
      <c r="I24" s="57" t="n">
        <f aca="false">-Inventory!I102*Assumptions!$C$19</f>
        <v>29820</v>
      </c>
      <c r="J24" s="57" t="n">
        <f aca="false">-Inventory!J102*Assumptions!$C$19</f>
        <v>10920</v>
      </c>
      <c r="K24" s="57" t="n">
        <f aca="false">-Inventory!K102*Assumptions!$C$19</f>
        <v>9660</v>
      </c>
      <c r="L24" s="57" t="n">
        <f aca="false">-Inventory!L102*Assumptions!$C$19</f>
        <v>7140</v>
      </c>
      <c r="M24" s="57" t="n">
        <f aca="false">-Inventory!M102*Assumptions!$C$19</f>
        <v>47460</v>
      </c>
      <c r="N24" s="57" t="n">
        <f aca="false">-Inventory!N102*Assumptions!$C$19</f>
        <v>45780</v>
      </c>
      <c r="O24" s="57" t="n">
        <f aca="false">-Inventory!O102*Assumptions!$C$19</f>
        <v>13020</v>
      </c>
      <c r="P24" s="57" t="n">
        <f aca="false">-Inventory!P102*Assumptions!$C$19</f>
        <v>28077.9845756618</v>
      </c>
      <c r="Q24" s="57" t="n">
        <f aca="false">-Inventory!Q102*Assumptions!$C$19</f>
        <v>42917.4547048569</v>
      </c>
      <c r="R24" s="57" t="n">
        <f aca="false">-Inventory!R102*Assumptions!$C$19</f>
        <v>9079.99098427424</v>
      </c>
      <c r="S24" s="57" t="n">
        <f aca="false">-Inventory!S102*Assumptions!$C$19</f>
        <v>23702.4485199807</v>
      </c>
      <c r="T24" s="57" t="n">
        <f aca="false">-Inventory!T102*Assumptions!$C$19</f>
        <v>24087.8833058658</v>
      </c>
      <c r="U24" s="57" t="n">
        <f aca="false">-Inventory!U102*Assumptions!$C$19</f>
        <v>26362.2027545366</v>
      </c>
      <c r="V24" s="57" t="n">
        <f aca="false">-Inventory!V102*Assumptions!$C$19</f>
        <v>20680.1117983692</v>
      </c>
      <c r="W24" s="57" t="n">
        <f aca="false">-Inventory!W102*Assumptions!$C$19</f>
        <v>27897.5381322201</v>
      </c>
      <c r="X24" s="57" t="n">
        <f aca="false">-Inventory!X102*Assumptions!$C$19</f>
        <v>41377.8426813969</v>
      </c>
      <c r="Y24" s="57" t="n">
        <f aca="false">-Inventory!Y102*Assumptions!$C$19</f>
        <v>42445.8003849086</v>
      </c>
      <c r="Z24" s="57" t="n">
        <f aca="false">-Inventory!Z102*Assumptions!$C$19</f>
        <v>84002.5948465065</v>
      </c>
      <c r="AA24" s="57" t="n">
        <f aca="false">-Inventory!AA102*Assumptions!$C$19</f>
        <v>35194.6487651949</v>
      </c>
      <c r="AB24" s="57" t="n">
        <f aca="false">-Inventory!AB102*Assumptions!$C$19</f>
        <v>48321.1180994373</v>
      </c>
    </row>
    <row r="25" customFormat="false" ht="15" hidden="false" customHeight="true" outlineLevel="0" collapsed="false">
      <c r="A25" s="25" t="s">
        <v>1049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5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1050</v>
      </c>
    </row>
    <row r="3" customFormat="false" ht="15" hidden="false" customHeight="true" outlineLevel="0" collapsed="false">
      <c r="A3" s="25" t="s">
        <v>1051</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1052</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1053</v>
      </c>
      <c r="B9" s="55" t="s">
        <v>1054</v>
      </c>
      <c r="C9" s="126" t="n">
        <v>7200</v>
      </c>
      <c r="D9" s="127" t="n">
        <v>44651</v>
      </c>
      <c r="E9" s="57" t="n">
        <f aca="false">IF(Assumptions!E$61&gt;=$D$9,$C$9*Assumptions!E$74,0)</f>
        <v>7200</v>
      </c>
      <c r="F9" s="57" t="n">
        <f aca="false">IF(Assumptions!F$61&gt;=$D$9,$C$9*Assumptions!F$74,0)</f>
        <v>7200</v>
      </c>
      <c r="G9" s="57" t="n">
        <f aca="false">IF(Assumptions!G$61&gt;=$D$9,$C$9*Assumptions!G$74,0)</f>
        <v>7200</v>
      </c>
      <c r="H9" s="57" t="n">
        <f aca="false">IF(Assumptions!H$61&gt;=$D$9,$C$9*Assumptions!H$74,0)</f>
        <v>7200</v>
      </c>
      <c r="I9" s="57" t="n">
        <f aca="false">IF(Assumptions!I$61&gt;=$D$9,$C$9*Assumptions!I$74,0)</f>
        <v>7200</v>
      </c>
      <c r="J9" s="57" t="n">
        <f aca="false">IF(Assumptions!J$61&gt;=$D$9,$C$9*Assumptions!J$74,0)</f>
        <v>7200</v>
      </c>
      <c r="K9" s="57" t="n">
        <f aca="false">IF(Assumptions!K$61&gt;=$D$9,$C$9*Assumptions!K$74,0)</f>
        <v>7200</v>
      </c>
      <c r="L9" s="57" t="n">
        <f aca="false">IF(Assumptions!L$61&gt;=$D$9,$C$9*Assumptions!L$74,0)</f>
        <v>7200</v>
      </c>
      <c r="M9" s="57" t="n">
        <f aca="false">IF(Assumptions!M$61&gt;=$D$9,$C$9*Assumptions!M$74,0)</f>
        <v>7200</v>
      </c>
      <c r="N9" s="57" t="n">
        <f aca="false">IF(Assumptions!N$61&gt;=$D$9,$C$9*Assumptions!N$74,0)</f>
        <v>7200</v>
      </c>
      <c r="O9" s="57" t="n">
        <f aca="false">IF(Assumptions!O$61&gt;=$D$9,$C$9*Assumptions!O$74,0)</f>
        <v>7200</v>
      </c>
      <c r="P9" s="57" t="n">
        <f aca="false">IF(Assumptions!P$61&gt;=$D$9,$C$9*Assumptions!P$74,0)</f>
        <v>7200</v>
      </c>
      <c r="Q9" s="57" t="n">
        <f aca="false">IF(Assumptions!Q$61&gt;=$D$9,$C$9*Assumptions!Q$74,0)</f>
        <v>7416</v>
      </c>
      <c r="R9" s="57" t="n">
        <f aca="false">IF(Assumptions!R$61&gt;=$D$9,$C$9*Assumptions!R$74,0)</f>
        <v>7416</v>
      </c>
      <c r="S9" s="57" t="n">
        <f aca="false">IF(Assumptions!S$61&gt;=$D$9,$C$9*Assumptions!S$74,0)</f>
        <v>7416</v>
      </c>
      <c r="T9" s="57" t="n">
        <f aca="false">IF(Assumptions!T$61&gt;=$D$9,$C$9*Assumptions!T$74,0)</f>
        <v>7416</v>
      </c>
      <c r="U9" s="57" t="n">
        <f aca="false">IF(Assumptions!U$61&gt;=$D$9,$C$9*Assumptions!U$74,0)</f>
        <v>7416</v>
      </c>
      <c r="V9" s="57" t="n">
        <f aca="false">IF(Assumptions!V$61&gt;=$D$9,$C$9*Assumptions!V$74,0)</f>
        <v>7416</v>
      </c>
      <c r="W9" s="57" t="n">
        <f aca="false">IF(Assumptions!W$61&gt;=$D$9,$C$9*Assumptions!W$74,0)</f>
        <v>7416</v>
      </c>
      <c r="X9" s="57" t="n">
        <f aca="false">IF(Assumptions!X$61&gt;=$D$9,$C$9*Assumptions!X$74,0)</f>
        <v>7416</v>
      </c>
      <c r="Y9" s="57" t="n">
        <f aca="false">IF(Assumptions!Y$61&gt;=$D$9,$C$9*Assumptions!Y$74,0)</f>
        <v>7416</v>
      </c>
      <c r="Z9" s="57" t="n">
        <f aca="false">IF(Assumptions!Z$61&gt;=$D$9,$C$9*Assumptions!Z$74,0)</f>
        <v>7416</v>
      </c>
      <c r="AA9" s="57" t="n">
        <f aca="false">IF(Assumptions!AA$61&gt;=$D$9,$C$9*Assumptions!AA$74,0)</f>
        <v>7416</v>
      </c>
      <c r="AB9" s="57" t="n">
        <f aca="false">IF(Assumptions!AB$61&gt;=$D$9,$C$9*Assumptions!AB$74,0)</f>
        <v>7416</v>
      </c>
    </row>
    <row r="10" customFormat="false" ht="15" hidden="false" customHeight="true" outlineLevel="0" collapsed="false">
      <c r="A10" s="28" t="s">
        <v>227</v>
      </c>
      <c r="B10" s="55" t="s">
        <v>1054</v>
      </c>
      <c r="C10" s="126" t="n">
        <v>6100</v>
      </c>
      <c r="D10" s="127" t="n">
        <v>44957</v>
      </c>
      <c r="E10" s="57" t="n">
        <f aca="false">IF(Assumptions!E$61&gt;=$D$10,$C$10*Assumptions!E$74,0)</f>
        <v>6100</v>
      </c>
      <c r="F10" s="57" t="n">
        <f aca="false">IF(Assumptions!F$61&gt;=$D$10,$C$10*Assumptions!F$74,0)</f>
        <v>6100</v>
      </c>
      <c r="G10" s="57" t="n">
        <f aca="false">IF(Assumptions!G$61&gt;=$D$10,$C$10*Assumptions!G$74,0)</f>
        <v>6100</v>
      </c>
      <c r="H10" s="57" t="n">
        <f aca="false">IF(Assumptions!H$61&gt;=$D$10,$C$10*Assumptions!H$74,0)</f>
        <v>6100</v>
      </c>
      <c r="I10" s="57" t="n">
        <f aca="false">IF(Assumptions!I$61&gt;=$D$10,$C$10*Assumptions!I$74,0)</f>
        <v>6100</v>
      </c>
      <c r="J10" s="57" t="n">
        <f aca="false">IF(Assumptions!J$61&gt;=$D$10,$C$10*Assumptions!J$74,0)</f>
        <v>6100</v>
      </c>
      <c r="K10" s="57" t="n">
        <f aca="false">IF(Assumptions!K$61&gt;=$D$10,$C$10*Assumptions!K$74,0)</f>
        <v>6100</v>
      </c>
      <c r="L10" s="57" t="n">
        <f aca="false">IF(Assumptions!L$61&gt;=$D$10,$C$10*Assumptions!L$74,0)</f>
        <v>6100</v>
      </c>
      <c r="M10" s="57" t="n">
        <f aca="false">IF(Assumptions!M$61&gt;=$D$10,$C$10*Assumptions!M$74,0)</f>
        <v>6100</v>
      </c>
      <c r="N10" s="57" t="n">
        <f aca="false">IF(Assumptions!N$61&gt;=$D$10,$C$10*Assumptions!N$74,0)</f>
        <v>6100</v>
      </c>
      <c r="O10" s="57" t="n">
        <f aca="false">IF(Assumptions!O$61&gt;=$D$10,$C$10*Assumptions!O$74,0)</f>
        <v>6100</v>
      </c>
      <c r="P10" s="57" t="n">
        <f aca="false">IF(Assumptions!P$61&gt;=$D$10,$C$10*Assumptions!P$74,0)</f>
        <v>6100</v>
      </c>
      <c r="Q10" s="57" t="n">
        <f aca="false">IF(Assumptions!Q$61&gt;=$D$10,$C$10*Assumptions!Q$74,0)</f>
        <v>6283</v>
      </c>
      <c r="R10" s="57" t="n">
        <f aca="false">IF(Assumptions!R$61&gt;=$D$10,$C$10*Assumptions!R$74,0)</f>
        <v>6283</v>
      </c>
      <c r="S10" s="57" t="n">
        <f aca="false">IF(Assumptions!S$61&gt;=$D$10,$C$10*Assumptions!S$74,0)</f>
        <v>6283</v>
      </c>
      <c r="T10" s="57" t="n">
        <f aca="false">IF(Assumptions!T$61&gt;=$D$10,$C$10*Assumptions!T$74,0)</f>
        <v>6283</v>
      </c>
      <c r="U10" s="57" t="n">
        <f aca="false">IF(Assumptions!U$61&gt;=$D$10,$C$10*Assumptions!U$74,0)</f>
        <v>6283</v>
      </c>
      <c r="V10" s="57" t="n">
        <f aca="false">IF(Assumptions!V$61&gt;=$D$10,$C$10*Assumptions!V$74,0)</f>
        <v>6283</v>
      </c>
      <c r="W10" s="57" t="n">
        <f aca="false">IF(Assumptions!W$61&gt;=$D$10,$C$10*Assumptions!W$74,0)</f>
        <v>6283</v>
      </c>
      <c r="X10" s="57" t="n">
        <f aca="false">IF(Assumptions!X$61&gt;=$D$10,$C$10*Assumptions!X$74,0)</f>
        <v>6283</v>
      </c>
      <c r="Y10" s="57" t="n">
        <f aca="false">IF(Assumptions!Y$61&gt;=$D$10,$C$10*Assumptions!Y$74,0)</f>
        <v>6283</v>
      </c>
      <c r="Z10" s="57" t="n">
        <f aca="false">IF(Assumptions!Z$61&gt;=$D$10,$C$10*Assumptions!Z$74,0)</f>
        <v>6283</v>
      </c>
      <c r="AA10" s="57" t="n">
        <f aca="false">IF(Assumptions!AA$61&gt;=$D$10,$C$10*Assumptions!AA$74,0)</f>
        <v>6283</v>
      </c>
      <c r="AB10" s="57" t="n">
        <f aca="false">IF(Assumptions!AB$61&gt;=$D$10,$C$10*Assumptions!AB$74,0)</f>
        <v>6283</v>
      </c>
    </row>
    <row r="11" customFormat="false" ht="15" hidden="false" customHeight="true" outlineLevel="0" collapsed="false">
      <c r="A11" s="28" t="s">
        <v>234</v>
      </c>
      <c r="B11" s="55" t="s">
        <v>1054</v>
      </c>
      <c r="C11" s="126" t="n">
        <v>5000</v>
      </c>
      <c r="D11" s="127" t="n">
        <v>45107</v>
      </c>
      <c r="E11" s="57" t="n">
        <f aca="false">IF(Assumptions!E$61&gt;=$D$11,$C$11*Assumptions!E$74,0)</f>
        <v>5000</v>
      </c>
      <c r="F11" s="57" t="n">
        <f aca="false">IF(Assumptions!F$61&gt;=$D$11,$C$11*Assumptions!F$74,0)</f>
        <v>5000</v>
      </c>
      <c r="G11" s="57" t="n">
        <f aca="false">IF(Assumptions!G$61&gt;=$D$11,$C$11*Assumptions!G$74,0)</f>
        <v>5000</v>
      </c>
      <c r="H11" s="57" t="n">
        <f aca="false">IF(Assumptions!H$61&gt;=$D$11,$C$11*Assumptions!H$74,0)</f>
        <v>5000</v>
      </c>
      <c r="I11" s="57" t="n">
        <f aca="false">IF(Assumptions!I$61&gt;=$D$11,$C$11*Assumptions!I$74,0)</f>
        <v>5000</v>
      </c>
      <c r="J11" s="57" t="n">
        <f aca="false">IF(Assumptions!J$61&gt;=$D$11,$C$11*Assumptions!J$74,0)</f>
        <v>5000</v>
      </c>
      <c r="K11" s="57" t="n">
        <f aca="false">IF(Assumptions!K$61&gt;=$D$11,$C$11*Assumptions!K$74,0)</f>
        <v>5000</v>
      </c>
      <c r="L11" s="57" t="n">
        <f aca="false">IF(Assumptions!L$61&gt;=$D$11,$C$11*Assumptions!L$74,0)</f>
        <v>5000</v>
      </c>
      <c r="M11" s="57" t="n">
        <f aca="false">IF(Assumptions!M$61&gt;=$D$11,$C$11*Assumptions!M$74,0)</f>
        <v>5000</v>
      </c>
      <c r="N11" s="57" t="n">
        <f aca="false">IF(Assumptions!N$61&gt;=$D$11,$C$11*Assumptions!N$74,0)</f>
        <v>5000</v>
      </c>
      <c r="O11" s="57" t="n">
        <f aca="false">IF(Assumptions!O$61&gt;=$D$11,$C$11*Assumptions!O$74,0)</f>
        <v>5000</v>
      </c>
      <c r="P11" s="57" t="n">
        <f aca="false">IF(Assumptions!P$61&gt;=$D$11,$C$11*Assumptions!P$74,0)</f>
        <v>5000</v>
      </c>
      <c r="Q11" s="57" t="n">
        <f aca="false">IF(Assumptions!Q$61&gt;=$D$11,$C$11*Assumptions!Q$74,0)</f>
        <v>5150</v>
      </c>
      <c r="R11" s="57" t="n">
        <f aca="false">IF(Assumptions!R$61&gt;=$D$11,$C$11*Assumptions!R$74,0)</f>
        <v>5150</v>
      </c>
      <c r="S11" s="57" t="n">
        <f aca="false">IF(Assumptions!S$61&gt;=$D$11,$C$11*Assumptions!S$74,0)</f>
        <v>5150</v>
      </c>
      <c r="T11" s="57" t="n">
        <f aca="false">IF(Assumptions!T$61&gt;=$D$11,$C$11*Assumptions!T$74,0)</f>
        <v>5150</v>
      </c>
      <c r="U11" s="57" t="n">
        <f aca="false">IF(Assumptions!U$61&gt;=$D$11,$C$11*Assumptions!U$74,0)</f>
        <v>5150</v>
      </c>
      <c r="V11" s="57" t="n">
        <f aca="false">IF(Assumptions!V$61&gt;=$D$11,$C$11*Assumptions!V$74,0)</f>
        <v>5150</v>
      </c>
      <c r="W11" s="57" t="n">
        <f aca="false">IF(Assumptions!W$61&gt;=$D$11,$C$11*Assumptions!W$74,0)</f>
        <v>5150</v>
      </c>
      <c r="X11" s="57" t="n">
        <f aca="false">IF(Assumptions!X$61&gt;=$D$11,$C$11*Assumptions!X$74,0)</f>
        <v>5150</v>
      </c>
      <c r="Y11" s="57" t="n">
        <f aca="false">IF(Assumptions!Y$61&gt;=$D$11,$C$11*Assumptions!Y$74,0)</f>
        <v>5150</v>
      </c>
      <c r="Z11" s="57" t="n">
        <f aca="false">IF(Assumptions!Z$61&gt;=$D$11,$C$11*Assumptions!Z$74,0)</f>
        <v>5150</v>
      </c>
      <c r="AA11" s="57" t="n">
        <f aca="false">IF(Assumptions!AA$61&gt;=$D$11,$C$11*Assumptions!AA$74,0)</f>
        <v>5150</v>
      </c>
      <c r="AB11" s="57" t="n">
        <f aca="false">IF(Assumptions!AB$61&gt;=$D$11,$C$11*Assumptions!AB$74,0)</f>
        <v>5150</v>
      </c>
    </row>
    <row r="12" customFormat="false" ht="15" hidden="false" customHeight="true" outlineLevel="0" collapsed="false">
      <c r="A12" s="28" t="s">
        <v>230</v>
      </c>
      <c r="B12" s="55" t="s">
        <v>1054</v>
      </c>
      <c r="C12" s="126" t="n">
        <v>5400</v>
      </c>
      <c r="D12" s="127" t="n">
        <v>45199</v>
      </c>
      <c r="E12" s="57" t="n">
        <f aca="false">IF(Assumptions!E$61&gt;=$D$12,$C$12*Assumptions!E$74,0)</f>
        <v>5400</v>
      </c>
      <c r="F12" s="57" t="n">
        <f aca="false">IF(Assumptions!F$61&gt;=$D$12,$C$12*Assumptions!F$74,0)</f>
        <v>5400</v>
      </c>
      <c r="G12" s="57" t="n">
        <f aca="false">IF(Assumptions!G$61&gt;=$D$12,$C$12*Assumptions!G$74,0)</f>
        <v>5400</v>
      </c>
      <c r="H12" s="57" t="n">
        <f aca="false">IF(Assumptions!H$61&gt;=$D$12,$C$12*Assumptions!H$74,0)</f>
        <v>5400</v>
      </c>
      <c r="I12" s="57" t="n">
        <f aca="false">IF(Assumptions!I$61&gt;=$D$12,$C$12*Assumptions!I$74,0)</f>
        <v>5400</v>
      </c>
      <c r="J12" s="57" t="n">
        <f aca="false">IF(Assumptions!J$61&gt;=$D$12,$C$12*Assumptions!J$74,0)</f>
        <v>5400</v>
      </c>
      <c r="K12" s="57" t="n">
        <f aca="false">IF(Assumptions!K$61&gt;=$D$12,$C$12*Assumptions!K$74,0)</f>
        <v>5400</v>
      </c>
      <c r="L12" s="57" t="n">
        <f aca="false">IF(Assumptions!L$61&gt;=$D$12,$C$12*Assumptions!L$74,0)</f>
        <v>5400</v>
      </c>
      <c r="M12" s="57" t="n">
        <f aca="false">IF(Assumptions!M$61&gt;=$D$12,$C$12*Assumptions!M$74,0)</f>
        <v>5400</v>
      </c>
      <c r="N12" s="57" t="n">
        <f aca="false">IF(Assumptions!N$61&gt;=$D$12,$C$12*Assumptions!N$74,0)</f>
        <v>5400</v>
      </c>
      <c r="O12" s="57" t="n">
        <f aca="false">IF(Assumptions!O$61&gt;=$D$12,$C$12*Assumptions!O$74,0)</f>
        <v>5400</v>
      </c>
      <c r="P12" s="57" t="n">
        <f aca="false">IF(Assumptions!P$61&gt;=$D$12,$C$12*Assumptions!P$74,0)</f>
        <v>5400</v>
      </c>
      <c r="Q12" s="57" t="n">
        <f aca="false">IF(Assumptions!Q$61&gt;=$D$12,$C$12*Assumptions!Q$74,0)</f>
        <v>5562</v>
      </c>
      <c r="R12" s="57" t="n">
        <f aca="false">IF(Assumptions!R$61&gt;=$D$12,$C$12*Assumptions!R$74,0)</f>
        <v>5562</v>
      </c>
      <c r="S12" s="57" t="n">
        <f aca="false">IF(Assumptions!S$61&gt;=$D$12,$C$12*Assumptions!S$74,0)</f>
        <v>5562</v>
      </c>
      <c r="T12" s="57" t="n">
        <f aca="false">IF(Assumptions!T$61&gt;=$D$12,$C$12*Assumptions!T$74,0)</f>
        <v>5562</v>
      </c>
      <c r="U12" s="57" t="n">
        <f aca="false">IF(Assumptions!U$61&gt;=$D$12,$C$12*Assumptions!U$74,0)</f>
        <v>5562</v>
      </c>
      <c r="V12" s="57" t="n">
        <f aca="false">IF(Assumptions!V$61&gt;=$D$12,$C$12*Assumptions!V$74,0)</f>
        <v>5562</v>
      </c>
      <c r="W12" s="57" t="n">
        <f aca="false">IF(Assumptions!W$61&gt;=$D$12,$C$12*Assumptions!W$74,0)</f>
        <v>5562</v>
      </c>
      <c r="X12" s="57" t="n">
        <f aca="false">IF(Assumptions!X$61&gt;=$D$12,$C$12*Assumptions!X$74,0)</f>
        <v>5562</v>
      </c>
      <c r="Y12" s="57" t="n">
        <f aca="false">IF(Assumptions!Y$61&gt;=$D$12,$C$12*Assumptions!Y$74,0)</f>
        <v>5562</v>
      </c>
      <c r="Z12" s="57" t="n">
        <f aca="false">IF(Assumptions!Z$61&gt;=$D$12,$C$12*Assumptions!Z$74,0)</f>
        <v>5562</v>
      </c>
      <c r="AA12" s="57" t="n">
        <f aca="false">IF(Assumptions!AA$61&gt;=$D$12,$C$12*Assumptions!AA$74,0)</f>
        <v>5562</v>
      </c>
      <c r="AB12" s="57" t="n">
        <f aca="false">IF(Assumptions!AB$61&gt;=$D$12,$C$12*Assumptions!AB$74,0)</f>
        <v>5562</v>
      </c>
    </row>
    <row r="13" customFormat="false" ht="15" hidden="false" customHeight="true" outlineLevel="0" collapsed="false">
      <c r="A13" s="28" t="s">
        <v>1055</v>
      </c>
      <c r="B13" s="55" t="s">
        <v>1054</v>
      </c>
      <c r="C13" s="126" t="n">
        <v>3900</v>
      </c>
      <c r="D13" s="127" t="n">
        <v>45351</v>
      </c>
      <c r="E13" s="57" t="n">
        <f aca="false">IF(Assumptions!E$61&gt;=$D$13,$C$13*Assumptions!E$74,0)</f>
        <v>3900</v>
      </c>
      <c r="F13" s="57" t="n">
        <f aca="false">IF(Assumptions!F$61&gt;=$D$13,$C$13*Assumptions!F$74,0)</f>
        <v>3900</v>
      </c>
      <c r="G13" s="57" t="n">
        <f aca="false">IF(Assumptions!G$61&gt;=$D$13,$C$13*Assumptions!G$74,0)</f>
        <v>3900</v>
      </c>
      <c r="H13" s="57" t="n">
        <f aca="false">IF(Assumptions!H$61&gt;=$D$13,$C$13*Assumptions!H$74,0)</f>
        <v>3900</v>
      </c>
      <c r="I13" s="57" t="n">
        <f aca="false">IF(Assumptions!I$61&gt;=$D$13,$C$13*Assumptions!I$74,0)</f>
        <v>3900</v>
      </c>
      <c r="J13" s="57" t="n">
        <f aca="false">IF(Assumptions!J$61&gt;=$D$13,$C$13*Assumptions!J$74,0)</f>
        <v>3900</v>
      </c>
      <c r="K13" s="57" t="n">
        <f aca="false">IF(Assumptions!K$61&gt;=$D$13,$C$13*Assumptions!K$74,0)</f>
        <v>3900</v>
      </c>
      <c r="L13" s="57" t="n">
        <f aca="false">IF(Assumptions!L$61&gt;=$D$13,$C$13*Assumptions!L$74,0)</f>
        <v>3900</v>
      </c>
      <c r="M13" s="57" t="n">
        <f aca="false">IF(Assumptions!M$61&gt;=$D$13,$C$13*Assumptions!M$74,0)</f>
        <v>3900</v>
      </c>
      <c r="N13" s="57" t="n">
        <f aca="false">IF(Assumptions!N$61&gt;=$D$13,$C$13*Assumptions!N$74,0)</f>
        <v>3900</v>
      </c>
      <c r="O13" s="57" t="n">
        <f aca="false">IF(Assumptions!O$61&gt;=$D$13,$C$13*Assumptions!O$74,0)</f>
        <v>3900</v>
      </c>
      <c r="P13" s="57" t="n">
        <f aca="false">IF(Assumptions!P$61&gt;=$D$13,$C$13*Assumptions!P$74,0)</f>
        <v>3900</v>
      </c>
      <c r="Q13" s="57" t="n">
        <f aca="false">IF(Assumptions!Q$61&gt;=$D$13,$C$13*Assumptions!Q$74,0)</f>
        <v>4017</v>
      </c>
      <c r="R13" s="57" t="n">
        <f aca="false">IF(Assumptions!R$61&gt;=$D$13,$C$13*Assumptions!R$74,0)</f>
        <v>4017</v>
      </c>
      <c r="S13" s="57" t="n">
        <f aca="false">IF(Assumptions!S$61&gt;=$D$13,$C$13*Assumptions!S$74,0)</f>
        <v>4017</v>
      </c>
      <c r="T13" s="57" t="n">
        <f aca="false">IF(Assumptions!T$61&gt;=$D$13,$C$13*Assumptions!T$74,0)</f>
        <v>4017</v>
      </c>
      <c r="U13" s="57" t="n">
        <f aca="false">IF(Assumptions!U$61&gt;=$D$13,$C$13*Assumptions!U$74,0)</f>
        <v>4017</v>
      </c>
      <c r="V13" s="57" t="n">
        <f aca="false">IF(Assumptions!V$61&gt;=$D$13,$C$13*Assumptions!V$74,0)</f>
        <v>4017</v>
      </c>
      <c r="W13" s="57" t="n">
        <f aca="false">IF(Assumptions!W$61&gt;=$D$13,$C$13*Assumptions!W$74,0)</f>
        <v>4017</v>
      </c>
      <c r="X13" s="57" t="n">
        <f aca="false">IF(Assumptions!X$61&gt;=$D$13,$C$13*Assumptions!X$74,0)</f>
        <v>4017</v>
      </c>
      <c r="Y13" s="57" t="n">
        <f aca="false">IF(Assumptions!Y$61&gt;=$D$13,$C$13*Assumptions!Y$74,0)</f>
        <v>4017</v>
      </c>
      <c r="Z13" s="57" t="n">
        <f aca="false">IF(Assumptions!Z$61&gt;=$D$13,$C$13*Assumptions!Z$74,0)</f>
        <v>4017</v>
      </c>
      <c r="AA13" s="57" t="n">
        <f aca="false">IF(Assumptions!AA$61&gt;=$D$13,$C$13*Assumptions!AA$74,0)</f>
        <v>4017</v>
      </c>
      <c r="AB13" s="57" t="n">
        <f aca="false">IF(Assumptions!AB$61&gt;=$D$13,$C$13*Assumptions!AB$74,0)</f>
        <v>4017</v>
      </c>
    </row>
    <row r="14" customFormat="false" ht="15" hidden="false" customHeight="true" outlineLevel="0" collapsed="false">
      <c r="A14" s="28" t="s">
        <v>1056</v>
      </c>
      <c r="B14" s="55" t="s">
        <v>1054</v>
      </c>
      <c r="C14" s="126" t="n">
        <v>4300</v>
      </c>
      <c r="D14" s="127" t="n">
        <v>45443</v>
      </c>
      <c r="E14" s="57" t="n">
        <f aca="false">IF(Assumptions!E$61&gt;=$D$14,$C$14*Assumptions!E$74,0)</f>
        <v>4300</v>
      </c>
      <c r="F14" s="57" t="n">
        <f aca="false">IF(Assumptions!F$61&gt;=$D$14,$C$14*Assumptions!F$74,0)</f>
        <v>4300</v>
      </c>
      <c r="G14" s="57" t="n">
        <f aca="false">IF(Assumptions!G$61&gt;=$D$14,$C$14*Assumptions!G$74,0)</f>
        <v>4300</v>
      </c>
      <c r="H14" s="57" t="n">
        <f aca="false">IF(Assumptions!H$61&gt;=$D$14,$C$14*Assumptions!H$74,0)</f>
        <v>4300</v>
      </c>
      <c r="I14" s="57" t="n">
        <f aca="false">IF(Assumptions!I$61&gt;=$D$14,$C$14*Assumptions!I$74,0)</f>
        <v>4300</v>
      </c>
      <c r="J14" s="57" t="n">
        <f aca="false">IF(Assumptions!J$61&gt;=$D$14,$C$14*Assumptions!J$74,0)</f>
        <v>4300</v>
      </c>
      <c r="K14" s="57" t="n">
        <f aca="false">IF(Assumptions!K$61&gt;=$D$14,$C$14*Assumptions!K$74,0)</f>
        <v>4300</v>
      </c>
      <c r="L14" s="57" t="n">
        <f aca="false">IF(Assumptions!L$61&gt;=$D$14,$C$14*Assumptions!L$74,0)</f>
        <v>4300</v>
      </c>
      <c r="M14" s="57" t="n">
        <f aca="false">IF(Assumptions!M$61&gt;=$D$14,$C$14*Assumptions!M$74,0)</f>
        <v>4300</v>
      </c>
      <c r="N14" s="57" t="n">
        <f aca="false">IF(Assumptions!N$61&gt;=$D$14,$C$14*Assumptions!N$74,0)</f>
        <v>4300</v>
      </c>
      <c r="O14" s="57" t="n">
        <f aca="false">IF(Assumptions!O$61&gt;=$D$14,$C$14*Assumptions!O$74,0)</f>
        <v>4300</v>
      </c>
      <c r="P14" s="57" t="n">
        <f aca="false">IF(Assumptions!P$61&gt;=$D$14,$C$14*Assumptions!P$74,0)</f>
        <v>4300</v>
      </c>
      <c r="Q14" s="57" t="n">
        <f aca="false">IF(Assumptions!Q$61&gt;=$D$14,$C$14*Assumptions!Q$74,0)</f>
        <v>4429</v>
      </c>
      <c r="R14" s="57" t="n">
        <f aca="false">IF(Assumptions!R$61&gt;=$D$14,$C$14*Assumptions!R$74,0)</f>
        <v>4429</v>
      </c>
      <c r="S14" s="57" t="n">
        <f aca="false">IF(Assumptions!S$61&gt;=$D$14,$C$14*Assumptions!S$74,0)</f>
        <v>4429</v>
      </c>
      <c r="T14" s="57" t="n">
        <f aca="false">IF(Assumptions!T$61&gt;=$D$14,$C$14*Assumptions!T$74,0)</f>
        <v>4429</v>
      </c>
      <c r="U14" s="57" t="n">
        <f aca="false">IF(Assumptions!U$61&gt;=$D$14,$C$14*Assumptions!U$74,0)</f>
        <v>4429</v>
      </c>
      <c r="V14" s="57" t="n">
        <f aca="false">IF(Assumptions!V$61&gt;=$D$14,$C$14*Assumptions!V$74,0)</f>
        <v>4429</v>
      </c>
      <c r="W14" s="57" t="n">
        <f aca="false">IF(Assumptions!W$61&gt;=$D$14,$C$14*Assumptions!W$74,0)</f>
        <v>4429</v>
      </c>
      <c r="X14" s="57" t="n">
        <f aca="false">IF(Assumptions!X$61&gt;=$D$14,$C$14*Assumptions!X$74,0)</f>
        <v>4429</v>
      </c>
      <c r="Y14" s="57" t="n">
        <f aca="false">IF(Assumptions!Y$61&gt;=$D$14,$C$14*Assumptions!Y$74,0)</f>
        <v>4429</v>
      </c>
      <c r="Z14" s="57" t="n">
        <f aca="false">IF(Assumptions!Z$61&gt;=$D$14,$C$14*Assumptions!Z$74,0)</f>
        <v>4429</v>
      </c>
      <c r="AA14" s="57" t="n">
        <f aca="false">IF(Assumptions!AA$61&gt;=$D$14,$C$14*Assumptions!AA$74,0)</f>
        <v>4429</v>
      </c>
      <c r="AB14" s="57" t="n">
        <f aca="false">IF(Assumptions!AB$61&gt;=$D$14,$C$14*Assumptions!AB$74,0)</f>
        <v>4429</v>
      </c>
    </row>
    <row r="15" customFormat="false" ht="15" hidden="false" customHeight="true" outlineLevel="0" collapsed="false">
      <c r="A15" s="28" t="s">
        <v>1057</v>
      </c>
      <c r="B15" s="55" t="s">
        <v>1054</v>
      </c>
      <c r="C15" s="126" t="n">
        <v>4400</v>
      </c>
      <c r="D15" s="127" t="n">
        <v>45688</v>
      </c>
      <c r="E15" s="57" t="n">
        <f aca="false">IF(Assumptions!E$61&gt;=$D$15,$C$15*Assumptions!E$74,0)</f>
        <v>4400</v>
      </c>
      <c r="F15" s="57" t="n">
        <f aca="false">IF(Assumptions!F$61&gt;=$D$15,$C$15*Assumptions!F$74,0)</f>
        <v>4400</v>
      </c>
      <c r="G15" s="57" t="n">
        <f aca="false">IF(Assumptions!G$61&gt;=$D$15,$C$15*Assumptions!G$74,0)</f>
        <v>4400</v>
      </c>
      <c r="H15" s="57" t="n">
        <f aca="false">IF(Assumptions!H$61&gt;=$D$15,$C$15*Assumptions!H$74,0)</f>
        <v>4400</v>
      </c>
      <c r="I15" s="57" t="n">
        <f aca="false">IF(Assumptions!I$61&gt;=$D$15,$C$15*Assumptions!I$74,0)</f>
        <v>4400</v>
      </c>
      <c r="J15" s="57" t="n">
        <f aca="false">IF(Assumptions!J$61&gt;=$D$15,$C$15*Assumptions!J$74,0)</f>
        <v>4400</v>
      </c>
      <c r="K15" s="57" t="n">
        <f aca="false">IF(Assumptions!K$61&gt;=$D$15,$C$15*Assumptions!K$74,0)</f>
        <v>4400</v>
      </c>
      <c r="L15" s="57" t="n">
        <f aca="false">IF(Assumptions!L$61&gt;=$D$15,$C$15*Assumptions!L$74,0)</f>
        <v>4400</v>
      </c>
      <c r="M15" s="57" t="n">
        <f aca="false">IF(Assumptions!M$61&gt;=$D$15,$C$15*Assumptions!M$74,0)</f>
        <v>4400</v>
      </c>
      <c r="N15" s="57" t="n">
        <f aca="false">IF(Assumptions!N$61&gt;=$D$15,$C$15*Assumptions!N$74,0)</f>
        <v>4400</v>
      </c>
      <c r="O15" s="57" t="n">
        <f aca="false">IF(Assumptions!O$61&gt;=$D$15,$C$15*Assumptions!O$74,0)</f>
        <v>4400</v>
      </c>
      <c r="P15" s="57" t="n">
        <f aca="false">IF(Assumptions!P$61&gt;=$D$15,$C$15*Assumptions!P$74,0)</f>
        <v>4400</v>
      </c>
      <c r="Q15" s="57" t="n">
        <f aca="false">IF(Assumptions!Q$61&gt;=$D$15,$C$15*Assumptions!Q$74,0)</f>
        <v>4532</v>
      </c>
      <c r="R15" s="57" t="n">
        <f aca="false">IF(Assumptions!R$61&gt;=$D$15,$C$15*Assumptions!R$74,0)</f>
        <v>4532</v>
      </c>
      <c r="S15" s="57" t="n">
        <f aca="false">IF(Assumptions!S$61&gt;=$D$15,$C$15*Assumptions!S$74,0)</f>
        <v>4532</v>
      </c>
      <c r="T15" s="57" t="n">
        <f aca="false">IF(Assumptions!T$61&gt;=$D$15,$C$15*Assumptions!T$74,0)</f>
        <v>4532</v>
      </c>
      <c r="U15" s="57" t="n">
        <f aca="false">IF(Assumptions!U$61&gt;=$D$15,$C$15*Assumptions!U$74,0)</f>
        <v>4532</v>
      </c>
      <c r="V15" s="57" t="n">
        <f aca="false">IF(Assumptions!V$61&gt;=$D$15,$C$15*Assumptions!V$74,0)</f>
        <v>4532</v>
      </c>
      <c r="W15" s="57" t="n">
        <f aca="false">IF(Assumptions!W$61&gt;=$D$15,$C$15*Assumptions!W$74,0)</f>
        <v>4532</v>
      </c>
      <c r="X15" s="57" t="n">
        <f aca="false">IF(Assumptions!X$61&gt;=$D$15,$C$15*Assumptions!X$74,0)</f>
        <v>4532</v>
      </c>
      <c r="Y15" s="57" t="n">
        <f aca="false">IF(Assumptions!Y$61&gt;=$D$15,$C$15*Assumptions!Y$74,0)</f>
        <v>4532</v>
      </c>
      <c r="Z15" s="57" t="n">
        <f aca="false">IF(Assumptions!Z$61&gt;=$D$15,$C$15*Assumptions!Z$74,0)</f>
        <v>4532</v>
      </c>
      <c r="AA15" s="57" t="n">
        <f aca="false">IF(Assumptions!AA$61&gt;=$D$15,$C$15*Assumptions!AA$74,0)</f>
        <v>4532</v>
      </c>
      <c r="AB15" s="57" t="n">
        <f aca="false">IF(Assumptions!AB$61&gt;=$D$15,$C$15*Assumptions!AB$74,0)</f>
        <v>4532</v>
      </c>
    </row>
    <row r="16" customFormat="false" ht="15" hidden="false" customHeight="true" outlineLevel="0" collapsed="false">
      <c r="A16" s="28" t="s">
        <v>1058</v>
      </c>
      <c r="B16" s="55" t="s">
        <v>1054</v>
      </c>
      <c r="C16" s="126" t="n">
        <v>3300</v>
      </c>
      <c r="D16" s="127" t="n">
        <v>45777</v>
      </c>
      <c r="E16" s="57" t="n">
        <f aca="false">IF(Assumptions!E$61&gt;=$D$16,$C$16*Assumptions!E$74,0)</f>
        <v>3300</v>
      </c>
      <c r="F16" s="57" t="n">
        <f aca="false">IF(Assumptions!F$61&gt;=$D$16,$C$16*Assumptions!F$74,0)</f>
        <v>3300</v>
      </c>
      <c r="G16" s="57" t="n">
        <f aca="false">IF(Assumptions!G$61&gt;=$D$16,$C$16*Assumptions!G$74,0)</f>
        <v>3300</v>
      </c>
      <c r="H16" s="57" t="n">
        <f aca="false">IF(Assumptions!H$61&gt;=$D$16,$C$16*Assumptions!H$74,0)</f>
        <v>3300</v>
      </c>
      <c r="I16" s="57" t="n">
        <f aca="false">IF(Assumptions!I$61&gt;=$D$16,$C$16*Assumptions!I$74,0)</f>
        <v>3300</v>
      </c>
      <c r="J16" s="57" t="n">
        <f aca="false">IF(Assumptions!J$61&gt;=$D$16,$C$16*Assumptions!J$74,0)</f>
        <v>3300</v>
      </c>
      <c r="K16" s="57" t="n">
        <f aca="false">IF(Assumptions!K$61&gt;=$D$16,$C$16*Assumptions!K$74,0)</f>
        <v>3300</v>
      </c>
      <c r="L16" s="57" t="n">
        <f aca="false">IF(Assumptions!L$61&gt;=$D$16,$C$16*Assumptions!L$74,0)</f>
        <v>3300</v>
      </c>
      <c r="M16" s="57" t="n">
        <f aca="false">IF(Assumptions!M$61&gt;=$D$16,$C$16*Assumptions!M$74,0)</f>
        <v>3300</v>
      </c>
      <c r="N16" s="57" t="n">
        <f aca="false">IF(Assumptions!N$61&gt;=$D$16,$C$16*Assumptions!N$74,0)</f>
        <v>3300</v>
      </c>
      <c r="O16" s="57" t="n">
        <f aca="false">IF(Assumptions!O$61&gt;=$D$16,$C$16*Assumptions!O$74,0)</f>
        <v>3300</v>
      </c>
      <c r="P16" s="57" t="n">
        <f aca="false">IF(Assumptions!P$61&gt;=$D$16,$C$16*Assumptions!P$74,0)</f>
        <v>3300</v>
      </c>
      <c r="Q16" s="57" t="n">
        <f aca="false">IF(Assumptions!Q$61&gt;=$D$16,$C$16*Assumptions!Q$74,0)</f>
        <v>3399</v>
      </c>
      <c r="R16" s="57" t="n">
        <f aca="false">IF(Assumptions!R$61&gt;=$D$16,$C$16*Assumptions!R$74,0)</f>
        <v>3399</v>
      </c>
      <c r="S16" s="57" t="n">
        <f aca="false">IF(Assumptions!S$61&gt;=$D$16,$C$16*Assumptions!S$74,0)</f>
        <v>3399</v>
      </c>
      <c r="T16" s="57" t="n">
        <f aca="false">IF(Assumptions!T$61&gt;=$D$16,$C$16*Assumptions!T$74,0)</f>
        <v>3399</v>
      </c>
      <c r="U16" s="57" t="n">
        <f aca="false">IF(Assumptions!U$61&gt;=$D$16,$C$16*Assumptions!U$74,0)</f>
        <v>3399</v>
      </c>
      <c r="V16" s="57" t="n">
        <f aca="false">IF(Assumptions!V$61&gt;=$D$16,$C$16*Assumptions!V$74,0)</f>
        <v>3399</v>
      </c>
      <c r="W16" s="57" t="n">
        <f aca="false">IF(Assumptions!W$61&gt;=$D$16,$C$16*Assumptions!W$74,0)</f>
        <v>3399</v>
      </c>
      <c r="X16" s="57" t="n">
        <f aca="false">IF(Assumptions!X$61&gt;=$D$16,$C$16*Assumptions!X$74,0)</f>
        <v>3399</v>
      </c>
      <c r="Y16" s="57" t="n">
        <f aca="false">IF(Assumptions!Y$61&gt;=$D$16,$C$16*Assumptions!Y$74,0)</f>
        <v>3399</v>
      </c>
      <c r="Z16" s="57" t="n">
        <f aca="false">IF(Assumptions!Z$61&gt;=$D$16,$C$16*Assumptions!Z$74,0)</f>
        <v>3399</v>
      </c>
      <c r="AA16" s="57" t="n">
        <f aca="false">IF(Assumptions!AA$61&gt;=$D$16,$C$16*Assumptions!AA$74,0)</f>
        <v>3399</v>
      </c>
      <c r="AB16" s="57" t="n">
        <f aca="false">IF(Assumptions!AB$61&gt;=$D$16,$C$16*Assumptions!AB$74,0)</f>
        <v>3399</v>
      </c>
    </row>
    <row r="17" customFormat="false" ht="15" hidden="false" customHeight="true" outlineLevel="0" collapsed="false">
      <c r="A17" s="28" t="s">
        <v>1059</v>
      </c>
      <c r="B17" s="55" t="s">
        <v>1054</v>
      </c>
      <c r="C17" s="126" t="n">
        <v>2700</v>
      </c>
      <c r="D17" s="127" t="n">
        <v>45535</v>
      </c>
      <c r="E17" s="57" t="n">
        <f aca="false">IF(Assumptions!E$61&gt;=$D$17,$C$17*Assumptions!E$74,0)</f>
        <v>2700</v>
      </c>
      <c r="F17" s="57" t="n">
        <f aca="false">IF(Assumptions!F$61&gt;=$D$17,$C$17*Assumptions!F$74,0)</f>
        <v>2700</v>
      </c>
      <c r="G17" s="57" t="n">
        <f aca="false">IF(Assumptions!G$61&gt;=$D$17,$C$17*Assumptions!G$74,0)</f>
        <v>2700</v>
      </c>
      <c r="H17" s="57" t="n">
        <f aca="false">IF(Assumptions!H$61&gt;=$D$17,$C$17*Assumptions!H$74,0)</f>
        <v>2700</v>
      </c>
      <c r="I17" s="57" t="n">
        <f aca="false">IF(Assumptions!I$61&gt;=$D$17,$C$17*Assumptions!I$74,0)</f>
        <v>2700</v>
      </c>
      <c r="J17" s="57" t="n">
        <f aca="false">IF(Assumptions!J$61&gt;=$D$17,$C$17*Assumptions!J$74,0)</f>
        <v>2700</v>
      </c>
      <c r="K17" s="57" t="n">
        <f aca="false">IF(Assumptions!K$61&gt;=$D$17,$C$17*Assumptions!K$74,0)</f>
        <v>2700</v>
      </c>
      <c r="L17" s="57" t="n">
        <f aca="false">IF(Assumptions!L$61&gt;=$D$17,$C$17*Assumptions!L$74,0)</f>
        <v>2700</v>
      </c>
      <c r="M17" s="57" t="n">
        <f aca="false">IF(Assumptions!M$61&gt;=$D$17,$C$17*Assumptions!M$74,0)</f>
        <v>2700</v>
      </c>
      <c r="N17" s="57" t="n">
        <f aca="false">IF(Assumptions!N$61&gt;=$D$17,$C$17*Assumptions!N$74,0)</f>
        <v>2700</v>
      </c>
      <c r="O17" s="57" t="n">
        <f aca="false">IF(Assumptions!O$61&gt;=$D$17,$C$17*Assumptions!O$74,0)</f>
        <v>2700</v>
      </c>
      <c r="P17" s="57" t="n">
        <f aca="false">IF(Assumptions!P$61&gt;=$D$17,$C$17*Assumptions!P$74,0)</f>
        <v>2700</v>
      </c>
      <c r="Q17" s="57" t="n">
        <f aca="false">IF(Assumptions!Q$61&gt;=$D$17,$C$17*Assumptions!Q$74,0)</f>
        <v>2781</v>
      </c>
      <c r="R17" s="57" t="n">
        <f aca="false">IF(Assumptions!R$61&gt;=$D$17,$C$17*Assumptions!R$74,0)</f>
        <v>2781</v>
      </c>
      <c r="S17" s="57" t="n">
        <f aca="false">IF(Assumptions!S$61&gt;=$D$17,$C$17*Assumptions!S$74,0)</f>
        <v>2781</v>
      </c>
      <c r="T17" s="57" t="n">
        <f aca="false">IF(Assumptions!T$61&gt;=$D$17,$C$17*Assumptions!T$74,0)</f>
        <v>2781</v>
      </c>
      <c r="U17" s="57" t="n">
        <f aca="false">IF(Assumptions!U$61&gt;=$D$17,$C$17*Assumptions!U$74,0)</f>
        <v>2781</v>
      </c>
      <c r="V17" s="57" t="n">
        <f aca="false">IF(Assumptions!V$61&gt;=$D$17,$C$17*Assumptions!V$74,0)</f>
        <v>2781</v>
      </c>
      <c r="W17" s="57" t="n">
        <f aca="false">IF(Assumptions!W$61&gt;=$D$17,$C$17*Assumptions!W$74,0)</f>
        <v>2781</v>
      </c>
      <c r="X17" s="57" t="n">
        <f aca="false">IF(Assumptions!X$61&gt;=$D$17,$C$17*Assumptions!X$74,0)</f>
        <v>2781</v>
      </c>
      <c r="Y17" s="57" t="n">
        <f aca="false">IF(Assumptions!Y$61&gt;=$D$17,$C$17*Assumptions!Y$74,0)</f>
        <v>2781</v>
      </c>
      <c r="Z17" s="57" t="n">
        <f aca="false">IF(Assumptions!Z$61&gt;=$D$17,$C$17*Assumptions!Z$74,0)</f>
        <v>2781</v>
      </c>
      <c r="AA17" s="57" t="n">
        <f aca="false">IF(Assumptions!AA$61&gt;=$D$17,$C$17*Assumptions!AA$74,0)</f>
        <v>2781</v>
      </c>
      <c r="AB17" s="57" t="n">
        <f aca="false">IF(Assumptions!AB$61&gt;=$D$17,$C$17*Assumptions!AB$74,0)</f>
        <v>2781</v>
      </c>
    </row>
    <row r="18" customFormat="false" ht="15" hidden="false" customHeight="true" outlineLevel="0" collapsed="false">
      <c r="A18" s="28" t="s">
        <v>1060</v>
      </c>
      <c r="B18" s="55" t="s">
        <v>1054</v>
      </c>
      <c r="C18" s="126" t="n">
        <v>2700</v>
      </c>
      <c r="D18" s="127" t="n">
        <v>46142</v>
      </c>
      <c r="E18" s="57" t="n">
        <f aca="false">IF(Assumptions!E$61&gt;=$D$18,$C$18*Assumptions!E$74,0)</f>
        <v>0</v>
      </c>
      <c r="F18" s="57" t="n">
        <f aca="false">IF(Assumptions!F$61&gt;=$D$18,$C$18*Assumptions!F$74,0)</f>
        <v>0</v>
      </c>
      <c r="G18" s="57" t="n">
        <f aca="false">IF(Assumptions!G$61&gt;=$D$18,$C$18*Assumptions!G$74,0)</f>
        <v>0</v>
      </c>
      <c r="H18" s="57" t="n">
        <f aca="false">IF(Assumptions!H$61&gt;=$D$18,$C$18*Assumptions!H$74,0)</f>
        <v>2700</v>
      </c>
      <c r="I18" s="57" t="n">
        <f aca="false">IF(Assumptions!I$61&gt;=$D$18,$C$18*Assumptions!I$74,0)</f>
        <v>2700</v>
      </c>
      <c r="J18" s="57" t="n">
        <f aca="false">IF(Assumptions!J$61&gt;=$D$18,$C$18*Assumptions!J$74,0)</f>
        <v>2700</v>
      </c>
      <c r="K18" s="57" t="n">
        <f aca="false">IF(Assumptions!K$61&gt;=$D$18,$C$18*Assumptions!K$74,0)</f>
        <v>2700</v>
      </c>
      <c r="L18" s="57" t="n">
        <f aca="false">IF(Assumptions!L$61&gt;=$D$18,$C$18*Assumptions!L$74,0)</f>
        <v>2700</v>
      </c>
      <c r="M18" s="57" t="n">
        <f aca="false">IF(Assumptions!M$61&gt;=$D$18,$C$18*Assumptions!M$74,0)</f>
        <v>2700</v>
      </c>
      <c r="N18" s="57" t="n">
        <f aca="false">IF(Assumptions!N$61&gt;=$D$18,$C$18*Assumptions!N$74,0)</f>
        <v>2700</v>
      </c>
      <c r="O18" s="57" t="n">
        <f aca="false">IF(Assumptions!O$61&gt;=$D$18,$C$18*Assumptions!O$74,0)</f>
        <v>2700</v>
      </c>
      <c r="P18" s="57" t="n">
        <f aca="false">IF(Assumptions!P$61&gt;=$D$18,$C$18*Assumptions!P$74,0)</f>
        <v>2700</v>
      </c>
      <c r="Q18" s="57" t="n">
        <f aca="false">IF(Assumptions!Q$61&gt;=$D$18,$C$18*Assumptions!Q$74,0)</f>
        <v>2781</v>
      </c>
      <c r="R18" s="57" t="n">
        <f aca="false">IF(Assumptions!R$61&gt;=$D$18,$C$18*Assumptions!R$74,0)</f>
        <v>2781</v>
      </c>
      <c r="S18" s="57" t="n">
        <f aca="false">IF(Assumptions!S$61&gt;=$D$18,$C$18*Assumptions!S$74,0)</f>
        <v>2781</v>
      </c>
      <c r="T18" s="57" t="n">
        <f aca="false">IF(Assumptions!T$61&gt;=$D$18,$C$18*Assumptions!T$74,0)</f>
        <v>2781</v>
      </c>
      <c r="U18" s="57" t="n">
        <f aca="false">IF(Assumptions!U$61&gt;=$D$18,$C$18*Assumptions!U$74,0)</f>
        <v>2781</v>
      </c>
      <c r="V18" s="57" t="n">
        <f aca="false">IF(Assumptions!V$61&gt;=$D$18,$C$18*Assumptions!V$74,0)</f>
        <v>2781</v>
      </c>
      <c r="W18" s="57" t="n">
        <f aca="false">IF(Assumptions!W$61&gt;=$D$18,$C$18*Assumptions!W$74,0)</f>
        <v>2781</v>
      </c>
      <c r="X18" s="57" t="n">
        <f aca="false">IF(Assumptions!X$61&gt;=$D$18,$C$18*Assumptions!X$74,0)</f>
        <v>2781</v>
      </c>
      <c r="Y18" s="57" t="n">
        <f aca="false">IF(Assumptions!Y$61&gt;=$D$18,$C$18*Assumptions!Y$74,0)</f>
        <v>2781</v>
      </c>
      <c r="Z18" s="57" t="n">
        <f aca="false">IF(Assumptions!Z$61&gt;=$D$18,$C$18*Assumptions!Z$74,0)</f>
        <v>2781</v>
      </c>
      <c r="AA18" s="57" t="n">
        <f aca="false">IF(Assumptions!AA$61&gt;=$D$18,$C$18*Assumptions!AA$74,0)</f>
        <v>2781</v>
      </c>
      <c r="AB18" s="57" t="n">
        <f aca="false">IF(Assumptions!AB$61&gt;=$D$18,$C$18*Assumptions!AB$74,0)</f>
        <v>2781</v>
      </c>
    </row>
    <row r="19" customFormat="false" ht="15" hidden="false" customHeight="true" outlineLevel="0" collapsed="false">
      <c r="A19" s="28" t="s">
        <v>1061</v>
      </c>
      <c r="B19" s="55" t="s">
        <v>1054</v>
      </c>
      <c r="C19" s="126" t="n">
        <v>3800</v>
      </c>
      <c r="D19" s="127" t="n">
        <v>45961</v>
      </c>
      <c r="E19" s="57" t="n">
        <f aca="false">IF(Assumptions!E$61&gt;=$D$19,$C$19*Assumptions!E$74,0)</f>
        <v>3800</v>
      </c>
      <c r="F19" s="57" t="n">
        <f aca="false">IF(Assumptions!F$61&gt;=$D$19,$C$19*Assumptions!F$74,0)</f>
        <v>3800</v>
      </c>
      <c r="G19" s="57" t="n">
        <f aca="false">IF(Assumptions!G$61&gt;=$D$19,$C$19*Assumptions!G$74,0)</f>
        <v>3800</v>
      </c>
      <c r="H19" s="57" t="n">
        <f aca="false">IF(Assumptions!H$61&gt;=$D$19,$C$19*Assumptions!H$74,0)</f>
        <v>3800</v>
      </c>
      <c r="I19" s="57" t="n">
        <f aca="false">IF(Assumptions!I$61&gt;=$D$19,$C$19*Assumptions!I$74,0)</f>
        <v>3800</v>
      </c>
      <c r="J19" s="57" t="n">
        <f aca="false">IF(Assumptions!J$61&gt;=$D$19,$C$19*Assumptions!J$74,0)</f>
        <v>3800</v>
      </c>
      <c r="K19" s="57" t="n">
        <f aca="false">IF(Assumptions!K$61&gt;=$D$19,$C$19*Assumptions!K$74,0)</f>
        <v>3800</v>
      </c>
      <c r="L19" s="57" t="n">
        <f aca="false">IF(Assumptions!L$61&gt;=$D$19,$C$19*Assumptions!L$74,0)</f>
        <v>3800</v>
      </c>
      <c r="M19" s="57" t="n">
        <f aca="false">IF(Assumptions!M$61&gt;=$D$19,$C$19*Assumptions!M$74,0)</f>
        <v>3800</v>
      </c>
      <c r="N19" s="57" t="n">
        <f aca="false">IF(Assumptions!N$61&gt;=$D$19,$C$19*Assumptions!N$74,0)</f>
        <v>3800</v>
      </c>
      <c r="O19" s="57" t="n">
        <f aca="false">IF(Assumptions!O$61&gt;=$D$19,$C$19*Assumptions!O$74,0)</f>
        <v>3800</v>
      </c>
      <c r="P19" s="57" t="n">
        <f aca="false">IF(Assumptions!P$61&gt;=$D$19,$C$19*Assumptions!P$74,0)</f>
        <v>3800</v>
      </c>
      <c r="Q19" s="57" t="n">
        <f aca="false">IF(Assumptions!Q$61&gt;=$D$19,$C$19*Assumptions!Q$74,0)</f>
        <v>3914</v>
      </c>
      <c r="R19" s="57" t="n">
        <f aca="false">IF(Assumptions!R$61&gt;=$D$19,$C$19*Assumptions!R$74,0)</f>
        <v>3914</v>
      </c>
      <c r="S19" s="57" t="n">
        <f aca="false">IF(Assumptions!S$61&gt;=$D$19,$C$19*Assumptions!S$74,0)</f>
        <v>3914</v>
      </c>
      <c r="T19" s="57" t="n">
        <f aca="false">IF(Assumptions!T$61&gt;=$D$19,$C$19*Assumptions!T$74,0)</f>
        <v>3914</v>
      </c>
      <c r="U19" s="57" t="n">
        <f aca="false">IF(Assumptions!U$61&gt;=$D$19,$C$19*Assumptions!U$74,0)</f>
        <v>3914</v>
      </c>
      <c r="V19" s="57" t="n">
        <f aca="false">IF(Assumptions!V$61&gt;=$D$19,$C$19*Assumptions!V$74,0)</f>
        <v>3914</v>
      </c>
      <c r="W19" s="57" t="n">
        <f aca="false">IF(Assumptions!W$61&gt;=$D$19,$C$19*Assumptions!W$74,0)</f>
        <v>3914</v>
      </c>
      <c r="X19" s="57" t="n">
        <f aca="false">IF(Assumptions!X$61&gt;=$D$19,$C$19*Assumptions!X$74,0)</f>
        <v>3914</v>
      </c>
      <c r="Y19" s="57" t="n">
        <f aca="false">IF(Assumptions!Y$61&gt;=$D$19,$C$19*Assumptions!Y$74,0)</f>
        <v>3914</v>
      </c>
      <c r="Z19" s="57" t="n">
        <f aca="false">IF(Assumptions!Z$61&gt;=$D$19,$C$19*Assumptions!Z$74,0)</f>
        <v>3914</v>
      </c>
      <c r="AA19" s="57" t="n">
        <f aca="false">IF(Assumptions!AA$61&gt;=$D$19,$C$19*Assumptions!AA$74,0)</f>
        <v>3914</v>
      </c>
      <c r="AB19" s="57" t="n">
        <f aca="false">IF(Assumptions!AB$61&gt;=$D$19,$C$19*Assumptions!AB$74,0)</f>
        <v>3914</v>
      </c>
    </row>
    <row r="20" customFormat="false" ht="15" hidden="false" customHeight="true" outlineLevel="0" collapsed="false">
      <c r="A20" s="28" t="s">
        <v>1062</v>
      </c>
      <c r="B20" s="55" t="s">
        <v>1054</v>
      </c>
      <c r="C20" s="126" t="n">
        <v>2700</v>
      </c>
      <c r="D20" s="127" t="n">
        <v>46326</v>
      </c>
      <c r="E20" s="57" t="n">
        <f aca="false">IF(Assumptions!E$61&gt;=$D$20,$C$20*Assumptions!E$74*Assumptions!$F$118,0)</f>
        <v>0</v>
      </c>
      <c r="F20" s="57" t="n">
        <f aca="false">IF(Assumptions!F$61&gt;=$D$20,$C$20*Assumptions!F$74*Assumptions!$F$118,0)</f>
        <v>0</v>
      </c>
      <c r="G20" s="57" t="n">
        <f aca="false">IF(Assumptions!G$61&gt;=$D$20,$C$20*Assumptions!G$74*Assumptions!$F$118,0)</f>
        <v>0</v>
      </c>
      <c r="H20" s="57" t="n">
        <f aca="false">IF(Assumptions!H$61&gt;=$D$20,$C$20*Assumptions!H$74*Assumptions!$F$118,0)</f>
        <v>0</v>
      </c>
      <c r="I20" s="57" t="n">
        <f aca="false">IF(Assumptions!I$61&gt;=$D$20,$C$20*Assumptions!I$74*Assumptions!$F$118,0)</f>
        <v>0</v>
      </c>
      <c r="J20" s="57" t="n">
        <f aca="false">IF(Assumptions!J$61&gt;=$D$20,$C$20*Assumptions!J$74*Assumptions!$F$118,0)</f>
        <v>0</v>
      </c>
      <c r="K20" s="57" t="n">
        <f aca="false">IF(Assumptions!K$61&gt;=$D$20,$C$20*Assumptions!K$74*Assumptions!$F$118,0)</f>
        <v>0</v>
      </c>
      <c r="L20" s="57" t="n">
        <f aca="false">IF(Assumptions!L$61&gt;=$D$20,$C$20*Assumptions!L$74*Assumptions!$F$118,0)</f>
        <v>0</v>
      </c>
      <c r="M20" s="57" t="n">
        <f aca="false">IF(Assumptions!M$61&gt;=$D$20,$C$20*Assumptions!M$74*Assumptions!$F$118,0)</f>
        <v>0</v>
      </c>
      <c r="N20" s="57" t="n">
        <f aca="false">IF(Assumptions!N$61&gt;=$D$20,$C$20*Assumptions!N$74*Assumptions!$F$118,0)</f>
        <v>2700</v>
      </c>
      <c r="O20" s="57" t="n">
        <f aca="false">IF(Assumptions!O$61&gt;=$D$20,$C$20*Assumptions!O$74*Assumptions!$F$118,0)</f>
        <v>2700</v>
      </c>
      <c r="P20" s="57" t="n">
        <f aca="false">IF(Assumptions!P$61&gt;=$D$20,$C$20*Assumptions!P$74*Assumptions!$F$118,0)</f>
        <v>2700</v>
      </c>
      <c r="Q20" s="57" t="n">
        <f aca="false">IF(Assumptions!Q$61&gt;=$D$20,$C$20*Assumptions!Q$74*Assumptions!$F$118,0)</f>
        <v>2781</v>
      </c>
      <c r="R20" s="57" t="n">
        <f aca="false">IF(Assumptions!R$61&gt;=$D$20,$C$20*Assumptions!R$74*Assumptions!$F$118,0)</f>
        <v>2781</v>
      </c>
      <c r="S20" s="57" t="n">
        <f aca="false">IF(Assumptions!S$61&gt;=$D$20,$C$20*Assumptions!S$74*Assumptions!$F$118,0)</f>
        <v>2781</v>
      </c>
      <c r="T20" s="57" t="n">
        <f aca="false">IF(Assumptions!T$61&gt;=$D$20,$C$20*Assumptions!T$74*Assumptions!$F$118,0)</f>
        <v>2781</v>
      </c>
      <c r="U20" s="57" t="n">
        <f aca="false">IF(Assumptions!U$61&gt;=$D$20,$C$20*Assumptions!U$74*Assumptions!$F$118,0)</f>
        <v>2781</v>
      </c>
      <c r="V20" s="57" t="n">
        <f aca="false">IF(Assumptions!V$61&gt;=$D$20,$C$20*Assumptions!V$74*Assumptions!$F$118,0)</f>
        <v>2781</v>
      </c>
      <c r="W20" s="57" t="n">
        <f aca="false">IF(Assumptions!W$61&gt;=$D$20,$C$20*Assumptions!W$74*Assumptions!$F$118,0)</f>
        <v>2781</v>
      </c>
      <c r="X20" s="57" t="n">
        <f aca="false">IF(Assumptions!X$61&gt;=$D$20,$C$20*Assumptions!X$74*Assumptions!$F$118,0)</f>
        <v>2781</v>
      </c>
      <c r="Y20" s="57" t="n">
        <f aca="false">IF(Assumptions!Y$61&gt;=$D$20,$C$20*Assumptions!Y$74*Assumptions!$F$118,0)</f>
        <v>2781</v>
      </c>
      <c r="Z20" s="57" t="n">
        <f aca="false">IF(Assumptions!Z$61&gt;=$D$20,$C$20*Assumptions!Z$74*Assumptions!$F$118,0)</f>
        <v>2781</v>
      </c>
      <c r="AA20" s="57" t="n">
        <f aca="false">IF(Assumptions!AA$61&gt;=$D$20,$C$20*Assumptions!AA$74*Assumptions!$F$118,0)</f>
        <v>2781</v>
      </c>
      <c r="AB20" s="57" t="n">
        <f aca="false">IF(Assumptions!AB$61&gt;=$D$20,$C$20*Assumptions!AB$74*Assumptions!$F$118,0)</f>
        <v>2781</v>
      </c>
    </row>
    <row r="21" customFormat="false" ht="15" hidden="false" customHeight="true" outlineLevel="0" collapsed="false">
      <c r="A21" s="28" t="s">
        <v>1063</v>
      </c>
      <c r="B21" s="55" t="s">
        <v>1054</v>
      </c>
      <c r="C21" s="126" t="n">
        <v>4200</v>
      </c>
      <c r="D21" s="127" t="n">
        <v>46356</v>
      </c>
      <c r="E21" s="57" t="n">
        <f aca="false">IF(Assumptions!E$61&gt;=$D$21,$C$21*Assumptions!E$74*Assumptions!$F$118,0)</f>
        <v>0</v>
      </c>
      <c r="F21" s="57" t="n">
        <f aca="false">IF(Assumptions!F$61&gt;=$D$21,$C$21*Assumptions!F$74*Assumptions!$F$118,0)</f>
        <v>0</v>
      </c>
      <c r="G21" s="57" t="n">
        <f aca="false">IF(Assumptions!G$61&gt;=$D$21,$C$21*Assumptions!G$74*Assumptions!$F$118,0)</f>
        <v>0</v>
      </c>
      <c r="H21" s="57" t="n">
        <f aca="false">IF(Assumptions!H$61&gt;=$D$21,$C$21*Assumptions!H$74*Assumptions!$F$118,0)</f>
        <v>0</v>
      </c>
      <c r="I21" s="57" t="n">
        <f aca="false">IF(Assumptions!I$61&gt;=$D$21,$C$21*Assumptions!I$74*Assumptions!$F$118,0)</f>
        <v>0</v>
      </c>
      <c r="J21" s="57" t="n">
        <f aca="false">IF(Assumptions!J$61&gt;=$D$21,$C$21*Assumptions!J$74*Assumptions!$F$118,0)</f>
        <v>0</v>
      </c>
      <c r="K21" s="57" t="n">
        <f aca="false">IF(Assumptions!K$61&gt;=$D$21,$C$21*Assumptions!K$74*Assumptions!$F$118,0)</f>
        <v>0</v>
      </c>
      <c r="L21" s="57" t="n">
        <f aca="false">IF(Assumptions!L$61&gt;=$D$21,$C$21*Assumptions!L$74*Assumptions!$F$118,0)</f>
        <v>0</v>
      </c>
      <c r="M21" s="57" t="n">
        <f aca="false">IF(Assumptions!M$61&gt;=$D$21,$C$21*Assumptions!M$74*Assumptions!$F$118,0)</f>
        <v>0</v>
      </c>
      <c r="N21" s="57" t="n">
        <f aca="false">IF(Assumptions!N$61&gt;=$D$21,$C$21*Assumptions!N$74*Assumptions!$F$118,0)</f>
        <v>0</v>
      </c>
      <c r="O21" s="57" t="n">
        <f aca="false">IF(Assumptions!O$61&gt;=$D$21,$C$21*Assumptions!O$74*Assumptions!$F$118,0)</f>
        <v>4200</v>
      </c>
      <c r="P21" s="57" t="n">
        <f aca="false">IF(Assumptions!P$61&gt;=$D$21,$C$21*Assumptions!P$74*Assumptions!$F$118,0)</f>
        <v>4200</v>
      </c>
      <c r="Q21" s="57" t="n">
        <f aca="false">IF(Assumptions!Q$61&gt;=$D$21,$C$21*Assumptions!Q$74*Assumptions!$F$118,0)</f>
        <v>4326</v>
      </c>
      <c r="R21" s="57" t="n">
        <f aca="false">IF(Assumptions!R$61&gt;=$D$21,$C$21*Assumptions!R$74*Assumptions!$F$118,0)</f>
        <v>4326</v>
      </c>
      <c r="S21" s="57" t="n">
        <f aca="false">IF(Assumptions!S$61&gt;=$D$21,$C$21*Assumptions!S$74*Assumptions!$F$118,0)</f>
        <v>4326</v>
      </c>
      <c r="T21" s="57" t="n">
        <f aca="false">IF(Assumptions!T$61&gt;=$D$21,$C$21*Assumptions!T$74*Assumptions!$F$118,0)</f>
        <v>4326</v>
      </c>
      <c r="U21" s="57" t="n">
        <f aca="false">IF(Assumptions!U$61&gt;=$D$21,$C$21*Assumptions!U$74*Assumptions!$F$118,0)</f>
        <v>4326</v>
      </c>
      <c r="V21" s="57" t="n">
        <f aca="false">IF(Assumptions!V$61&gt;=$D$21,$C$21*Assumptions!V$74*Assumptions!$F$118,0)</f>
        <v>4326</v>
      </c>
      <c r="W21" s="57" t="n">
        <f aca="false">IF(Assumptions!W$61&gt;=$D$21,$C$21*Assumptions!W$74*Assumptions!$F$118,0)</f>
        <v>4326</v>
      </c>
      <c r="X21" s="57" t="n">
        <f aca="false">IF(Assumptions!X$61&gt;=$D$21,$C$21*Assumptions!X$74*Assumptions!$F$118,0)</f>
        <v>4326</v>
      </c>
      <c r="Y21" s="57" t="n">
        <f aca="false">IF(Assumptions!Y$61&gt;=$D$21,$C$21*Assumptions!Y$74*Assumptions!$F$118,0)</f>
        <v>4326</v>
      </c>
      <c r="Z21" s="57" t="n">
        <f aca="false">IF(Assumptions!Z$61&gt;=$D$21,$C$21*Assumptions!Z$74*Assumptions!$F$118,0)</f>
        <v>4326</v>
      </c>
      <c r="AA21" s="57" t="n">
        <f aca="false">IF(Assumptions!AA$61&gt;=$D$21,$C$21*Assumptions!AA$74*Assumptions!$F$118,0)</f>
        <v>4326</v>
      </c>
      <c r="AB21" s="57" t="n">
        <f aca="false">IF(Assumptions!AB$61&gt;=$D$21,$C$21*Assumptions!AB$74*Assumptions!$F$118,0)</f>
        <v>4326</v>
      </c>
    </row>
    <row r="22" customFormat="false" ht="15" hidden="false" customHeight="true" outlineLevel="0" collapsed="false">
      <c r="A22" s="28" t="s">
        <v>1064</v>
      </c>
      <c r="B22" s="55" t="s">
        <v>1054</v>
      </c>
      <c r="C22" s="126" t="n">
        <v>4600</v>
      </c>
      <c r="D22" s="127" t="n">
        <v>46446</v>
      </c>
      <c r="E22" s="57" t="n">
        <f aca="false">IF(Assumptions!E$61&gt;=$D$22,$C$22*Assumptions!E$74*Assumptions!$F$118,0)</f>
        <v>0</v>
      </c>
      <c r="F22" s="57" t="n">
        <f aca="false">IF(Assumptions!F$61&gt;=$D$22,$C$22*Assumptions!F$74*Assumptions!$F$118,0)</f>
        <v>0</v>
      </c>
      <c r="G22" s="57" t="n">
        <f aca="false">IF(Assumptions!G$61&gt;=$D$22,$C$22*Assumptions!G$74*Assumptions!$F$118,0)</f>
        <v>0</v>
      </c>
      <c r="H22" s="57" t="n">
        <f aca="false">IF(Assumptions!H$61&gt;=$D$22,$C$22*Assumptions!H$74*Assumptions!$F$118,0)</f>
        <v>0</v>
      </c>
      <c r="I22" s="57" t="n">
        <f aca="false">IF(Assumptions!I$61&gt;=$D$22,$C$22*Assumptions!I$74*Assumptions!$F$118,0)</f>
        <v>0</v>
      </c>
      <c r="J22" s="57" t="n">
        <f aca="false">IF(Assumptions!J$61&gt;=$D$22,$C$22*Assumptions!J$74*Assumptions!$F$118,0)</f>
        <v>0</v>
      </c>
      <c r="K22" s="57" t="n">
        <f aca="false">IF(Assumptions!K$61&gt;=$D$22,$C$22*Assumptions!K$74*Assumptions!$F$118,0)</f>
        <v>0</v>
      </c>
      <c r="L22" s="57" t="n">
        <f aca="false">IF(Assumptions!L$61&gt;=$D$22,$C$22*Assumptions!L$74*Assumptions!$F$118,0)</f>
        <v>0</v>
      </c>
      <c r="M22" s="57" t="n">
        <f aca="false">IF(Assumptions!M$61&gt;=$D$22,$C$22*Assumptions!M$74*Assumptions!$F$118,0)</f>
        <v>0</v>
      </c>
      <c r="N22" s="57" t="n">
        <f aca="false">IF(Assumptions!N$61&gt;=$D$22,$C$22*Assumptions!N$74*Assumptions!$F$118,0)</f>
        <v>0</v>
      </c>
      <c r="O22" s="57" t="n">
        <f aca="false">IF(Assumptions!O$61&gt;=$D$22,$C$22*Assumptions!O$74*Assumptions!$F$118,0)</f>
        <v>0</v>
      </c>
      <c r="P22" s="57" t="n">
        <f aca="false">IF(Assumptions!P$61&gt;=$D$22,$C$22*Assumptions!P$74*Assumptions!$F$118,0)</f>
        <v>0</v>
      </c>
      <c r="Q22" s="57" t="n">
        <f aca="false">IF(Assumptions!Q$61&gt;=$D$22,$C$22*Assumptions!Q$74*Assumptions!$F$118,0)</f>
        <v>0</v>
      </c>
      <c r="R22" s="57" t="n">
        <f aca="false">IF(Assumptions!R$61&gt;=$D$22,$C$22*Assumptions!R$74*Assumptions!$F$118,0)</f>
        <v>4738</v>
      </c>
      <c r="S22" s="57" t="n">
        <f aca="false">IF(Assumptions!S$61&gt;=$D$22,$C$22*Assumptions!S$74*Assumptions!$F$118,0)</f>
        <v>4738</v>
      </c>
      <c r="T22" s="57" t="n">
        <f aca="false">IF(Assumptions!T$61&gt;=$D$22,$C$22*Assumptions!T$74*Assumptions!$F$118,0)</f>
        <v>4738</v>
      </c>
      <c r="U22" s="57" t="n">
        <f aca="false">IF(Assumptions!U$61&gt;=$D$22,$C$22*Assumptions!U$74*Assumptions!$F$118,0)</f>
        <v>4738</v>
      </c>
      <c r="V22" s="57" t="n">
        <f aca="false">IF(Assumptions!V$61&gt;=$D$22,$C$22*Assumptions!V$74*Assumptions!$F$118,0)</f>
        <v>4738</v>
      </c>
      <c r="W22" s="57" t="n">
        <f aca="false">IF(Assumptions!W$61&gt;=$D$22,$C$22*Assumptions!W$74*Assumptions!$F$118,0)</f>
        <v>4738</v>
      </c>
      <c r="X22" s="57" t="n">
        <f aca="false">IF(Assumptions!X$61&gt;=$D$22,$C$22*Assumptions!X$74*Assumptions!$F$118,0)</f>
        <v>4738</v>
      </c>
      <c r="Y22" s="57" t="n">
        <f aca="false">IF(Assumptions!Y$61&gt;=$D$22,$C$22*Assumptions!Y$74*Assumptions!$F$118,0)</f>
        <v>4738</v>
      </c>
      <c r="Z22" s="57" t="n">
        <f aca="false">IF(Assumptions!Z$61&gt;=$D$22,$C$22*Assumptions!Z$74*Assumptions!$F$118,0)</f>
        <v>4738</v>
      </c>
      <c r="AA22" s="57" t="n">
        <f aca="false">IF(Assumptions!AA$61&gt;=$D$22,$C$22*Assumptions!AA$74*Assumptions!$F$118,0)</f>
        <v>4738</v>
      </c>
      <c r="AB22" s="57" t="n">
        <f aca="false">IF(Assumptions!AB$61&gt;=$D$22,$C$22*Assumptions!AB$74*Assumptions!$F$118,0)</f>
        <v>4738</v>
      </c>
    </row>
    <row r="23" customFormat="false" ht="15" hidden="false" customHeight="true" outlineLevel="0" collapsed="false">
      <c r="A23" s="70" t="s">
        <v>1065</v>
      </c>
      <c r="B23" s="71" t="s">
        <v>1066</v>
      </c>
      <c r="C23" s="72" t="n">
        <f aca="false">SUM(E23:P23)</f>
        <v>594000</v>
      </c>
      <c r="D23" s="72" t="n">
        <f aca="false">SUM(Q23:AB23)</f>
        <v>740570</v>
      </c>
      <c r="E23" s="72" t="n">
        <f aca="false">SUM(E9:E22)</f>
        <v>46100</v>
      </c>
      <c r="F23" s="72" t="n">
        <f aca="false">SUM(F9:F22)</f>
        <v>46100</v>
      </c>
      <c r="G23" s="72" t="n">
        <f aca="false">SUM(G9:G22)</f>
        <v>46100</v>
      </c>
      <c r="H23" s="72" t="n">
        <f aca="false">SUM(H9:H22)</f>
        <v>48800</v>
      </c>
      <c r="I23" s="72" t="n">
        <f aca="false">SUM(I9:I22)</f>
        <v>48800</v>
      </c>
      <c r="J23" s="72" t="n">
        <f aca="false">SUM(J9:J22)</f>
        <v>48800</v>
      </c>
      <c r="K23" s="72" t="n">
        <f aca="false">SUM(K9:K22)</f>
        <v>48800</v>
      </c>
      <c r="L23" s="72" t="n">
        <f aca="false">SUM(L9:L22)</f>
        <v>48800</v>
      </c>
      <c r="M23" s="72" t="n">
        <f aca="false">SUM(M9:M22)</f>
        <v>48800</v>
      </c>
      <c r="N23" s="72" t="n">
        <f aca="false">SUM(N9:N22)</f>
        <v>51500</v>
      </c>
      <c r="O23" s="72" t="n">
        <f aca="false">SUM(O9:O22)</f>
        <v>55700</v>
      </c>
      <c r="P23" s="72" t="n">
        <f aca="false">SUM(P9:P22)</f>
        <v>55700</v>
      </c>
      <c r="Q23" s="72" t="n">
        <f aca="false">SUM(Q9:Q22)</f>
        <v>57371</v>
      </c>
      <c r="R23" s="72" t="n">
        <f aca="false">SUM(R9:R22)</f>
        <v>62109</v>
      </c>
      <c r="S23" s="72" t="n">
        <f aca="false">SUM(S9:S22)</f>
        <v>62109</v>
      </c>
      <c r="T23" s="72" t="n">
        <f aca="false">SUM(T9:T22)</f>
        <v>62109</v>
      </c>
      <c r="U23" s="72" t="n">
        <f aca="false">SUM(U9:U22)</f>
        <v>62109</v>
      </c>
      <c r="V23" s="72" t="n">
        <f aca="false">SUM(V9:V22)</f>
        <v>62109</v>
      </c>
      <c r="W23" s="72" t="n">
        <f aca="false">SUM(W9:W22)</f>
        <v>62109</v>
      </c>
      <c r="X23" s="72" t="n">
        <f aca="false">SUM(X9:X22)</f>
        <v>62109</v>
      </c>
      <c r="Y23" s="72" t="n">
        <f aca="false">SUM(Y9:Y22)</f>
        <v>62109</v>
      </c>
      <c r="Z23" s="72" t="n">
        <f aca="false">SUM(Z9:Z22)</f>
        <v>62109</v>
      </c>
      <c r="AA23" s="72" t="n">
        <f aca="false">SUM(AA9:AA22)</f>
        <v>62109</v>
      </c>
      <c r="AB23" s="72" t="n">
        <f aca="false">SUM(AB9:AB22)</f>
        <v>62109</v>
      </c>
    </row>
    <row r="24" customFormat="false" ht="15" hidden="false" customHeight="true" outlineLevel="0" collapsed="false">
      <c r="A24" s="28" t="s">
        <v>301</v>
      </c>
      <c r="B24" s="55" t="s">
        <v>1067</v>
      </c>
      <c r="C24" s="56" t="n">
        <f aca="false">P24</f>
        <v>13</v>
      </c>
      <c r="D24" s="56" t="n">
        <f aca="false">AB24</f>
        <v>14</v>
      </c>
      <c r="E24" s="69" t="n">
        <f aca="false">SUMPRODUCT(--(E9:E22&gt;0))</f>
        <v>10</v>
      </c>
      <c r="F24" s="69" t="n">
        <f aca="false">SUMPRODUCT(--(F9:F22&gt;0))</f>
        <v>10</v>
      </c>
      <c r="G24" s="69" t="n">
        <f aca="false">SUMPRODUCT(--(G9:G22&gt;0))</f>
        <v>10</v>
      </c>
      <c r="H24" s="69" t="n">
        <f aca="false">SUMPRODUCT(--(H9:H22&gt;0))</f>
        <v>11</v>
      </c>
      <c r="I24" s="69" t="n">
        <f aca="false">SUMPRODUCT(--(I9:I22&gt;0))</f>
        <v>11</v>
      </c>
      <c r="J24" s="69" t="n">
        <f aca="false">SUMPRODUCT(--(J9:J22&gt;0))</f>
        <v>11</v>
      </c>
      <c r="K24" s="69" t="n">
        <f aca="false">SUMPRODUCT(--(K9:K22&gt;0))</f>
        <v>11</v>
      </c>
      <c r="L24" s="69" t="n">
        <f aca="false">SUMPRODUCT(--(L9:L22&gt;0))</f>
        <v>11</v>
      </c>
      <c r="M24" s="69" t="n">
        <f aca="false">SUMPRODUCT(--(M9:M22&gt;0))</f>
        <v>11</v>
      </c>
      <c r="N24" s="69" t="n">
        <f aca="false">SUMPRODUCT(--(N9:N22&gt;0))</f>
        <v>12</v>
      </c>
      <c r="O24" s="69" t="n">
        <f aca="false">SUMPRODUCT(--(O9:O22&gt;0))</f>
        <v>13</v>
      </c>
      <c r="P24" s="69" t="n">
        <f aca="false">SUMPRODUCT(--(P9:P22&gt;0))</f>
        <v>13</v>
      </c>
      <c r="Q24" s="69" t="n">
        <f aca="false">SUMPRODUCT(--(Q9:Q22&gt;0))</f>
        <v>13</v>
      </c>
      <c r="R24" s="69" t="n">
        <f aca="false">SUMPRODUCT(--(R9:R22&gt;0))</f>
        <v>14</v>
      </c>
      <c r="S24" s="69" t="n">
        <f aca="false">SUMPRODUCT(--(S9:S22&gt;0))</f>
        <v>14</v>
      </c>
      <c r="T24" s="69" t="n">
        <f aca="false">SUMPRODUCT(--(T9:T22&gt;0))</f>
        <v>14</v>
      </c>
      <c r="U24" s="69" t="n">
        <f aca="false">SUMPRODUCT(--(U9:U22&gt;0))</f>
        <v>14</v>
      </c>
      <c r="V24" s="69" t="n">
        <f aca="false">SUMPRODUCT(--(V9:V22&gt;0))</f>
        <v>14</v>
      </c>
      <c r="W24" s="69" t="n">
        <f aca="false">SUMPRODUCT(--(W9:W22&gt;0))</f>
        <v>14</v>
      </c>
      <c r="X24" s="69" t="n">
        <f aca="false">SUMPRODUCT(--(X9:X22&gt;0))</f>
        <v>14</v>
      </c>
      <c r="Y24" s="69" t="n">
        <f aca="false">SUMPRODUCT(--(Y9:Y22&gt;0))</f>
        <v>14</v>
      </c>
      <c r="Z24" s="69" t="n">
        <f aca="false">SUMPRODUCT(--(Z9:Z22&gt;0))</f>
        <v>14</v>
      </c>
      <c r="AA24" s="69" t="n">
        <f aca="false">SUMPRODUCT(--(AA9:AA22&gt;0))</f>
        <v>14</v>
      </c>
      <c r="AB24" s="69" t="n">
        <f aca="false">SUMPRODUCT(--(AB9:AB22&gt;0))</f>
        <v>14</v>
      </c>
    </row>
    <row r="26" customFormat="false" ht="15" hidden="false" customHeight="true" outlineLevel="0" collapsed="false">
      <c r="A26" s="22" t="s">
        <v>1068</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row>
    <row r="27" customFormat="false" ht="15" hidden="false" customHeight="true" outlineLevel="0" collapsed="false">
      <c r="A27" s="28" t="s">
        <v>1069</v>
      </c>
      <c r="B27" s="55" t="s">
        <v>1070</v>
      </c>
      <c r="C27" s="128" t="n">
        <v>4800</v>
      </c>
    </row>
    <row r="28" customFormat="false" ht="15" hidden="false" customHeight="true" outlineLevel="0" collapsed="false">
      <c r="A28" s="28" t="s">
        <v>334</v>
      </c>
      <c r="B28" s="55" t="s">
        <v>1070</v>
      </c>
      <c r="C28" s="128" t="n">
        <v>4800</v>
      </c>
    </row>
    <row r="29" customFormat="false" ht="15" hidden="false" customHeight="true" outlineLevel="0" collapsed="false">
      <c r="A29" s="28" t="s">
        <v>335</v>
      </c>
      <c r="B29" s="55" t="s">
        <v>1070</v>
      </c>
      <c r="C29" s="128" t="n">
        <v>4300</v>
      </c>
    </row>
    <row r="30" customFormat="false" ht="15" hidden="false" customHeight="true" outlineLevel="0" collapsed="false">
      <c r="A30" s="28" t="s">
        <v>336</v>
      </c>
      <c r="B30" s="55" t="s">
        <v>1070</v>
      </c>
      <c r="C30" s="128" t="n">
        <v>3200</v>
      </c>
    </row>
    <row r="31" customFormat="false" ht="15" hidden="false" customHeight="true" outlineLevel="0" collapsed="false">
      <c r="A31" s="28" t="s">
        <v>337</v>
      </c>
      <c r="B31" s="55" t="s">
        <v>1070</v>
      </c>
      <c r="C31" s="128" t="n">
        <v>1150</v>
      </c>
    </row>
    <row r="32" customFormat="false" ht="15" hidden="false" customHeight="true" outlineLevel="0" collapsed="false">
      <c r="A32" s="28" t="s">
        <v>1071</v>
      </c>
      <c r="B32" s="55" t="s">
        <v>1070</v>
      </c>
      <c r="C32" s="128" t="n">
        <v>1400</v>
      </c>
    </row>
    <row r="33" customFormat="false" ht="15" hidden="false" customHeight="true" outlineLevel="0" collapsed="false">
      <c r="A33" s="28" t="s">
        <v>1072</v>
      </c>
      <c r="B33" s="55" t="s">
        <v>1070</v>
      </c>
      <c r="C33" s="128" t="n">
        <v>5500</v>
      </c>
    </row>
    <row r="34" customFormat="false" ht="15" hidden="false" customHeight="true" outlineLevel="0" collapsed="false">
      <c r="A34" s="28" t="s">
        <v>341</v>
      </c>
      <c r="B34" s="55" t="s">
        <v>1070</v>
      </c>
      <c r="C34" s="128" t="n">
        <v>1800</v>
      </c>
    </row>
    <row r="35" customFormat="false" ht="15" hidden="false" customHeight="true" outlineLevel="0" collapsed="false">
      <c r="A35" s="28" t="s">
        <v>1073</v>
      </c>
      <c r="B35" s="55" t="s">
        <v>1070</v>
      </c>
      <c r="C35" s="128" t="n">
        <v>900</v>
      </c>
    </row>
    <row r="37" customFormat="false" ht="15" hidden="false" customHeight="true" outlineLevel="0" collapsed="false">
      <c r="A37" s="22" t="s">
        <v>331</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row>
    <row r="38" customFormat="false" ht="15" hidden="false" customHeight="true" outlineLevel="0" collapsed="false">
      <c r="A38" s="28" t="s">
        <v>332</v>
      </c>
      <c r="B38" s="55" t="s">
        <v>1074</v>
      </c>
      <c r="C38" s="56" t="n">
        <f aca="false">SUM(E38:P38)</f>
        <v>581000</v>
      </c>
      <c r="D38" s="56" t="n">
        <f aca="false">SUM(Q38:AB38)</f>
        <v>740570</v>
      </c>
      <c r="E38" s="57" t="n">
        <f aca="false">IF(E$5="A",Inputs_Actuals!E89,E23)</f>
        <v>43800</v>
      </c>
      <c r="F38" s="57" t="n">
        <f aca="false">IF(F$5="A",Inputs_Actuals!F89,F23)</f>
        <v>43900</v>
      </c>
      <c r="G38" s="57" t="n">
        <f aca="false">IF(G$5="A",Inputs_Actuals!G89,G23)</f>
        <v>44100</v>
      </c>
      <c r="H38" s="57" t="n">
        <f aca="false">IF(H$5="A",Inputs_Actuals!H89,H23)</f>
        <v>47200</v>
      </c>
      <c r="I38" s="57" t="n">
        <f aca="false">IF(I$5="A",Inputs_Actuals!I89,I23)</f>
        <v>47300</v>
      </c>
      <c r="J38" s="57" t="n">
        <f aca="false">IF(J$5="A",Inputs_Actuals!J89,J23)</f>
        <v>47600</v>
      </c>
      <c r="K38" s="57" t="n">
        <f aca="false">IF(K$5="A",Inputs_Actuals!K89,K23)</f>
        <v>47500</v>
      </c>
      <c r="L38" s="57" t="n">
        <f aca="false">IF(L$5="A",Inputs_Actuals!L89,L23)</f>
        <v>47900</v>
      </c>
      <c r="M38" s="57" t="n">
        <f aca="false">IF(M$5="A",Inputs_Actuals!M89,M23)</f>
        <v>48800</v>
      </c>
      <c r="N38" s="57" t="n">
        <f aca="false">IF(N$5="A",Inputs_Actuals!N89,N23)</f>
        <v>51500</v>
      </c>
      <c r="O38" s="57" t="n">
        <f aca="false">IF(O$5="A",Inputs_Actuals!O89,O23)</f>
        <v>55700</v>
      </c>
      <c r="P38" s="57" t="n">
        <f aca="false">IF(P$5="A",Inputs_Actuals!P89,P23)</f>
        <v>55700</v>
      </c>
      <c r="Q38" s="57" t="n">
        <f aca="false">IF(Q$5="A",Inputs_Actuals!Q89,Q23)</f>
        <v>57371</v>
      </c>
      <c r="R38" s="57" t="n">
        <f aca="false">IF(R$5="A",Inputs_Actuals!R89,R23)</f>
        <v>62109</v>
      </c>
      <c r="S38" s="57" t="n">
        <f aca="false">IF(S$5="A",Inputs_Actuals!S89,S23)</f>
        <v>62109</v>
      </c>
      <c r="T38" s="57" t="n">
        <f aca="false">IF(T$5="A",Inputs_Actuals!T89,T23)</f>
        <v>62109</v>
      </c>
      <c r="U38" s="57" t="n">
        <f aca="false">IF(U$5="A",Inputs_Actuals!U89,U23)</f>
        <v>62109</v>
      </c>
      <c r="V38" s="57" t="n">
        <f aca="false">IF(V$5="A",Inputs_Actuals!V89,V23)</f>
        <v>62109</v>
      </c>
      <c r="W38" s="57" t="n">
        <f aca="false">IF(W$5="A",Inputs_Actuals!W89,W23)</f>
        <v>62109</v>
      </c>
      <c r="X38" s="57" t="n">
        <f aca="false">IF(X$5="A",Inputs_Actuals!X89,X23)</f>
        <v>62109</v>
      </c>
      <c r="Y38" s="57" t="n">
        <f aca="false">IF(Y$5="A",Inputs_Actuals!Y89,Y23)</f>
        <v>62109</v>
      </c>
      <c r="Z38" s="57" t="n">
        <f aca="false">IF(Z$5="A",Inputs_Actuals!Z89,Z23)</f>
        <v>62109</v>
      </c>
      <c r="AA38" s="57" t="n">
        <f aca="false">IF(AA$5="A",Inputs_Actuals!AA89,AA23)</f>
        <v>62109</v>
      </c>
      <c r="AB38" s="57" t="n">
        <f aca="false">IF(AB$5="A",Inputs_Actuals!AB89,AB23)</f>
        <v>62109</v>
      </c>
    </row>
    <row r="39" customFormat="false" ht="15" hidden="false" customHeight="true" outlineLevel="0" collapsed="false">
      <c r="A39" s="28" t="s">
        <v>333</v>
      </c>
      <c r="B39" s="55" t="s">
        <v>1074</v>
      </c>
      <c r="C39" s="56" t="n">
        <f aca="false">SUM(E39:P39)</f>
        <v>58779</v>
      </c>
      <c r="D39" s="56" t="n">
        <f aca="false">SUM(Q39:AB39)</f>
        <v>59328</v>
      </c>
      <c r="E39" s="57" t="n">
        <f aca="false">IF(E$5="A",Inputs_Actuals!E90,Opex!$C$27*Assumptions!E$74*Assumptions!$F$117)</f>
        <v>5056</v>
      </c>
      <c r="F39" s="57" t="n">
        <f aca="false">IF(F$5="A",Inputs_Actuals!F90,Opex!$C$27*Assumptions!F$74*Assumptions!$F$117)</f>
        <v>4877</v>
      </c>
      <c r="G39" s="57" t="n">
        <f aca="false">IF(G$5="A",Inputs_Actuals!G90,Opex!$C$27*Assumptions!G$74*Assumptions!$F$117)</f>
        <v>4502</v>
      </c>
      <c r="H39" s="57" t="n">
        <f aca="false">IF(H$5="A",Inputs_Actuals!H90,Opex!$C$27*Assumptions!H$74*Assumptions!$F$117)</f>
        <v>4495</v>
      </c>
      <c r="I39" s="57" t="n">
        <f aca="false">IF(I$5="A",Inputs_Actuals!I90,Opex!$C$27*Assumptions!I$74*Assumptions!$F$117)</f>
        <v>4172</v>
      </c>
      <c r="J39" s="57" t="n">
        <f aca="false">IF(J$5="A",Inputs_Actuals!J90,Opex!$C$27*Assumptions!J$74*Assumptions!$F$117)</f>
        <v>6301</v>
      </c>
      <c r="K39" s="57" t="n">
        <f aca="false">IF(K$5="A",Inputs_Actuals!K90,Opex!$C$27*Assumptions!K$74*Assumptions!$F$117)</f>
        <v>5372</v>
      </c>
      <c r="L39" s="57" t="n">
        <f aca="false">IF(L$5="A",Inputs_Actuals!L90,Opex!$C$27*Assumptions!L$74*Assumptions!$F$117)</f>
        <v>4804</v>
      </c>
      <c r="M39" s="57" t="n">
        <f aca="false">IF(M$5="A",Inputs_Actuals!M90,Opex!$C$27*Assumptions!M$74*Assumptions!$F$117)</f>
        <v>4800</v>
      </c>
      <c r="N39" s="57" t="n">
        <f aca="false">IF(N$5="A",Inputs_Actuals!N90,Opex!$C$27*Assumptions!N$74*Assumptions!$F$117)</f>
        <v>4800</v>
      </c>
      <c r="O39" s="57" t="n">
        <f aca="false">IF(O$5="A",Inputs_Actuals!O90,Opex!$C$27*Assumptions!O$74*Assumptions!$F$117)</f>
        <v>4800</v>
      </c>
      <c r="P39" s="57" t="n">
        <f aca="false">IF(P$5="A",Inputs_Actuals!P90,Opex!$C$27*Assumptions!P$74*Assumptions!$F$117)</f>
        <v>4800</v>
      </c>
      <c r="Q39" s="57" t="n">
        <f aca="false">IF(Q$5="A",Inputs_Actuals!Q90,Opex!$C$27*Assumptions!Q$74*Assumptions!$F$117)</f>
        <v>4944</v>
      </c>
      <c r="R39" s="57" t="n">
        <f aca="false">IF(R$5="A",Inputs_Actuals!R90,Opex!$C$27*Assumptions!R$74*Assumptions!$F$117)</f>
        <v>4944</v>
      </c>
      <c r="S39" s="57" t="n">
        <f aca="false">IF(S$5="A",Inputs_Actuals!S90,Opex!$C$27*Assumptions!S$74*Assumptions!$F$117)</f>
        <v>4944</v>
      </c>
      <c r="T39" s="57" t="n">
        <f aca="false">IF(T$5="A",Inputs_Actuals!T90,Opex!$C$27*Assumptions!T$74*Assumptions!$F$117)</f>
        <v>4944</v>
      </c>
      <c r="U39" s="57" t="n">
        <f aca="false">IF(U$5="A",Inputs_Actuals!U90,Opex!$C$27*Assumptions!U$74*Assumptions!$F$117)</f>
        <v>4944</v>
      </c>
      <c r="V39" s="57" t="n">
        <f aca="false">IF(V$5="A",Inputs_Actuals!V90,Opex!$C$27*Assumptions!V$74*Assumptions!$F$117)</f>
        <v>4944</v>
      </c>
      <c r="W39" s="57" t="n">
        <f aca="false">IF(W$5="A",Inputs_Actuals!W90,Opex!$C$27*Assumptions!W$74*Assumptions!$F$117)</f>
        <v>4944</v>
      </c>
      <c r="X39" s="57" t="n">
        <f aca="false">IF(X$5="A",Inputs_Actuals!X90,Opex!$C$27*Assumptions!X$74*Assumptions!$F$117)</f>
        <v>4944</v>
      </c>
      <c r="Y39" s="57" t="n">
        <f aca="false">IF(Y$5="A",Inputs_Actuals!Y90,Opex!$C$27*Assumptions!Y$74*Assumptions!$F$117)</f>
        <v>4944</v>
      </c>
      <c r="Z39" s="57" t="n">
        <f aca="false">IF(Z$5="A",Inputs_Actuals!Z90,Opex!$C$27*Assumptions!Z$74*Assumptions!$F$117)</f>
        <v>4944</v>
      </c>
      <c r="AA39" s="57" t="n">
        <f aca="false">IF(AA$5="A",Inputs_Actuals!AA90,Opex!$C$27*Assumptions!AA$74*Assumptions!$F$117)</f>
        <v>4944</v>
      </c>
      <c r="AB39" s="57" t="n">
        <f aca="false">IF(AB$5="A",Inputs_Actuals!AB90,Opex!$C$27*Assumptions!AB$74*Assumptions!$F$117)</f>
        <v>4944</v>
      </c>
    </row>
    <row r="40" customFormat="false" ht="15" hidden="false" customHeight="true" outlineLevel="0" collapsed="false">
      <c r="A40" s="28" t="s">
        <v>334</v>
      </c>
      <c r="B40" s="55" t="s">
        <v>1074</v>
      </c>
      <c r="C40" s="56" t="n">
        <f aca="false">SUM(E40:P40)</f>
        <v>57600</v>
      </c>
      <c r="D40" s="56" t="n">
        <f aca="false">SUM(Q40:AB40)</f>
        <v>59328</v>
      </c>
      <c r="E40" s="57" t="n">
        <f aca="false">IF(E$5="A",Inputs_Actuals!E91,Opex!$C$28*Assumptions!E$74)</f>
        <v>4800</v>
      </c>
      <c r="F40" s="57" t="n">
        <f aca="false">IF(F$5="A",Inputs_Actuals!F91,Opex!$C$28*Assumptions!F$74)</f>
        <v>4800</v>
      </c>
      <c r="G40" s="57" t="n">
        <f aca="false">IF(G$5="A",Inputs_Actuals!G91,Opex!$C$28*Assumptions!G$74)</f>
        <v>4800</v>
      </c>
      <c r="H40" s="57" t="n">
        <f aca="false">IF(H$5="A",Inputs_Actuals!H91,Opex!$C$28*Assumptions!H$74)</f>
        <v>4800</v>
      </c>
      <c r="I40" s="57" t="n">
        <f aca="false">IF(I$5="A",Inputs_Actuals!I91,Opex!$C$28*Assumptions!I$74)</f>
        <v>4800</v>
      </c>
      <c r="J40" s="57" t="n">
        <f aca="false">IF(J$5="A",Inputs_Actuals!J91,Opex!$C$28*Assumptions!J$74)</f>
        <v>4800</v>
      </c>
      <c r="K40" s="57" t="n">
        <f aca="false">IF(K$5="A",Inputs_Actuals!K91,Opex!$C$28*Assumptions!K$74)</f>
        <v>4800</v>
      </c>
      <c r="L40" s="57" t="n">
        <f aca="false">IF(L$5="A",Inputs_Actuals!L91,Opex!$C$28*Assumptions!L$74)</f>
        <v>4800</v>
      </c>
      <c r="M40" s="57" t="n">
        <f aca="false">IF(M$5="A",Inputs_Actuals!M91,Opex!$C$28*Assumptions!M$74)</f>
        <v>4800</v>
      </c>
      <c r="N40" s="57" t="n">
        <f aca="false">IF(N$5="A",Inputs_Actuals!N91,Opex!$C$28*Assumptions!N$74)</f>
        <v>4800</v>
      </c>
      <c r="O40" s="57" t="n">
        <f aca="false">IF(O$5="A",Inputs_Actuals!O91,Opex!$C$28*Assumptions!O$74)</f>
        <v>4800</v>
      </c>
      <c r="P40" s="57" t="n">
        <f aca="false">IF(P$5="A",Inputs_Actuals!P91,Opex!$C$28*Assumptions!P$74)</f>
        <v>4800</v>
      </c>
      <c r="Q40" s="57" t="n">
        <f aca="false">IF(Q$5="A",Inputs_Actuals!Q91,Opex!$C$28*Assumptions!Q$74)</f>
        <v>4944</v>
      </c>
      <c r="R40" s="57" t="n">
        <f aca="false">IF(R$5="A",Inputs_Actuals!R91,Opex!$C$28*Assumptions!R$74)</f>
        <v>4944</v>
      </c>
      <c r="S40" s="57" t="n">
        <f aca="false">IF(S$5="A",Inputs_Actuals!S91,Opex!$C$28*Assumptions!S$74)</f>
        <v>4944</v>
      </c>
      <c r="T40" s="57" t="n">
        <f aca="false">IF(T$5="A",Inputs_Actuals!T91,Opex!$C$28*Assumptions!T$74)</f>
        <v>4944</v>
      </c>
      <c r="U40" s="57" t="n">
        <f aca="false">IF(U$5="A",Inputs_Actuals!U91,Opex!$C$28*Assumptions!U$74)</f>
        <v>4944</v>
      </c>
      <c r="V40" s="57" t="n">
        <f aca="false">IF(V$5="A",Inputs_Actuals!V91,Opex!$C$28*Assumptions!V$74)</f>
        <v>4944</v>
      </c>
      <c r="W40" s="57" t="n">
        <f aca="false">IF(W$5="A",Inputs_Actuals!W91,Opex!$C$28*Assumptions!W$74)</f>
        <v>4944</v>
      </c>
      <c r="X40" s="57" t="n">
        <f aca="false">IF(X$5="A",Inputs_Actuals!X91,Opex!$C$28*Assumptions!X$74)</f>
        <v>4944</v>
      </c>
      <c r="Y40" s="57" t="n">
        <f aca="false">IF(Y$5="A",Inputs_Actuals!Y91,Opex!$C$28*Assumptions!Y$74)</f>
        <v>4944</v>
      </c>
      <c r="Z40" s="57" t="n">
        <f aca="false">IF(Z$5="A",Inputs_Actuals!Z91,Opex!$C$28*Assumptions!Z$74)</f>
        <v>4944</v>
      </c>
      <c r="AA40" s="57" t="n">
        <f aca="false">IF(AA$5="A",Inputs_Actuals!AA91,Opex!$C$28*Assumptions!AA$74)</f>
        <v>4944</v>
      </c>
      <c r="AB40" s="57" t="n">
        <f aca="false">IF(AB$5="A",Inputs_Actuals!AB91,Opex!$C$28*Assumptions!AB$74)</f>
        <v>4944</v>
      </c>
    </row>
    <row r="41" customFormat="false" ht="15" hidden="false" customHeight="true" outlineLevel="0" collapsed="false">
      <c r="A41" s="28" t="s">
        <v>335</v>
      </c>
      <c r="B41" s="55" t="s">
        <v>1074</v>
      </c>
      <c r="C41" s="56" t="n">
        <f aca="false">SUM(E41:P41)</f>
        <v>51204</v>
      </c>
      <c r="D41" s="56" t="n">
        <f aca="false">SUM(Q41:AB41)</f>
        <v>53148</v>
      </c>
      <c r="E41" s="57" t="n">
        <f aca="false">IF(E$5="A",Inputs_Actuals!E92,Opex!$C$29*Assumptions!E$74)</f>
        <v>4056</v>
      </c>
      <c r="F41" s="57" t="n">
        <f aca="false">IF(F$5="A",Inputs_Actuals!F92,Opex!$C$29*Assumptions!F$74)</f>
        <v>4090</v>
      </c>
      <c r="G41" s="57" t="n">
        <f aca="false">IF(G$5="A",Inputs_Actuals!G92,Opex!$C$29*Assumptions!G$74)</f>
        <v>4102</v>
      </c>
      <c r="H41" s="57" t="n">
        <f aca="false">IF(H$5="A",Inputs_Actuals!H92,Opex!$C$29*Assumptions!H$74)</f>
        <v>4171</v>
      </c>
      <c r="I41" s="57" t="n">
        <f aca="false">IF(I$5="A",Inputs_Actuals!I92,Opex!$C$29*Assumptions!I$74)</f>
        <v>4253</v>
      </c>
      <c r="J41" s="57" t="n">
        <f aca="false">IF(J$5="A",Inputs_Actuals!J92,Opex!$C$29*Assumptions!J$74)</f>
        <v>4383</v>
      </c>
      <c r="K41" s="57" t="n">
        <f aca="false">IF(K$5="A",Inputs_Actuals!K92,Opex!$C$29*Assumptions!K$74)</f>
        <v>4437</v>
      </c>
      <c r="L41" s="57" t="n">
        <f aca="false">IF(L$5="A",Inputs_Actuals!L92,Opex!$C$29*Assumptions!L$74)</f>
        <v>4512</v>
      </c>
      <c r="M41" s="57" t="n">
        <f aca="false">IF(M$5="A",Inputs_Actuals!M92,Opex!$C$29*Assumptions!M$74)</f>
        <v>4300</v>
      </c>
      <c r="N41" s="57" t="n">
        <f aca="false">IF(N$5="A",Inputs_Actuals!N92,Opex!$C$29*Assumptions!N$74)</f>
        <v>4300</v>
      </c>
      <c r="O41" s="57" t="n">
        <f aca="false">IF(O$5="A",Inputs_Actuals!O92,Opex!$C$29*Assumptions!O$74)</f>
        <v>4300</v>
      </c>
      <c r="P41" s="57" t="n">
        <f aca="false">IF(P$5="A",Inputs_Actuals!P92,Opex!$C$29*Assumptions!P$74)</f>
        <v>4300</v>
      </c>
      <c r="Q41" s="57" t="n">
        <f aca="false">IF(Q$5="A",Inputs_Actuals!Q92,Opex!$C$29*Assumptions!Q$74)</f>
        <v>4429</v>
      </c>
      <c r="R41" s="57" t="n">
        <f aca="false">IF(R$5="A",Inputs_Actuals!R92,Opex!$C$29*Assumptions!R$74)</f>
        <v>4429</v>
      </c>
      <c r="S41" s="57" t="n">
        <f aca="false">IF(S$5="A",Inputs_Actuals!S92,Opex!$C$29*Assumptions!S$74)</f>
        <v>4429</v>
      </c>
      <c r="T41" s="57" t="n">
        <f aca="false">IF(T$5="A",Inputs_Actuals!T92,Opex!$C$29*Assumptions!T$74)</f>
        <v>4429</v>
      </c>
      <c r="U41" s="57" t="n">
        <f aca="false">IF(U$5="A",Inputs_Actuals!U92,Opex!$C$29*Assumptions!U$74)</f>
        <v>4429</v>
      </c>
      <c r="V41" s="57" t="n">
        <f aca="false">IF(V$5="A",Inputs_Actuals!V92,Opex!$C$29*Assumptions!V$74)</f>
        <v>4429</v>
      </c>
      <c r="W41" s="57" t="n">
        <f aca="false">IF(W$5="A",Inputs_Actuals!W92,Opex!$C$29*Assumptions!W$74)</f>
        <v>4429</v>
      </c>
      <c r="X41" s="57" t="n">
        <f aca="false">IF(X$5="A",Inputs_Actuals!X92,Opex!$C$29*Assumptions!X$74)</f>
        <v>4429</v>
      </c>
      <c r="Y41" s="57" t="n">
        <f aca="false">IF(Y$5="A",Inputs_Actuals!Y92,Opex!$C$29*Assumptions!Y$74)</f>
        <v>4429</v>
      </c>
      <c r="Z41" s="57" t="n">
        <f aca="false">IF(Z$5="A",Inputs_Actuals!Z92,Opex!$C$29*Assumptions!Z$74)</f>
        <v>4429</v>
      </c>
      <c r="AA41" s="57" t="n">
        <f aca="false">IF(AA$5="A",Inputs_Actuals!AA92,Opex!$C$29*Assumptions!AA$74)</f>
        <v>4429</v>
      </c>
      <c r="AB41" s="57" t="n">
        <f aca="false">IF(AB$5="A",Inputs_Actuals!AB92,Opex!$C$29*Assumptions!AB$74)</f>
        <v>4429</v>
      </c>
    </row>
    <row r="42" customFormat="false" ht="15" hidden="false" customHeight="true" outlineLevel="0" collapsed="false">
      <c r="A42" s="28" t="s">
        <v>336</v>
      </c>
      <c r="B42" s="55" t="s">
        <v>1074</v>
      </c>
      <c r="C42" s="56" t="n">
        <f aca="false">SUM(E42:P42)</f>
        <v>38470</v>
      </c>
      <c r="D42" s="56" t="n">
        <f aca="false">SUM(Q42:AB42)</f>
        <v>39552</v>
      </c>
      <c r="E42" s="57" t="n">
        <f aca="false">IF(E$5="A",Inputs_Actuals!E93,Opex!$C$30*Assumptions!E$74)</f>
        <v>3410</v>
      </c>
      <c r="F42" s="57" t="n">
        <f aca="false">IF(F$5="A",Inputs_Actuals!F93,Opex!$C$30*Assumptions!F$74)</f>
        <v>3074</v>
      </c>
      <c r="G42" s="57" t="n">
        <f aca="false">IF(G$5="A",Inputs_Actuals!G93,Opex!$C$30*Assumptions!G$74)</f>
        <v>3178</v>
      </c>
      <c r="H42" s="57" t="n">
        <f aca="false">IF(H$5="A",Inputs_Actuals!H93,Opex!$C$30*Assumptions!H$74)</f>
        <v>3262</v>
      </c>
      <c r="I42" s="57" t="n">
        <f aca="false">IF(I$5="A",Inputs_Actuals!I93,Opex!$C$30*Assumptions!I$74)</f>
        <v>3267</v>
      </c>
      <c r="J42" s="57" t="n">
        <f aca="false">IF(J$5="A",Inputs_Actuals!J93,Opex!$C$30*Assumptions!J$74)</f>
        <v>2986</v>
      </c>
      <c r="K42" s="57" t="n">
        <f aca="false">IF(K$5="A",Inputs_Actuals!K93,Opex!$C$30*Assumptions!K$74)</f>
        <v>3135</v>
      </c>
      <c r="L42" s="57" t="n">
        <f aca="false">IF(L$5="A",Inputs_Actuals!L93,Opex!$C$30*Assumptions!L$74)</f>
        <v>3358</v>
      </c>
      <c r="M42" s="57" t="n">
        <f aca="false">IF(M$5="A",Inputs_Actuals!M93,Opex!$C$30*Assumptions!M$74)</f>
        <v>3200</v>
      </c>
      <c r="N42" s="57" t="n">
        <f aca="false">IF(N$5="A",Inputs_Actuals!N93,Opex!$C$30*Assumptions!N$74)</f>
        <v>3200</v>
      </c>
      <c r="O42" s="57" t="n">
        <f aca="false">IF(O$5="A",Inputs_Actuals!O93,Opex!$C$30*Assumptions!O$74)</f>
        <v>3200</v>
      </c>
      <c r="P42" s="57" t="n">
        <f aca="false">IF(P$5="A",Inputs_Actuals!P93,Opex!$C$30*Assumptions!P$74)</f>
        <v>3200</v>
      </c>
      <c r="Q42" s="57" t="n">
        <f aca="false">IF(Q$5="A",Inputs_Actuals!Q93,Opex!$C$30*Assumptions!Q$74)</f>
        <v>3296</v>
      </c>
      <c r="R42" s="57" t="n">
        <f aca="false">IF(R$5="A",Inputs_Actuals!R93,Opex!$C$30*Assumptions!R$74)</f>
        <v>3296</v>
      </c>
      <c r="S42" s="57" t="n">
        <f aca="false">IF(S$5="A",Inputs_Actuals!S93,Opex!$C$30*Assumptions!S$74)</f>
        <v>3296</v>
      </c>
      <c r="T42" s="57" t="n">
        <f aca="false">IF(T$5="A",Inputs_Actuals!T93,Opex!$C$30*Assumptions!T$74)</f>
        <v>3296</v>
      </c>
      <c r="U42" s="57" t="n">
        <f aca="false">IF(U$5="A",Inputs_Actuals!U93,Opex!$C$30*Assumptions!U$74)</f>
        <v>3296</v>
      </c>
      <c r="V42" s="57" t="n">
        <f aca="false">IF(V$5="A",Inputs_Actuals!V93,Opex!$C$30*Assumptions!V$74)</f>
        <v>3296</v>
      </c>
      <c r="W42" s="57" t="n">
        <f aca="false">IF(W$5="A",Inputs_Actuals!W93,Opex!$C$30*Assumptions!W$74)</f>
        <v>3296</v>
      </c>
      <c r="X42" s="57" t="n">
        <f aca="false">IF(X$5="A",Inputs_Actuals!X93,Opex!$C$30*Assumptions!X$74)</f>
        <v>3296</v>
      </c>
      <c r="Y42" s="57" t="n">
        <f aca="false">IF(Y$5="A",Inputs_Actuals!Y93,Opex!$C$30*Assumptions!Y$74)</f>
        <v>3296</v>
      </c>
      <c r="Z42" s="57" t="n">
        <f aca="false">IF(Z$5="A",Inputs_Actuals!Z93,Opex!$C$30*Assumptions!Z$74)</f>
        <v>3296</v>
      </c>
      <c r="AA42" s="57" t="n">
        <f aca="false">IF(AA$5="A",Inputs_Actuals!AA93,Opex!$C$30*Assumptions!AA$74)</f>
        <v>3296</v>
      </c>
      <c r="AB42" s="57" t="n">
        <f aca="false">IF(AB$5="A",Inputs_Actuals!AB93,Opex!$C$30*Assumptions!AB$74)</f>
        <v>3296</v>
      </c>
    </row>
    <row r="43" customFormat="false" ht="15" hidden="false" customHeight="true" outlineLevel="0" collapsed="false">
      <c r="A43" s="28" t="s">
        <v>337</v>
      </c>
      <c r="B43" s="55" t="s">
        <v>1074</v>
      </c>
      <c r="C43" s="56" t="n">
        <f aca="false">SUM(E43:P43)</f>
        <v>13800</v>
      </c>
      <c r="D43" s="56" t="n">
        <f aca="false">SUM(Q43:AB43)</f>
        <v>14214</v>
      </c>
      <c r="E43" s="57" t="n">
        <f aca="false">IF(E$5="A",Inputs_Actuals!E94,Opex!$C$31*Assumptions!E$74)</f>
        <v>1150</v>
      </c>
      <c r="F43" s="57" t="n">
        <f aca="false">IF(F$5="A",Inputs_Actuals!F94,Opex!$C$31*Assumptions!F$74)</f>
        <v>1150</v>
      </c>
      <c r="G43" s="57" t="n">
        <f aca="false">IF(G$5="A",Inputs_Actuals!G94,Opex!$C$31*Assumptions!G$74)</f>
        <v>1150</v>
      </c>
      <c r="H43" s="57" t="n">
        <f aca="false">IF(H$5="A",Inputs_Actuals!H94,Opex!$C$31*Assumptions!H$74)</f>
        <v>1150</v>
      </c>
      <c r="I43" s="57" t="n">
        <f aca="false">IF(I$5="A",Inputs_Actuals!I94,Opex!$C$31*Assumptions!I$74)</f>
        <v>1150</v>
      </c>
      <c r="J43" s="57" t="n">
        <f aca="false">IF(J$5="A",Inputs_Actuals!J94,Opex!$C$31*Assumptions!J$74)</f>
        <v>1150</v>
      </c>
      <c r="K43" s="57" t="n">
        <f aca="false">IF(K$5="A",Inputs_Actuals!K94,Opex!$C$31*Assumptions!K$74)</f>
        <v>1150</v>
      </c>
      <c r="L43" s="57" t="n">
        <f aca="false">IF(L$5="A",Inputs_Actuals!L94,Opex!$C$31*Assumptions!L$74)</f>
        <v>1150</v>
      </c>
      <c r="M43" s="57" t="n">
        <f aca="false">IF(M$5="A",Inputs_Actuals!M94,Opex!$C$31*Assumptions!M$74)</f>
        <v>1150</v>
      </c>
      <c r="N43" s="57" t="n">
        <f aca="false">IF(N$5="A",Inputs_Actuals!N94,Opex!$C$31*Assumptions!N$74)</f>
        <v>1150</v>
      </c>
      <c r="O43" s="57" t="n">
        <f aca="false">IF(O$5="A",Inputs_Actuals!O94,Opex!$C$31*Assumptions!O$74)</f>
        <v>1150</v>
      </c>
      <c r="P43" s="57" t="n">
        <f aca="false">IF(P$5="A",Inputs_Actuals!P94,Opex!$C$31*Assumptions!P$74)</f>
        <v>1150</v>
      </c>
      <c r="Q43" s="57" t="n">
        <f aca="false">IF(Q$5="A",Inputs_Actuals!Q94,Opex!$C$31*Assumptions!Q$74)</f>
        <v>1184.5</v>
      </c>
      <c r="R43" s="57" t="n">
        <f aca="false">IF(R$5="A",Inputs_Actuals!R94,Opex!$C$31*Assumptions!R$74)</f>
        <v>1184.5</v>
      </c>
      <c r="S43" s="57" t="n">
        <f aca="false">IF(S$5="A",Inputs_Actuals!S94,Opex!$C$31*Assumptions!S$74)</f>
        <v>1184.5</v>
      </c>
      <c r="T43" s="57" t="n">
        <f aca="false">IF(T$5="A",Inputs_Actuals!T94,Opex!$C$31*Assumptions!T$74)</f>
        <v>1184.5</v>
      </c>
      <c r="U43" s="57" t="n">
        <f aca="false">IF(U$5="A",Inputs_Actuals!U94,Opex!$C$31*Assumptions!U$74)</f>
        <v>1184.5</v>
      </c>
      <c r="V43" s="57" t="n">
        <f aca="false">IF(V$5="A",Inputs_Actuals!V94,Opex!$C$31*Assumptions!V$74)</f>
        <v>1184.5</v>
      </c>
      <c r="W43" s="57" t="n">
        <f aca="false">IF(W$5="A",Inputs_Actuals!W94,Opex!$C$31*Assumptions!W$74)</f>
        <v>1184.5</v>
      </c>
      <c r="X43" s="57" t="n">
        <f aca="false">IF(X$5="A",Inputs_Actuals!X94,Opex!$C$31*Assumptions!X$74)</f>
        <v>1184.5</v>
      </c>
      <c r="Y43" s="57" t="n">
        <f aca="false">IF(Y$5="A",Inputs_Actuals!Y94,Opex!$C$31*Assumptions!Y$74)</f>
        <v>1184.5</v>
      </c>
      <c r="Z43" s="57" t="n">
        <f aca="false">IF(Z$5="A",Inputs_Actuals!Z94,Opex!$C$31*Assumptions!Z$74)</f>
        <v>1184.5</v>
      </c>
      <c r="AA43" s="57" t="n">
        <f aca="false">IF(AA$5="A",Inputs_Actuals!AA94,Opex!$C$31*Assumptions!AA$74)</f>
        <v>1184.5</v>
      </c>
      <c r="AB43" s="57" t="n">
        <f aca="false">IF(AB$5="A",Inputs_Actuals!AB94,Opex!$C$31*Assumptions!AB$74)</f>
        <v>1184.5</v>
      </c>
    </row>
    <row r="44" customFormat="false" ht="15" hidden="false" customHeight="true" outlineLevel="0" collapsed="false">
      <c r="A44" s="28" t="s">
        <v>338</v>
      </c>
      <c r="B44" s="55" t="s">
        <v>1074</v>
      </c>
      <c r="C44" s="56" t="n">
        <f aca="false">SUM(E44:P44)</f>
        <v>16008</v>
      </c>
      <c r="D44" s="56" t="n">
        <f aca="false">SUM(Q44:AB44)</f>
        <v>17304</v>
      </c>
      <c r="E44" s="57" t="n">
        <f aca="false">IF(E$5="A",Inputs_Actuals!E95,Opex!$C$32*Assumptions!E$74*Assumptions!$F$117)</f>
        <v>1765</v>
      </c>
      <c r="F44" s="57" t="n">
        <f aca="false">IF(F$5="A",Inputs_Actuals!F95,Opex!$C$32*Assumptions!F$74*Assumptions!$F$117)</f>
        <v>1137</v>
      </c>
      <c r="G44" s="57" t="n">
        <f aca="false">IF(G$5="A",Inputs_Actuals!G95,Opex!$C$32*Assumptions!G$74*Assumptions!$F$117)</f>
        <v>1503</v>
      </c>
      <c r="H44" s="57" t="n">
        <f aca="false">IF(H$5="A",Inputs_Actuals!H95,Opex!$C$32*Assumptions!H$74*Assumptions!$F$117)</f>
        <v>1091</v>
      </c>
      <c r="I44" s="57" t="n">
        <f aca="false">IF(I$5="A",Inputs_Actuals!I95,Opex!$C$32*Assumptions!I$74*Assumptions!$F$117)</f>
        <v>942</v>
      </c>
      <c r="J44" s="57" t="n">
        <f aca="false">IF(J$5="A",Inputs_Actuals!J95,Opex!$C$32*Assumptions!J$74*Assumptions!$F$117)</f>
        <v>1413</v>
      </c>
      <c r="K44" s="57" t="n">
        <f aca="false">IF(K$5="A",Inputs_Actuals!K95,Opex!$C$32*Assumptions!K$74*Assumptions!$F$117)</f>
        <v>688</v>
      </c>
      <c r="L44" s="57" t="n">
        <f aca="false">IF(L$5="A",Inputs_Actuals!L95,Opex!$C$32*Assumptions!L$74*Assumptions!$F$117)</f>
        <v>1869</v>
      </c>
      <c r="M44" s="57" t="n">
        <f aca="false">IF(M$5="A",Inputs_Actuals!M95,Opex!$C$32*Assumptions!M$74*Assumptions!$F$117)</f>
        <v>1400</v>
      </c>
      <c r="N44" s="57" t="n">
        <f aca="false">IF(N$5="A",Inputs_Actuals!N95,Opex!$C$32*Assumptions!N$74*Assumptions!$F$117)</f>
        <v>1400</v>
      </c>
      <c r="O44" s="57" t="n">
        <f aca="false">IF(O$5="A",Inputs_Actuals!O95,Opex!$C$32*Assumptions!O$74*Assumptions!$F$117)</f>
        <v>1400</v>
      </c>
      <c r="P44" s="57" t="n">
        <f aca="false">IF(P$5="A",Inputs_Actuals!P95,Opex!$C$32*Assumptions!P$74*Assumptions!$F$117)</f>
        <v>1400</v>
      </c>
      <c r="Q44" s="57" t="n">
        <f aca="false">IF(Q$5="A",Inputs_Actuals!Q95,Opex!$C$32*Assumptions!Q$74*Assumptions!$F$117)</f>
        <v>1442</v>
      </c>
      <c r="R44" s="57" t="n">
        <f aca="false">IF(R$5="A",Inputs_Actuals!R95,Opex!$C$32*Assumptions!R$74*Assumptions!$F$117)</f>
        <v>1442</v>
      </c>
      <c r="S44" s="57" t="n">
        <f aca="false">IF(S$5="A",Inputs_Actuals!S95,Opex!$C$32*Assumptions!S$74*Assumptions!$F$117)</f>
        <v>1442</v>
      </c>
      <c r="T44" s="57" t="n">
        <f aca="false">IF(T$5="A",Inputs_Actuals!T95,Opex!$C$32*Assumptions!T$74*Assumptions!$F$117)</f>
        <v>1442</v>
      </c>
      <c r="U44" s="57" t="n">
        <f aca="false">IF(U$5="A",Inputs_Actuals!U95,Opex!$C$32*Assumptions!U$74*Assumptions!$F$117)</f>
        <v>1442</v>
      </c>
      <c r="V44" s="57" t="n">
        <f aca="false">IF(V$5="A",Inputs_Actuals!V95,Opex!$C$32*Assumptions!V$74*Assumptions!$F$117)</f>
        <v>1442</v>
      </c>
      <c r="W44" s="57" t="n">
        <f aca="false">IF(W$5="A",Inputs_Actuals!W95,Opex!$C$32*Assumptions!W$74*Assumptions!$F$117)</f>
        <v>1442</v>
      </c>
      <c r="X44" s="57" t="n">
        <f aca="false">IF(X$5="A",Inputs_Actuals!X95,Opex!$C$32*Assumptions!X$74*Assumptions!$F$117)</f>
        <v>1442</v>
      </c>
      <c r="Y44" s="57" t="n">
        <f aca="false">IF(Y$5="A",Inputs_Actuals!Y95,Opex!$C$32*Assumptions!Y$74*Assumptions!$F$117)</f>
        <v>1442</v>
      </c>
      <c r="Z44" s="57" t="n">
        <f aca="false">IF(Z$5="A",Inputs_Actuals!Z95,Opex!$C$32*Assumptions!Z$74*Assumptions!$F$117)</f>
        <v>1442</v>
      </c>
      <c r="AA44" s="57" t="n">
        <f aca="false">IF(AA$5="A",Inputs_Actuals!AA95,Opex!$C$32*Assumptions!AA$74*Assumptions!$F$117)</f>
        <v>1442</v>
      </c>
      <c r="AB44" s="57" t="n">
        <f aca="false">IF(AB$5="A",Inputs_Actuals!AB95,Opex!$C$32*Assumptions!AB$74*Assumptions!$F$117)</f>
        <v>1442</v>
      </c>
    </row>
    <row r="45" customFormat="false" ht="15" hidden="false" customHeight="true" outlineLevel="0" collapsed="false">
      <c r="A45" s="28" t="s">
        <v>339</v>
      </c>
      <c r="B45" s="55" t="s">
        <v>1074</v>
      </c>
      <c r="C45" s="56" t="n">
        <f aca="false">SUM(E45:P45)</f>
        <v>69685</v>
      </c>
      <c r="D45" s="56" t="n">
        <f aca="false">SUM(Q45:AB45)</f>
        <v>67980</v>
      </c>
      <c r="E45" s="57" t="n">
        <f aca="false">IF(E$5="A",Inputs_Actuals!E96,Opex!$C$33*Assumptions!E$74*Assumptions!$F$117)</f>
        <v>6719</v>
      </c>
      <c r="F45" s="57" t="n">
        <f aca="false">IF(F$5="A",Inputs_Actuals!F96,Opex!$C$33*Assumptions!F$74*Assumptions!$F$117)</f>
        <v>5921</v>
      </c>
      <c r="G45" s="57" t="n">
        <f aca="false">IF(G$5="A",Inputs_Actuals!G96,Opex!$C$33*Assumptions!G$74*Assumptions!$F$117)</f>
        <v>5117</v>
      </c>
      <c r="H45" s="57" t="n">
        <f aca="false">IF(H$5="A",Inputs_Actuals!H96,Opex!$C$33*Assumptions!H$74*Assumptions!$F$117)</f>
        <v>6119</v>
      </c>
      <c r="I45" s="57" t="n">
        <f aca="false">IF(I$5="A",Inputs_Actuals!I96,Opex!$C$33*Assumptions!I$74*Assumptions!$F$117)</f>
        <v>5586</v>
      </c>
      <c r="J45" s="57" t="n">
        <f aca="false">IF(J$5="A",Inputs_Actuals!J96,Opex!$C$33*Assumptions!J$74*Assumptions!$F$117)</f>
        <v>6021</v>
      </c>
      <c r="K45" s="57" t="n">
        <f aca="false">IF(K$5="A",Inputs_Actuals!K96,Opex!$C$33*Assumptions!K$74*Assumptions!$F$117)</f>
        <v>5795</v>
      </c>
      <c r="L45" s="57" t="n">
        <f aca="false">IF(L$5="A",Inputs_Actuals!L96,Opex!$C$33*Assumptions!L$74*Assumptions!$F$117)</f>
        <v>6407</v>
      </c>
      <c r="M45" s="57" t="n">
        <f aca="false">IF(M$5="A",Inputs_Actuals!M96,Opex!$C$33*Assumptions!M$74*Assumptions!$F$117)</f>
        <v>5500</v>
      </c>
      <c r="N45" s="57" t="n">
        <f aca="false">IF(N$5="A",Inputs_Actuals!N96,Opex!$C$33*Assumptions!N$74*Assumptions!$F$117)</f>
        <v>5500</v>
      </c>
      <c r="O45" s="57" t="n">
        <f aca="false">IF(O$5="A",Inputs_Actuals!O96,Opex!$C$33*Assumptions!O$74*Assumptions!$F$117)</f>
        <v>5500</v>
      </c>
      <c r="P45" s="57" t="n">
        <f aca="false">IF(P$5="A",Inputs_Actuals!P96,Opex!$C$33*Assumptions!P$74*Assumptions!$F$117)</f>
        <v>5500</v>
      </c>
      <c r="Q45" s="57" t="n">
        <f aca="false">IF(Q$5="A",Inputs_Actuals!Q96,Opex!$C$33*Assumptions!Q$74*Assumptions!$F$117)</f>
        <v>5665</v>
      </c>
      <c r="R45" s="57" t="n">
        <f aca="false">IF(R$5="A",Inputs_Actuals!R96,Opex!$C$33*Assumptions!R$74*Assumptions!$F$117)</f>
        <v>5665</v>
      </c>
      <c r="S45" s="57" t="n">
        <f aca="false">IF(S$5="A",Inputs_Actuals!S96,Opex!$C$33*Assumptions!S$74*Assumptions!$F$117)</f>
        <v>5665</v>
      </c>
      <c r="T45" s="57" t="n">
        <f aca="false">IF(T$5="A",Inputs_Actuals!T96,Opex!$C$33*Assumptions!T$74*Assumptions!$F$117)</f>
        <v>5665</v>
      </c>
      <c r="U45" s="57" t="n">
        <f aca="false">IF(U$5="A",Inputs_Actuals!U96,Opex!$C$33*Assumptions!U$74*Assumptions!$F$117)</f>
        <v>5665</v>
      </c>
      <c r="V45" s="57" t="n">
        <f aca="false">IF(V$5="A",Inputs_Actuals!V96,Opex!$C$33*Assumptions!V$74*Assumptions!$F$117)</f>
        <v>5665</v>
      </c>
      <c r="W45" s="57" t="n">
        <f aca="false">IF(W$5="A",Inputs_Actuals!W96,Opex!$C$33*Assumptions!W$74*Assumptions!$F$117)</f>
        <v>5665</v>
      </c>
      <c r="X45" s="57" t="n">
        <f aca="false">IF(X$5="A",Inputs_Actuals!X96,Opex!$C$33*Assumptions!X$74*Assumptions!$F$117)</f>
        <v>5665</v>
      </c>
      <c r="Y45" s="57" t="n">
        <f aca="false">IF(Y$5="A",Inputs_Actuals!Y96,Opex!$C$33*Assumptions!Y$74*Assumptions!$F$117)</f>
        <v>5665</v>
      </c>
      <c r="Z45" s="57" t="n">
        <f aca="false">IF(Z$5="A",Inputs_Actuals!Z96,Opex!$C$33*Assumptions!Z$74*Assumptions!$F$117)</f>
        <v>5665</v>
      </c>
      <c r="AA45" s="57" t="n">
        <f aca="false">IF(AA$5="A",Inputs_Actuals!AA96,Opex!$C$33*Assumptions!AA$74*Assumptions!$F$117)</f>
        <v>5665</v>
      </c>
      <c r="AB45" s="57" t="n">
        <f aca="false">IF(AB$5="A",Inputs_Actuals!AB96,Opex!$C$33*Assumptions!AB$74*Assumptions!$F$117)</f>
        <v>5665</v>
      </c>
    </row>
    <row r="46" customFormat="false" ht="15" hidden="false" customHeight="true" outlineLevel="0" collapsed="false">
      <c r="A46" s="28" t="s">
        <v>341</v>
      </c>
      <c r="B46" s="55" t="s">
        <v>1074</v>
      </c>
      <c r="C46" s="56" t="n">
        <f aca="false">SUM(E46:P46)</f>
        <v>21320</v>
      </c>
      <c r="D46" s="56" t="n">
        <f aca="false">SUM(Q46:AB46)</f>
        <v>22248</v>
      </c>
      <c r="E46" s="57" t="n">
        <f aca="false">IF(E$5="A",Inputs_Actuals!E98,Opex!$C$34*Assumptions!E$74)</f>
        <v>1825</v>
      </c>
      <c r="F46" s="57" t="n">
        <f aca="false">IF(F$5="A",Inputs_Actuals!F98,Opex!$C$34*Assumptions!F$74)</f>
        <v>1606</v>
      </c>
      <c r="G46" s="57" t="n">
        <f aca="false">IF(G$5="A",Inputs_Actuals!G98,Opex!$C$34*Assumptions!G$74)</f>
        <v>1720</v>
      </c>
      <c r="H46" s="57" t="n">
        <f aca="false">IF(H$5="A",Inputs_Actuals!H98,Opex!$C$34*Assumptions!H$74)</f>
        <v>1762</v>
      </c>
      <c r="I46" s="57" t="n">
        <f aca="false">IF(I$5="A",Inputs_Actuals!I98,Opex!$C$34*Assumptions!I$74)</f>
        <v>2110</v>
      </c>
      <c r="J46" s="57" t="n">
        <f aca="false">IF(J$5="A",Inputs_Actuals!J98,Opex!$C$34*Assumptions!J$74)</f>
        <v>1495</v>
      </c>
      <c r="K46" s="57" t="n">
        <f aca="false">IF(K$5="A",Inputs_Actuals!K98,Opex!$C$34*Assumptions!K$74)</f>
        <v>1774</v>
      </c>
      <c r="L46" s="57" t="n">
        <f aca="false">IF(L$5="A",Inputs_Actuals!L98,Opex!$C$34*Assumptions!L$74)</f>
        <v>1828</v>
      </c>
      <c r="M46" s="57" t="n">
        <f aca="false">IF(M$5="A",Inputs_Actuals!M98,Opex!$C$34*Assumptions!M$74)</f>
        <v>1800</v>
      </c>
      <c r="N46" s="57" t="n">
        <f aca="false">IF(N$5="A",Inputs_Actuals!N98,Opex!$C$34*Assumptions!N$74)</f>
        <v>1800</v>
      </c>
      <c r="O46" s="57" t="n">
        <f aca="false">IF(O$5="A",Inputs_Actuals!O98,Opex!$C$34*Assumptions!O$74)</f>
        <v>1800</v>
      </c>
      <c r="P46" s="57" t="n">
        <f aca="false">IF(P$5="A",Inputs_Actuals!P98,Opex!$C$34*Assumptions!P$74)</f>
        <v>1800</v>
      </c>
      <c r="Q46" s="57" t="n">
        <f aca="false">IF(Q$5="A",Inputs_Actuals!Q98,Opex!$C$34*Assumptions!Q$74)</f>
        <v>1854</v>
      </c>
      <c r="R46" s="57" t="n">
        <f aca="false">IF(R$5="A",Inputs_Actuals!R98,Opex!$C$34*Assumptions!R$74)</f>
        <v>1854</v>
      </c>
      <c r="S46" s="57" t="n">
        <f aca="false">IF(S$5="A",Inputs_Actuals!S98,Opex!$C$34*Assumptions!S$74)</f>
        <v>1854</v>
      </c>
      <c r="T46" s="57" t="n">
        <f aca="false">IF(T$5="A",Inputs_Actuals!T98,Opex!$C$34*Assumptions!T$74)</f>
        <v>1854</v>
      </c>
      <c r="U46" s="57" t="n">
        <f aca="false">IF(U$5="A",Inputs_Actuals!U98,Opex!$C$34*Assumptions!U$74)</f>
        <v>1854</v>
      </c>
      <c r="V46" s="57" t="n">
        <f aca="false">IF(V$5="A",Inputs_Actuals!V98,Opex!$C$34*Assumptions!V$74)</f>
        <v>1854</v>
      </c>
      <c r="W46" s="57" t="n">
        <f aca="false">IF(W$5="A",Inputs_Actuals!W98,Opex!$C$34*Assumptions!W$74)</f>
        <v>1854</v>
      </c>
      <c r="X46" s="57" t="n">
        <f aca="false">IF(X$5="A",Inputs_Actuals!X98,Opex!$C$34*Assumptions!X$74)</f>
        <v>1854</v>
      </c>
      <c r="Y46" s="57" t="n">
        <f aca="false">IF(Y$5="A",Inputs_Actuals!Y98,Opex!$C$34*Assumptions!Y$74)</f>
        <v>1854</v>
      </c>
      <c r="Z46" s="57" t="n">
        <f aca="false">IF(Z$5="A",Inputs_Actuals!Z98,Opex!$C$34*Assumptions!Z$74)</f>
        <v>1854</v>
      </c>
      <c r="AA46" s="57" t="n">
        <f aca="false">IF(AA$5="A",Inputs_Actuals!AA98,Opex!$C$34*Assumptions!AA$74)</f>
        <v>1854</v>
      </c>
      <c r="AB46" s="57" t="n">
        <f aca="false">IF(AB$5="A",Inputs_Actuals!AB98,Opex!$C$34*Assumptions!AB$74)</f>
        <v>1854</v>
      </c>
    </row>
    <row r="47" customFormat="false" ht="15" hidden="false" customHeight="true" outlineLevel="0" collapsed="false">
      <c r="A47" s="28" t="s">
        <v>343</v>
      </c>
      <c r="B47" s="55" t="s">
        <v>1074</v>
      </c>
      <c r="C47" s="56" t="n">
        <f aca="false">SUM(E47:P47)</f>
        <v>11870</v>
      </c>
      <c r="D47" s="56" t="n">
        <f aca="false">SUM(Q47:AB47)</f>
        <v>11124</v>
      </c>
      <c r="E47" s="57" t="n">
        <f aca="false">IF(E$5="A",Inputs_Actuals!E100,Opex!$C$35*Assumptions!E$74*Assumptions!$F$117)</f>
        <v>857</v>
      </c>
      <c r="F47" s="57" t="n">
        <f aca="false">IF(F$5="A",Inputs_Actuals!F100,Opex!$C$35*Assumptions!F$74*Assumptions!$F$117)</f>
        <v>589</v>
      </c>
      <c r="G47" s="57" t="n">
        <f aca="false">IF(G$5="A",Inputs_Actuals!G100,Opex!$C$35*Assumptions!G$74*Assumptions!$F$117)</f>
        <v>2400</v>
      </c>
      <c r="H47" s="57" t="n">
        <f aca="false">IF(H$5="A",Inputs_Actuals!H100,Opex!$C$35*Assumptions!H$74*Assumptions!$F$117)</f>
        <v>488</v>
      </c>
      <c r="I47" s="57" t="n">
        <f aca="false">IF(I$5="A",Inputs_Actuals!I100,Opex!$C$35*Assumptions!I$74*Assumptions!$F$117)</f>
        <v>983</v>
      </c>
      <c r="J47" s="57" t="n">
        <f aca="false">IF(J$5="A",Inputs_Actuals!J100,Opex!$C$35*Assumptions!J$74*Assumptions!$F$117)</f>
        <v>991</v>
      </c>
      <c r="K47" s="57" t="n">
        <f aca="false">IF(K$5="A",Inputs_Actuals!K100,Opex!$C$35*Assumptions!K$74*Assumptions!$F$117)</f>
        <v>864</v>
      </c>
      <c r="L47" s="57" t="n">
        <f aca="false">IF(L$5="A",Inputs_Actuals!L100,Opex!$C$35*Assumptions!L$74*Assumptions!$F$117)</f>
        <v>1098</v>
      </c>
      <c r="M47" s="57" t="n">
        <f aca="false">IF(M$5="A",Inputs_Actuals!M100,Opex!$C$35*Assumptions!M$74*Assumptions!$F$117)</f>
        <v>900</v>
      </c>
      <c r="N47" s="57" t="n">
        <f aca="false">IF(N$5="A",Inputs_Actuals!N100,Opex!$C$35*Assumptions!N$74*Assumptions!$F$117)</f>
        <v>900</v>
      </c>
      <c r="O47" s="57" t="n">
        <f aca="false">IF(O$5="A",Inputs_Actuals!O100,Opex!$C$35*Assumptions!O$74*Assumptions!$F$117)</f>
        <v>900</v>
      </c>
      <c r="P47" s="57" t="n">
        <f aca="false">IF(P$5="A",Inputs_Actuals!P100,Opex!$C$35*Assumptions!P$74*Assumptions!$F$117)</f>
        <v>900</v>
      </c>
      <c r="Q47" s="57" t="n">
        <f aca="false">IF(Q$5="A",Inputs_Actuals!Q100,Opex!$C$35*Assumptions!Q$74*Assumptions!$F$117)</f>
        <v>927</v>
      </c>
      <c r="R47" s="57" t="n">
        <f aca="false">IF(R$5="A",Inputs_Actuals!R100,Opex!$C$35*Assumptions!R$74*Assumptions!$F$117)</f>
        <v>927</v>
      </c>
      <c r="S47" s="57" t="n">
        <f aca="false">IF(S$5="A",Inputs_Actuals!S100,Opex!$C$35*Assumptions!S$74*Assumptions!$F$117)</f>
        <v>927</v>
      </c>
      <c r="T47" s="57" t="n">
        <f aca="false">IF(T$5="A",Inputs_Actuals!T100,Opex!$C$35*Assumptions!T$74*Assumptions!$F$117)</f>
        <v>927</v>
      </c>
      <c r="U47" s="57" t="n">
        <f aca="false">IF(U$5="A",Inputs_Actuals!U100,Opex!$C$35*Assumptions!U$74*Assumptions!$F$117)</f>
        <v>927</v>
      </c>
      <c r="V47" s="57" t="n">
        <f aca="false">IF(V$5="A",Inputs_Actuals!V100,Opex!$C$35*Assumptions!V$74*Assumptions!$F$117)</f>
        <v>927</v>
      </c>
      <c r="W47" s="57" t="n">
        <f aca="false">IF(W$5="A",Inputs_Actuals!W100,Opex!$C$35*Assumptions!W$74*Assumptions!$F$117)</f>
        <v>927</v>
      </c>
      <c r="X47" s="57" t="n">
        <f aca="false">IF(X$5="A",Inputs_Actuals!X100,Opex!$C$35*Assumptions!X$74*Assumptions!$F$117)</f>
        <v>927</v>
      </c>
      <c r="Y47" s="57" t="n">
        <f aca="false">IF(Y$5="A",Inputs_Actuals!Y100,Opex!$C$35*Assumptions!Y$74*Assumptions!$F$117)</f>
        <v>927</v>
      </c>
      <c r="Z47" s="57" t="n">
        <f aca="false">IF(Z$5="A",Inputs_Actuals!Z100,Opex!$C$35*Assumptions!Z$74*Assumptions!$F$117)</f>
        <v>927</v>
      </c>
      <c r="AA47" s="57" t="n">
        <f aca="false">IF(AA$5="A",Inputs_Actuals!AA100,Opex!$C$35*Assumptions!AA$74*Assumptions!$F$117)</f>
        <v>927</v>
      </c>
      <c r="AB47" s="57" t="n">
        <f aca="false">IF(AB$5="A",Inputs_Actuals!AB100,Opex!$C$35*Assumptions!AB$74*Assumptions!$F$117)</f>
        <v>927</v>
      </c>
    </row>
    <row r="48" customFormat="false" ht="15" hidden="false" customHeight="true" outlineLevel="0" collapsed="false">
      <c r="A48" s="28" t="s">
        <v>340</v>
      </c>
      <c r="B48" s="55" t="s">
        <v>1074</v>
      </c>
      <c r="C48" s="56" t="n">
        <f aca="false">SUM(E48:P48)</f>
        <v>47496.2747764524</v>
      </c>
      <c r="D48" s="56" t="n">
        <f aca="false">SUM(Q48:AB48)</f>
        <v>61955.4943598672</v>
      </c>
      <c r="E48" s="57" t="n">
        <f aca="false">IF(E$5="A",Inputs_Actuals!E97,Assumptions!$C$47*Channel_PL!E114*Assumptions!E$74)</f>
        <v>2946</v>
      </c>
      <c r="F48" s="57" t="n">
        <f aca="false">IF(F$5="A",Inputs_Actuals!F97,Assumptions!$C$47*Channel_PL!F114*Assumptions!F$74)</f>
        <v>2812</v>
      </c>
      <c r="G48" s="57" t="n">
        <f aca="false">IF(G$5="A",Inputs_Actuals!G97,Assumptions!$C$47*Channel_PL!G114*Assumptions!G$74)</f>
        <v>3283</v>
      </c>
      <c r="H48" s="57" t="n">
        <f aca="false">IF(H$5="A",Inputs_Actuals!H97,Assumptions!$C$47*Channel_PL!H114*Assumptions!H$74)</f>
        <v>3431</v>
      </c>
      <c r="I48" s="57" t="n">
        <f aca="false">IF(I$5="A",Inputs_Actuals!I97,Assumptions!$C$47*Channel_PL!I114*Assumptions!I$74)</f>
        <v>3890</v>
      </c>
      <c r="J48" s="57" t="n">
        <f aca="false">IF(J$5="A",Inputs_Actuals!J97,Assumptions!$C$47*Channel_PL!J114*Assumptions!J$74)</f>
        <v>3713</v>
      </c>
      <c r="K48" s="57" t="n">
        <f aca="false">IF(K$5="A",Inputs_Actuals!K97,Assumptions!$C$47*Channel_PL!K114*Assumptions!K$74)</f>
        <v>3512</v>
      </c>
      <c r="L48" s="57" t="n">
        <f aca="false">IF(L$5="A",Inputs_Actuals!L97,Assumptions!$C$47*Channel_PL!L114*Assumptions!L$74)</f>
        <v>3419</v>
      </c>
      <c r="M48" s="57" t="n">
        <f aca="false">IF(M$5="A",Inputs_Actuals!M97,Assumptions!$C$47*Channel_PL!M114*Assumptions!M$74)</f>
        <v>3855.53473794296</v>
      </c>
      <c r="N48" s="57" t="n">
        <f aca="false">IF(N$5="A",Inputs_Actuals!N97,Assumptions!$C$47*Channel_PL!N114*Assumptions!N$74)</f>
        <v>4459.21884830161</v>
      </c>
      <c r="O48" s="57" t="n">
        <f aca="false">IF(O$5="A",Inputs_Actuals!O97,Assumptions!$C$47*Channel_PL!O114*Assumptions!O$74)</f>
        <v>6431.65695554052</v>
      </c>
      <c r="P48" s="57" t="n">
        <f aca="false">IF(P$5="A",Inputs_Actuals!P97,Assumptions!$C$47*Channel_PL!P114*Assumptions!P$74)</f>
        <v>5743.86423466727</v>
      </c>
      <c r="Q48" s="57" t="n">
        <f aca="false">IF(Q$5="A",Inputs_Actuals!Q97,Assumptions!$C$47*Channel_PL!Q114*Assumptions!Q$74)</f>
        <v>3770.11779229923</v>
      </c>
      <c r="R48" s="57" t="n">
        <f aca="false">IF(R$5="A",Inputs_Actuals!R97,Assumptions!$C$47*Channel_PL!R114*Assumptions!R$74)</f>
        <v>3586.54339836158</v>
      </c>
      <c r="S48" s="57" t="n">
        <f aca="false">IF(S$5="A",Inputs_Actuals!S97,Assumptions!$C$47*Channel_PL!S114*Assumptions!S$74)</f>
        <v>4126.61855763583</v>
      </c>
      <c r="T48" s="57" t="n">
        <f aca="false">IF(T$5="A",Inputs_Actuals!T97,Assumptions!$C$47*Channel_PL!T114*Assumptions!T$74)</f>
        <v>4361.5130051766</v>
      </c>
      <c r="U48" s="57" t="n">
        <f aca="false">IF(U$5="A",Inputs_Actuals!U97,Assumptions!$C$47*Channel_PL!U114*Assumptions!U$74)</f>
        <v>4701.32217855668</v>
      </c>
      <c r="V48" s="57" t="n">
        <f aca="false">IF(V$5="A",Inputs_Actuals!V97,Assumptions!$C$47*Channel_PL!V114*Assumptions!V$74)</f>
        <v>4662.24606315688</v>
      </c>
      <c r="W48" s="57" t="n">
        <f aca="false">IF(W$5="A",Inputs_Actuals!W97,Assumptions!$C$47*Channel_PL!W114*Assumptions!W$74)</f>
        <v>4518.87472155235</v>
      </c>
      <c r="X48" s="57" t="n">
        <f aca="false">IF(X$5="A",Inputs_Actuals!X97,Assumptions!$C$47*Channel_PL!X114*Assumptions!X$74)</f>
        <v>4520.90999696051</v>
      </c>
      <c r="Y48" s="57" t="n">
        <f aca="false">IF(Y$5="A",Inputs_Actuals!Y97,Assumptions!$C$47*Channel_PL!Y114*Assumptions!Y$74)</f>
        <v>5204.43521568637</v>
      </c>
      <c r="Z48" s="57" t="n">
        <f aca="false">IF(Z$5="A",Inputs_Actuals!Z97,Assumptions!$C$47*Channel_PL!Z114*Assumptions!Z$74)</f>
        <v>6025.48658533153</v>
      </c>
      <c r="AA48" s="57" t="n">
        <f aca="false">IF(AA$5="A",Inputs_Actuals!AA97,Assumptions!$C$47*Channel_PL!AA114*Assumptions!AA$74)</f>
        <v>8699.77430105192</v>
      </c>
      <c r="AB48" s="57" t="n">
        <f aca="false">IF(AB$5="A",Inputs_Actuals!AB97,Assumptions!$C$47*Channel_PL!AB114*Assumptions!AB$74)</f>
        <v>7777.65254409769</v>
      </c>
    </row>
    <row r="49" customFormat="false" ht="15" hidden="false" customHeight="true" outlineLevel="0" collapsed="false">
      <c r="A49" s="28" t="s">
        <v>342</v>
      </c>
      <c r="B49" s="55" t="s">
        <v>1074</v>
      </c>
      <c r="C49" s="56" t="n">
        <f aca="false">SUM(E49:P49)</f>
        <v>6546.26995710496</v>
      </c>
      <c r="D49" s="56" t="n">
        <f aca="false">SUM(Q49:AB49)</f>
        <v>8426.34001186206</v>
      </c>
      <c r="E49" s="57" t="n">
        <f aca="false">IF(E$5="A",Inputs_Actuals!E99,Assumptions!$C$48*Channel_PL!E120)</f>
        <v>398</v>
      </c>
      <c r="F49" s="57" t="n">
        <f aca="false">IF(F$5="A",Inputs_Actuals!F99,Assumptions!$C$48*Channel_PL!F120)</f>
        <v>399</v>
      </c>
      <c r="G49" s="57" t="n">
        <f aca="false">IF(G$5="A",Inputs_Actuals!G99,Assumptions!$C$48*Channel_PL!G120)</f>
        <v>476</v>
      </c>
      <c r="H49" s="57" t="n">
        <f aca="false">IF(H$5="A",Inputs_Actuals!H99,Assumptions!$C$48*Channel_PL!H120)</f>
        <v>463</v>
      </c>
      <c r="I49" s="57" t="n">
        <f aca="false">IF(I$5="A",Inputs_Actuals!I99,Assumptions!$C$48*Channel_PL!I120)</f>
        <v>528</v>
      </c>
      <c r="J49" s="57" t="n">
        <f aca="false">IF(J$5="A",Inputs_Actuals!J99,Assumptions!$C$48*Channel_PL!J120)</f>
        <v>485</v>
      </c>
      <c r="K49" s="57" t="n">
        <f aca="false">IF(K$5="A",Inputs_Actuals!K99,Assumptions!$C$48*Channel_PL!K120)</f>
        <v>474</v>
      </c>
      <c r="L49" s="57" t="n">
        <f aca="false">IF(L$5="A",Inputs_Actuals!L99,Assumptions!$C$48*Channel_PL!L120)</f>
        <v>496</v>
      </c>
      <c r="M49" s="57" t="n">
        <f aca="false">IF(M$5="A",Inputs_Actuals!M99,Assumptions!$C$48*Channel_PL!M120)</f>
        <v>530.424197002129</v>
      </c>
      <c r="N49" s="57" t="n">
        <f aca="false">IF(N$5="A",Inputs_Actuals!N99,Assumptions!$C$48*Channel_PL!N120)</f>
        <v>614.549368513455</v>
      </c>
      <c r="O49" s="57" t="n">
        <f aca="false">IF(O$5="A",Inputs_Actuals!O99,Assumptions!$C$48*Channel_PL!O120)</f>
        <v>887.932176817908</v>
      </c>
      <c r="P49" s="57" t="n">
        <f aca="false">IF(P$5="A",Inputs_Actuals!P99,Assumptions!$C$48*Channel_PL!P120)</f>
        <v>794.364214771471</v>
      </c>
      <c r="Q49" s="57" t="n">
        <f aca="false">IF(Q$5="A",Inputs_Actuals!Q99,Assumptions!$C$48*Channel_PL!Q120)</f>
        <v>507.097462141708</v>
      </c>
      <c r="R49" s="57" t="n">
        <f aca="false">IF(R$5="A",Inputs_Actuals!R99,Assumptions!$C$48*Channel_PL!R120)</f>
        <v>483.248484299349</v>
      </c>
      <c r="S49" s="57" t="n">
        <f aca="false">IF(S$5="A",Inputs_Actuals!S99,Assumptions!$C$48*Channel_PL!S120)</f>
        <v>556.988575279522</v>
      </c>
      <c r="T49" s="57" t="n">
        <f aca="false">IF(T$5="A",Inputs_Actuals!T99,Assumptions!$C$48*Channel_PL!T120)</f>
        <v>589.720658367503</v>
      </c>
      <c r="U49" s="57" t="n">
        <f aca="false">IF(U$5="A",Inputs_Actuals!U99,Assumptions!$C$48*Channel_PL!U120)</f>
        <v>636.775074405699</v>
      </c>
      <c r="V49" s="57" t="n">
        <f aca="false">IF(V$5="A",Inputs_Actuals!V99,Assumptions!$C$48*Channel_PL!V120)</f>
        <v>632.583364721798</v>
      </c>
      <c r="W49" s="57" t="n">
        <f aca="false">IF(W$5="A",Inputs_Actuals!W99,Assumptions!$C$48*Channel_PL!W120)</f>
        <v>614.198961871584</v>
      </c>
      <c r="X49" s="57" t="n">
        <f aca="false">IF(X$5="A",Inputs_Actuals!X99,Assumptions!$C$48*Channel_PL!X120)</f>
        <v>615.545989782134</v>
      </c>
      <c r="Y49" s="57" t="n">
        <f aca="false">IF(Y$5="A",Inputs_Actuals!Y99,Assumptions!$C$48*Channel_PL!Y120)</f>
        <v>709.845429648678</v>
      </c>
      <c r="Z49" s="57" t="n">
        <f aca="false">IF(Z$5="A",Inputs_Actuals!Z99,Assumptions!$C$48*Channel_PL!Z120)</f>
        <v>823.260954179467</v>
      </c>
      <c r="AA49" s="57" t="n">
        <f aca="false">IF(AA$5="A",Inputs_Actuals!AA99,Assumptions!$C$48*Channel_PL!AA120)</f>
        <v>1190.71620662969</v>
      </c>
      <c r="AB49" s="57" t="n">
        <f aca="false">IF(AB$5="A",Inputs_Actuals!AB99,Assumptions!$C$48*Channel_PL!AB120)</f>
        <v>1066.35885053493</v>
      </c>
    </row>
    <row r="50" customFormat="false" ht="15" hidden="false" customHeight="true" outlineLevel="0" collapsed="false">
      <c r="A50" s="70" t="s">
        <v>344</v>
      </c>
      <c r="B50" s="71" t="s">
        <v>310</v>
      </c>
      <c r="C50" s="72" t="n">
        <f aca="false">SUM(E50:P50)</f>
        <v>973778.544733557</v>
      </c>
      <c r="D50" s="72" t="n">
        <f aca="false">SUM(Q50:AB50)</f>
        <v>1155177.83437173</v>
      </c>
      <c r="E50" s="72" t="n">
        <f aca="false">E38+E39+E40+E41+E42+E43+E44+E45+E46+E47+E48+E49</f>
        <v>76782</v>
      </c>
      <c r="F50" s="72" t="n">
        <f aca="false">F38+F39+F40+F41+F42+F43+F44+F45+F46+F47+F48+F49</f>
        <v>74355</v>
      </c>
      <c r="G50" s="72" t="n">
        <f aca="false">G38+G39+G40+G41+G42+G43+G44+G45+G46+G47+G48+G49</f>
        <v>76331</v>
      </c>
      <c r="H50" s="72" t="n">
        <f aca="false">H38+H39+H40+H41+H42+H43+H44+H45+H46+H47+H48+H49</f>
        <v>78432</v>
      </c>
      <c r="I50" s="72" t="n">
        <f aca="false">I38+I39+I40+I41+I42+I43+I44+I45+I46+I47+I48+I49</f>
        <v>78981</v>
      </c>
      <c r="J50" s="72" t="n">
        <f aca="false">J38+J39+J40+J41+J42+J43+J44+J45+J46+J47+J48+J49</f>
        <v>81338</v>
      </c>
      <c r="K50" s="72" t="n">
        <f aca="false">K38+K39+K40+K41+K42+K43+K44+K45+K46+K47+K48+K49</f>
        <v>79501</v>
      </c>
      <c r="L50" s="72" t="n">
        <f aca="false">L38+L39+L40+L41+L42+L43+L44+L45+L46+L47+L48+L49</f>
        <v>81641</v>
      </c>
      <c r="M50" s="72" t="n">
        <f aca="false">M38+M39+M40+M41+M42+M43+M44+M45+M46+M47+M48+M49</f>
        <v>81035.9589349451</v>
      </c>
      <c r="N50" s="72" t="n">
        <f aca="false">N38+N39+N40+N41+N42+N43+N44+N45+N46+N47+N48+N49</f>
        <v>84423.7682168151</v>
      </c>
      <c r="O50" s="72" t="n">
        <f aca="false">O38+O39+O40+O41+O42+O43+O44+O45+O46+O47+O48+O49</f>
        <v>90869.5891323584</v>
      </c>
      <c r="P50" s="72" t="n">
        <f aca="false">P38+P39+P40+P41+P42+P43+P44+P45+P46+P47+P48+P49</f>
        <v>90088.2284494387</v>
      </c>
      <c r="Q50" s="72" t="n">
        <f aca="false">Q38+Q39+Q40+Q41+Q42+Q43+Q44+Q45+Q46+Q47+Q48+Q49</f>
        <v>90333.7152544409</v>
      </c>
      <c r="R50" s="72" t="n">
        <f aca="false">R38+R39+R40+R41+R42+R43+R44+R45+R46+R47+R48+R49</f>
        <v>94864.2918826609</v>
      </c>
      <c r="S50" s="72" t="n">
        <f aca="false">S38+S39+S40+S41+S42+S43+S44+S45+S46+S47+S48+S49</f>
        <v>95478.1071329154</v>
      </c>
      <c r="T50" s="72" t="n">
        <f aca="false">T38+T39+T40+T41+T42+T43+T44+T45+T46+T47+T48+T49</f>
        <v>95745.7336635441</v>
      </c>
      <c r="U50" s="72" t="n">
        <f aca="false">U38+U39+U40+U41+U42+U43+U44+U45+U46+U47+U48+U49</f>
        <v>96132.5972529624</v>
      </c>
      <c r="V50" s="72" t="n">
        <f aca="false">V38+V39+V40+V41+V42+V43+V44+V45+V46+V47+V48+V49</f>
        <v>96089.3294278787</v>
      </c>
      <c r="W50" s="72" t="n">
        <f aca="false">W38+W39+W40+W41+W42+W43+W44+W45+W46+W47+W48+W49</f>
        <v>95927.5736834239</v>
      </c>
      <c r="X50" s="72" t="n">
        <f aca="false">X38+X39+X40+X41+X42+X43+X44+X45+X46+X47+X48+X49</f>
        <v>95930.9559867426</v>
      </c>
      <c r="Y50" s="72" t="n">
        <f aca="false">Y38+Y39+Y40+Y41+Y42+Y43+Y44+Y45+Y46+Y47+Y48+Y49</f>
        <v>96708.7806453351</v>
      </c>
      <c r="Z50" s="72" t="n">
        <f aca="false">Z38+Z39+Z40+Z41+Z42+Z43+Z44+Z45+Z46+Z47+Z48+Z49</f>
        <v>97643.247539511</v>
      </c>
      <c r="AA50" s="72" t="n">
        <f aca="false">AA38+AA39+AA40+AA41+AA42+AA43+AA44+AA45+AA46+AA47+AA48+AA49</f>
        <v>100684.990507682</v>
      </c>
      <c r="AB50" s="72" t="n">
        <f aca="false">AB38+AB39+AB40+AB41+AB42+AB43+AB44+AB45+AB46+AB47+AB48+AB49</f>
        <v>99638.5113946326</v>
      </c>
    </row>
    <row r="51" customFormat="false" ht="15" hidden="false" customHeight="true" outlineLevel="0" collapsed="false">
      <c r="A51" s="28" t="s">
        <v>1075</v>
      </c>
      <c r="B51" s="55"/>
      <c r="C51" s="56" t="n">
        <f aca="false">SUM(E51:P51)</f>
        <v>386232.274776452</v>
      </c>
      <c r="D51" s="56" t="n">
        <f aca="false">SUM(Q51:AB51)</f>
        <v>406181.494359867</v>
      </c>
      <c r="E51" s="69" t="n">
        <f aca="false">E50-E38-E49</f>
        <v>32584</v>
      </c>
      <c r="F51" s="69" t="n">
        <f aca="false">F50-F38-F49</f>
        <v>30056</v>
      </c>
      <c r="G51" s="69" t="n">
        <f aca="false">G50-G38-G49</f>
        <v>31755</v>
      </c>
      <c r="H51" s="69" t="n">
        <f aca="false">H50-H38-H49</f>
        <v>30769</v>
      </c>
      <c r="I51" s="69" t="n">
        <f aca="false">I50-I38-I49</f>
        <v>31153</v>
      </c>
      <c r="J51" s="69" t="n">
        <f aca="false">J50-J38-J49</f>
        <v>33253</v>
      </c>
      <c r="K51" s="69" t="n">
        <f aca="false">K50-K38-K49</f>
        <v>31527</v>
      </c>
      <c r="L51" s="69" t="n">
        <f aca="false">L50-L38-L49</f>
        <v>33245</v>
      </c>
      <c r="M51" s="69" t="n">
        <f aca="false">M50-M38-M49</f>
        <v>31705.534737943</v>
      </c>
      <c r="N51" s="69" t="n">
        <f aca="false">N50-N38-N49</f>
        <v>32309.2188483016</v>
      </c>
      <c r="O51" s="69" t="n">
        <f aca="false">O50-O38-O49</f>
        <v>34281.6569555405</v>
      </c>
      <c r="P51" s="69" t="n">
        <f aca="false">P50-P38-P49</f>
        <v>33593.8642346673</v>
      </c>
      <c r="Q51" s="69" t="n">
        <f aca="false">Q50-Q38-Q49</f>
        <v>32455.6177922992</v>
      </c>
      <c r="R51" s="69" t="n">
        <f aca="false">R50-R38-R49</f>
        <v>32272.0433983616</v>
      </c>
      <c r="S51" s="69" t="n">
        <f aca="false">S50-S38-S49</f>
        <v>32812.1185576358</v>
      </c>
      <c r="T51" s="69" t="n">
        <f aca="false">T50-T38-T49</f>
        <v>33047.0130051766</v>
      </c>
      <c r="U51" s="69" t="n">
        <f aca="false">U50-U38-U49</f>
        <v>33386.8221785567</v>
      </c>
      <c r="V51" s="69" t="n">
        <f aca="false">V50-V38-V49</f>
        <v>33347.7460631569</v>
      </c>
      <c r="W51" s="69" t="n">
        <f aca="false">W50-W38-W49</f>
        <v>33204.3747215524</v>
      </c>
      <c r="X51" s="69" t="n">
        <f aca="false">X50-X38-X49</f>
        <v>33206.4099969605</v>
      </c>
      <c r="Y51" s="69" t="n">
        <f aca="false">Y50-Y38-Y49</f>
        <v>33889.9352156864</v>
      </c>
      <c r="Z51" s="69" t="n">
        <f aca="false">Z50-Z38-Z49</f>
        <v>34710.9865853315</v>
      </c>
      <c r="AA51" s="69" t="n">
        <f aca="false">AA50-AA38-AA49</f>
        <v>37385.2743010519</v>
      </c>
      <c r="AB51" s="69" t="n">
        <f aca="false">AB50-AB38-AB49</f>
        <v>36463.1525440977</v>
      </c>
    </row>
    <row r="53" customFormat="false" ht="15" hidden="false" customHeight="true" outlineLevel="0" collapsed="false">
      <c r="A53" s="22" t="s">
        <v>1076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row>
    <row r="54" customFormat="false" ht="15" hidden="false" customHeight="true" outlineLevel="0" collapsed="false">
      <c r="A54" s="28" t="s">
        <v>1017</v>
      </c>
      <c r="B54" s="55"/>
      <c r="E54" s="57" t="n">
        <f aca="false">Inputs_Actuals!$C$132</f>
        <v>15900</v>
      </c>
      <c r="F54" s="69" t="n">
        <f aca="false">E57</f>
        <v>14016</v>
      </c>
      <c r="G54" s="69" t="n">
        <f aca="false">F57</f>
        <v>14048</v>
      </c>
      <c r="H54" s="69" t="n">
        <f aca="false">G57</f>
        <v>14112</v>
      </c>
      <c r="I54" s="69" t="n">
        <f aca="false">H57</f>
        <v>15104</v>
      </c>
      <c r="J54" s="69" t="n">
        <f aca="false">I57</f>
        <v>15136</v>
      </c>
      <c r="K54" s="69" t="n">
        <f aca="false">J57</f>
        <v>15232</v>
      </c>
      <c r="L54" s="69" t="n">
        <f aca="false">K57</f>
        <v>15200</v>
      </c>
      <c r="M54" s="69" t="n">
        <f aca="false">L57</f>
        <v>15328</v>
      </c>
      <c r="N54" s="69" t="n">
        <f aca="false">M57</f>
        <v>15616</v>
      </c>
      <c r="O54" s="69" t="n">
        <f aca="false">N57</f>
        <v>16480</v>
      </c>
      <c r="P54" s="69" t="n">
        <f aca="false">O57</f>
        <v>17824</v>
      </c>
      <c r="Q54" s="69" t="n">
        <f aca="false">P57</f>
        <v>17824</v>
      </c>
      <c r="R54" s="69" t="n">
        <f aca="false">Q57</f>
        <v>18358.72</v>
      </c>
      <c r="S54" s="69" t="n">
        <f aca="false">R57</f>
        <v>19874.88</v>
      </c>
      <c r="T54" s="69" t="n">
        <f aca="false">S57</f>
        <v>19874.88</v>
      </c>
      <c r="U54" s="69" t="n">
        <f aca="false">T57</f>
        <v>19874.88</v>
      </c>
      <c r="V54" s="69" t="n">
        <f aca="false">U57</f>
        <v>19874.88</v>
      </c>
      <c r="W54" s="69" t="n">
        <f aca="false">V57</f>
        <v>19874.88</v>
      </c>
      <c r="X54" s="69" t="n">
        <f aca="false">W57</f>
        <v>19874.88</v>
      </c>
      <c r="Y54" s="69" t="n">
        <f aca="false">X57</f>
        <v>19874.88</v>
      </c>
      <c r="Z54" s="69" t="n">
        <f aca="false">Y57</f>
        <v>19874.88</v>
      </c>
      <c r="AA54" s="69" t="n">
        <f aca="false">Z57</f>
        <v>19874.88</v>
      </c>
      <c r="AB54" s="69" t="n">
        <f aca="false">AA57</f>
        <v>19874.88</v>
      </c>
    </row>
    <row r="55" customFormat="false" ht="15" hidden="false" customHeight="true" outlineLevel="0" collapsed="false">
      <c r="A55" s="28" t="s">
        <v>1077</v>
      </c>
      <c r="B55" s="55" t="s">
        <v>71</v>
      </c>
      <c r="C55" s="56" t="n">
        <f aca="false">SUM(E55:P55)</f>
        <v>185920</v>
      </c>
      <c r="D55" s="56" t="n">
        <f aca="false">SUM(Q55:AB55)</f>
        <v>236982.4</v>
      </c>
      <c r="E55" s="57" t="n">
        <f aca="false">Assumptions!$C$26*E38</f>
        <v>14016</v>
      </c>
      <c r="F55" s="57" t="n">
        <f aca="false">Assumptions!$C$26*F38</f>
        <v>14048</v>
      </c>
      <c r="G55" s="57" t="n">
        <f aca="false">Assumptions!$C$26*G38</f>
        <v>14112</v>
      </c>
      <c r="H55" s="57" t="n">
        <f aca="false">Assumptions!$C$26*H38</f>
        <v>15104</v>
      </c>
      <c r="I55" s="57" t="n">
        <f aca="false">Assumptions!$C$26*I38</f>
        <v>15136</v>
      </c>
      <c r="J55" s="57" t="n">
        <f aca="false">Assumptions!$C$26*J38</f>
        <v>15232</v>
      </c>
      <c r="K55" s="57" t="n">
        <f aca="false">Assumptions!$C$26*K38</f>
        <v>15200</v>
      </c>
      <c r="L55" s="57" t="n">
        <f aca="false">Assumptions!$C$26*L38</f>
        <v>15328</v>
      </c>
      <c r="M55" s="57" t="n">
        <f aca="false">Assumptions!$C$26*M38</f>
        <v>15616</v>
      </c>
      <c r="N55" s="57" t="n">
        <f aca="false">Assumptions!$C$26*N38</f>
        <v>16480</v>
      </c>
      <c r="O55" s="57" t="n">
        <f aca="false">Assumptions!$C$26*O38</f>
        <v>17824</v>
      </c>
      <c r="P55" s="57" t="n">
        <f aca="false">Assumptions!$C$26*P38</f>
        <v>17824</v>
      </c>
      <c r="Q55" s="57" t="n">
        <f aca="false">Assumptions!$C$26*Q38</f>
        <v>18358.72</v>
      </c>
      <c r="R55" s="57" t="n">
        <f aca="false">Assumptions!$C$26*R38</f>
        <v>19874.88</v>
      </c>
      <c r="S55" s="57" t="n">
        <f aca="false">Assumptions!$C$26*S38</f>
        <v>19874.88</v>
      </c>
      <c r="T55" s="57" t="n">
        <f aca="false">Assumptions!$C$26*T38</f>
        <v>19874.88</v>
      </c>
      <c r="U55" s="57" t="n">
        <f aca="false">Assumptions!$C$26*U38</f>
        <v>19874.88</v>
      </c>
      <c r="V55" s="57" t="n">
        <f aca="false">Assumptions!$C$26*V38</f>
        <v>19874.88</v>
      </c>
      <c r="W55" s="57" t="n">
        <f aca="false">Assumptions!$C$26*W38</f>
        <v>19874.88</v>
      </c>
      <c r="X55" s="57" t="n">
        <f aca="false">Assumptions!$C$26*X38</f>
        <v>19874.88</v>
      </c>
      <c r="Y55" s="57" t="n">
        <f aca="false">Assumptions!$C$26*Y38</f>
        <v>19874.88</v>
      </c>
      <c r="Z55" s="57" t="n">
        <f aca="false">Assumptions!$C$26*Z38</f>
        <v>19874.88</v>
      </c>
      <c r="AA55" s="57" t="n">
        <f aca="false">Assumptions!$C$26*AA38</f>
        <v>19874.88</v>
      </c>
      <c r="AB55" s="57" t="n">
        <f aca="false">Assumptions!$C$26*AB38</f>
        <v>19874.88</v>
      </c>
    </row>
    <row r="56" customFormat="false" ht="15" hidden="false" customHeight="true" outlineLevel="0" collapsed="false">
      <c r="A56" s="28" t="s">
        <v>1078</v>
      </c>
      <c r="B56" s="55"/>
      <c r="C56" s="56" t="n">
        <f aca="false">SUM(E56:P56)</f>
        <v>-183996</v>
      </c>
      <c r="D56" s="56" t="n">
        <f aca="false">SUM(Q56:AB56)</f>
        <v>-234931.52</v>
      </c>
      <c r="E56" s="69" t="n">
        <f aca="false">-E54</f>
        <v>-15900</v>
      </c>
      <c r="F56" s="69" t="n">
        <f aca="false">-F54</f>
        <v>-14016</v>
      </c>
      <c r="G56" s="69" t="n">
        <f aca="false">-G54</f>
        <v>-14048</v>
      </c>
      <c r="H56" s="69" t="n">
        <f aca="false">-H54</f>
        <v>-14112</v>
      </c>
      <c r="I56" s="69" t="n">
        <f aca="false">-I54</f>
        <v>-15104</v>
      </c>
      <c r="J56" s="69" t="n">
        <f aca="false">-J54</f>
        <v>-15136</v>
      </c>
      <c r="K56" s="69" t="n">
        <f aca="false">-K54</f>
        <v>-15232</v>
      </c>
      <c r="L56" s="69" t="n">
        <f aca="false">-L54</f>
        <v>-15200</v>
      </c>
      <c r="M56" s="69" t="n">
        <f aca="false">-M54</f>
        <v>-15328</v>
      </c>
      <c r="N56" s="69" t="n">
        <f aca="false">-N54</f>
        <v>-15616</v>
      </c>
      <c r="O56" s="69" t="n">
        <f aca="false">-O54</f>
        <v>-16480</v>
      </c>
      <c r="P56" s="69" t="n">
        <f aca="false">-P54</f>
        <v>-17824</v>
      </c>
      <c r="Q56" s="69" t="n">
        <f aca="false">-Q54</f>
        <v>-17824</v>
      </c>
      <c r="R56" s="69" t="n">
        <f aca="false">-R54</f>
        <v>-18358.72</v>
      </c>
      <c r="S56" s="69" t="n">
        <f aca="false">-S54</f>
        <v>-19874.88</v>
      </c>
      <c r="T56" s="69" t="n">
        <f aca="false">-T54</f>
        <v>-19874.88</v>
      </c>
      <c r="U56" s="69" t="n">
        <f aca="false">-U54</f>
        <v>-19874.88</v>
      </c>
      <c r="V56" s="69" t="n">
        <f aca="false">-V54</f>
        <v>-19874.88</v>
      </c>
      <c r="W56" s="69" t="n">
        <f aca="false">-W54</f>
        <v>-19874.88</v>
      </c>
      <c r="X56" s="69" t="n">
        <f aca="false">-X54</f>
        <v>-19874.88</v>
      </c>
      <c r="Y56" s="69" t="n">
        <f aca="false">-Y54</f>
        <v>-19874.88</v>
      </c>
      <c r="Z56" s="69" t="n">
        <f aca="false">-Z54</f>
        <v>-19874.88</v>
      </c>
      <c r="AA56" s="69" t="n">
        <f aca="false">-AA54</f>
        <v>-19874.88</v>
      </c>
      <c r="AB56" s="69" t="n">
        <f aca="false">-AB54</f>
        <v>-19874.88</v>
      </c>
    </row>
    <row r="57" customFormat="false" ht="15" hidden="false" customHeight="true" outlineLevel="0" collapsed="false">
      <c r="A57" s="70" t="s">
        <v>1079</v>
      </c>
      <c r="B57" s="71"/>
      <c r="C57" s="72" t="n">
        <f aca="false">P57</f>
        <v>17824</v>
      </c>
      <c r="D57" s="72" t="n">
        <f aca="false">AB57</f>
        <v>19874.88</v>
      </c>
      <c r="E57" s="72" t="n">
        <f aca="false">E54+E55+E56</f>
        <v>14016</v>
      </c>
      <c r="F57" s="72" t="n">
        <f aca="false">F54+F55+F56</f>
        <v>14048</v>
      </c>
      <c r="G57" s="72" t="n">
        <f aca="false">G54+G55+G56</f>
        <v>14112</v>
      </c>
      <c r="H57" s="72" t="n">
        <f aca="false">H54+H55+H56</f>
        <v>15104</v>
      </c>
      <c r="I57" s="72" t="n">
        <f aca="false">I54+I55+I56</f>
        <v>15136</v>
      </c>
      <c r="J57" s="72" t="n">
        <f aca="false">J54+J55+J56</f>
        <v>15232</v>
      </c>
      <c r="K57" s="72" t="n">
        <f aca="false">K54+K55+K56</f>
        <v>15200</v>
      </c>
      <c r="L57" s="72" t="n">
        <f aca="false">L54+L55+L56</f>
        <v>15328</v>
      </c>
      <c r="M57" s="72" t="n">
        <f aca="false">M54+M55+M56</f>
        <v>15616</v>
      </c>
      <c r="N57" s="72" t="n">
        <f aca="false">N54+N55+N56</f>
        <v>16480</v>
      </c>
      <c r="O57" s="72" t="n">
        <f aca="false">O54+O55+O56</f>
        <v>17824</v>
      </c>
      <c r="P57" s="72" t="n">
        <f aca="false">P54+P55+P56</f>
        <v>17824</v>
      </c>
      <c r="Q57" s="72" t="n">
        <f aca="false">Q54+Q55+Q56</f>
        <v>18358.72</v>
      </c>
      <c r="R57" s="72" t="n">
        <f aca="false">R54+R55+R56</f>
        <v>19874.88</v>
      </c>
      <c r="S57" s="72" t="n">
        <f aca="false">S54+S55+S56</f>
        <v>19874.88</v>
      </c>
      <c r="T57" s="72" t="n">
        <f aca="false">T54+T55+T56</f>
        <v>19874.88</v>
      </c>
      <c r="U57" s="72" t="n">
        <f aca="false">U54+U55+U56</f>
        <v>19874.88</v>
      </c>
      <c r="V57" s="72" t="n">
        <f aca="false">V54+V55+V56</f>
        <v>19874.88</v>
      </c>
      <c r="W57" s="72" t="n">
        <f aca="false">W54+W55+W56</f>
        <v>19874.88</v>
      </c>
      <c r="X57" s="72" t="n">
        <f aca="false">X54+X55+X56</f>
        <v>19874.88</v>
      </c>
      <c r="Y57" s="72" t="n">
        <f aca="false">Y54+Y55+Y56</f>
        <v>19874.88</v>
      </c>
      <c r="Z57" s="72" t="n">
        <f aca="false">Z54+Z55+Z56</f>
        <v>19874.88</v>
      </c>
      <c r="AA57" s="72" t="n">
        <f aca="false">AA54+AA55+AA56</f>
        <v>19874.88</v>
      </c>
      <c r="AB57" s="72" t="n">
        <f aca="false">AB54+AB55+AB56</f>
        <v>19874.88</v>
      </c>
    </row>
    <row r="58" customFormat="false" ht="15" hidden="false" customHeight="true" outlineLevel="0" collapsed="false">
      <c r="A58" s="28" t="s">
        <v>1080</v>
      </c>
      <c r="B58" s="55" t="s">
        <v>1081</v>
      </c>
      <c r="C58" s="56" t="n">
        <f aca="false">SUM(E58:P58)</f>
        <v>395080</v>
      </c>
      <c r="D58" s="56" t="n">
        <f aca="false">SUM(Q58:AB58)</f>
        <v>503587.6</v>
      </c>
      <c r="E58" s="69" t="n">
        <f aca="false">E38-E55</f>
        <v>29784</v>
      </c>
      <c r="F58" s="69" t="n">
        <f aca="false">F38-F55</f>
        <v>29852</v>
      </c>
      <c r="G58" s="69" t="n">
        <f aca="false">G38-G55</f>
        <v>29988</v>
      </c>
      <c r="H58" s="69" t="n">
        <f aca="false">H38-H55</f>
        <v>32096</v>
      </c>
      <c r="I58" s="69" t="n">
        <f aca="false">I38-I55</f>
        <v>32164</v>
      </c>
      <c r="J58" s="69" t="n">
        <f aca="false">J38-J55</f>
        <v>32368</v>
      </c>
      <c r="K58" s="69" t="n">
        <f aca="false">K38-K55</f>
        <v>32300</v>
      </c>
      <c r="L58" s="69" t="n">
        <f aca="false">L38-L55</f>
        <v>32572</v>
      </c>
      <c r="M58" s="69" t="n">
        <f aca="false">M38-M55</f>
        <v>33184</v>
      </c>
      <c r="N58" s="69" t="n">
        <f aca="false">N38-N55</f>
        <v>35020</v>
      </c>
      <c r="O58" s="69" t="n">
        <f aca="false">O38-O55</f>
        <v>37876</v>
      </c>
      <c r="P58" s="69" t="n">
        <f aca="false">P38-P55</f>
        <v>37876</v>
      </c>
      <c r="Q58" s="69" t="n">
        <f aca="false">Q38-Q55</f>
        <v>39012.28</v>
      </c>
      <c r="R58" s="69" t="n">
        <f aca="false">R38-R55</f>
        <v>42234.12</v>
      </c>
      <c r="S58" s="69" t="n">
        <f aca="false">S38-S55</f>
        <v>42234.12</v>
      </c>
      <c r="T58" s="69" t="n">
        <f aca="false">T38-T55</f>
        <v>42234.12</v>
      </c>
      <c r="U58" s="69" t="n">
        <f aca="false">U38-U55</f>
        <v>42234.12</v>
      </c>
      <c r="V58" s="69" t="n">
        <f aca="false">V38-V55</f>
        <v>42234.12</v>
      </c>
      <c r="W58" s="69" t="n">
        <f aca="false">W38-W55</f>
        <v>42234.12</v>
      </c>
      <c r="X58" s="69" t="n">
        <f aca="false">X38-X55</f>
        <v>42234.12</v>
      </c>
      <c r="Y58" s="69" t="n">
        <f aca="false">Y38-Y55</f>
        <v>42234.12</v>
      </c>
      <c r="Z58" s="69" t="n">
        <f aca="false">Z38-Z55</f>
        <v>42234.12</v>
      </c>
      <c r="AA58" s="69" t="n">
        <f aca="false">AA38-AA55</f>
        <v>42234.12</v>
      </c>
      <c r="AB58" s="69" t="n">
        <f aca="false">AB38-AB55</f>
        <v>42234.12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2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1082</v>
      </c>
    </row>
    <row r="3" customFormat="false" ht="15" hidden="false" customHeight="true" outlineLevel="0" collapsed="false">
      <c r="A3" s="25" t="s">
        <v>1083</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1084</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1085</v>
      </c>
      <c r="B9" s="55"/>
      <c r="E9" s="57" t="n">
        <f aca="false">Inputs_Actuals!$C$125</f>
        <v>48000</v>
      </c>
      <c r="F9" s="69" t="n">
        <f aca="false">E11</f>
        <v>50400</v>
      </c>
      <c r="G9" s="69" t="n">
        <f aca="false">F11</f>
        <v>50400</v>
      </c>
      <c r="H9" s="69" t="n">
        <f aca="false">G11</f>
        <v>57200</v>
      </c>
      <c r="I9" s="69" t="n">
        <f aca="false">H11</f>
        <v>57200</v>
      </c>
      <c r="J9" s="69" t="n">
        <f aca="false">I11</f>
        <v>57200</v>
      </c>
      <c r="K9" s="69" t="n">
        <f aca="false">J11</f>
        <v>57200</v>
      </c>
      <c r="L9" s="69" t="n">
        <f aca="false">K11</f>
        <v>60700</v>
      </c>
      <c r="M9" s="69" t="n">
        <f aca="false">L11</f>
        <v>60700</v>
      </c>
      <c r="N9" s="69" t="n">
        <f aca="false">M11</f>
        <v>62200</v>
      </c>
      <c r="O9" s="69" t="n">
        <f aca="false">N11</f>
        <v>63700</v>
      </c>
      <c r="P9" s="69" t="n">
        <f aca="false">O11</f>
        <v>65200</v>
      </c>
      <c r="Q9" s="69" t="n">
        <f aca="false">P11</f>
        <v>66700</v>
      </c>
      <c r="R9" s="69" t="n">
        <f aca="false">Q11</f>
        <v>68200</v>
      </c>
      <c r="S9" s="69" t="n">
        <f aca="false">R11</f>
        <v>69700</v>
      </c>
      <c r="T9" s="69" t="n">
        <f aca="false">S11</f>
        <v>71200</v>
      </c>
      <c r="U9" s="69" t="n">
        <f aca="false">T11</f>
        <v>72700</v>
      </c>
      <c r="V9" s="69" t="n">
        <f aca="false">U11</f>
        <v>74200</v>
      </c>
      <c r="W9" s="69" t="n">
        <f aca="false">V11</f>
        <v>75700</v>
      </c>
      <c r="X9" s="69" t="n">
        <f aca="false">W11</f>
        <v>77200</v>
      </c>
      <c r="Y9" s="69" t="n">
        <f aca="false">X11</f>
        <v>78700</v>
      </c>
      <c r="Z9" s="69" t="n">
        <f aca="false">Y11</f>
        <v>80200</v>
      </c>
      <c r="AA9" s="69" t="n">
        <f aca="false">Z11</f>
        <v>81700</v>
      </c>
      <c r="AB9" s="69" t="n">
        <f aca="false">AA11</f>
        <v>83200</v>
      </c>
    </row>
    <row r="10" customFormat="false" ht="15" hidden="false" customHeight="true" outlineLevel="0" collapsed="false">
      <c r="A10" s="28" t="s">
        <v>1086</v>
      </c>
      <c r="B10" s="55" t="s">
        <v>1087</v>
      </c>
      <c r="C10" s="56" t="n">
        <f aca="false">SUM(E10:P10)</f>
        <v>18700</v>
      </c>
      <c r="D10" s="56" t="n">
        <f aca="false">SUM(Q10:AB10)</f>
        <v>18000</v>
      </c>
      <c r="E10" s="57" t="n">
        <f aca="false">IF(E$5="A",Inputs_Actuals!E102,Assumptions!$C$54)</f>
        <v>2400</v>
      </c>
      <c r="F10" s="57" t="n">
        <f aca="false">IF(F$5="A",Inputs_Actuals!F102,Assumptions!$C$54)</f>
        <v>0</v>
      </c>
      <c r="G10" s="57" t="n">
        <f aca="false">IF(G$5="A",Inputs_Actuals!G102,Assumptions!$C$54)</f>
        <v>6800</v>
      </c>
      <c r="H10" s="57" t="n">
        <f aca="false">IF(H$5="A",Inputs_Actuals!H102,Assumptions!$C$54)</f>
        <v>0</v>
      </c>
      <c r="I10" s="57" t="n">
        <f aca="false">IF(I$5="A",Inputs_Actuals!I102,Assumptions!$C$54)</f>
        <v>0</v>
      </c>
      <c r="J10" s="57" t="n">
        <f aca="false">IF(J$5="A",Inputs_Actuals!J102,Assumptions!$C$54)</f>
        <v>0</v>
      </c>
      <c r="K10" s="57" t="n">
        <f aca="false">IF(K$5="A",Inputs_Actuals!K102,Assumptions!$C$54)</f>
        <v>3500</v>
      </c>
      <c r="L10" s="57" t="n">
        <f aca="false">IF(L$5="A",Inputs_Actuals!L102,Assumptions!$C$54)</f>
        <v>0</v>
      </c>
      <c r="M10" s="57" t="n">
        <f aca="false">IF(M$5="A",Inputs_Actuals!M102,Assumptions!$C$54)</f>
        <v>1500</v>
      </c>
      <c r="N10" s="57" t="n">
        <f aca="false">IF(N$5="A",Inputs_Actuals!N102,Assumptions!$C$54)</f>
        <v>1500</v>
      </c>
      <c r="O10" s="57" t="n">
        <f aca="false">IF(O$5="A",Inputs_Actuals!O102,Assumptions!$C$54)</f>
        <v>1500</v>
      </c>
      <c r="P10" s="57" t="n">
        <f aca="false">IF(P$5="A",Inputs_Actuals!P102,Assumptions!$C$54)</f>
        <v>1500</v>
      </c>
      <c r="Q10" s="57" t="n">
        <f aca="false">IF(Q$5="A",Inputs_Actuals!Q102,Assumptions!$C$54)</f>
        <v>1500</v>
      </c>
      <c r="R10" s="57" t="n">
        <f aca="false">IF(R$5="A",Inputs_Actuals!R102,Assumptions!$C$54)</f>
        <v>1500</v>
      </c>
      <c r="S10" s="57" t="n">
        <f aca="false">IF(S$5="A",Inputs_Actuals!S102,Assumptions!$C$54)</f>
        <v>1500</v>
      </c>
      <c r="T10" s="57" t="n">
        <f aca="false">IF(T$5="A",Inputs_Actuals!T102,Assumptions!$C$54)</f>
        <v>1500</v>
      </c>
      <c r="U10" s="57" t="n">
        <f aca="false">IF(U$5="A",Inputs_Actuals!U102,Assumptions!$C$54)</f>
        <v>1500</v>
      </c>
      <c r="V10" s="57" t="n">
        <f aca="false">IF(V$5="A",Inputs_Actuals!V102,Assumptions!$C$54)</f>
        <v>1500</v>
      </c>
      <c r="W10" s="57" t="n">
        <f aca="false">IF(W$5="A",Inputs_Actuals!W102,Assumptions!$C$54)</f>
        <v>1500</v>
      </c>
      <c r="X10" s="57" t="n">
        <f aca="false">IF(X$5="A",Inputs_Actuals!X102,Assumptions!$C$54)</f>
        <v>1500</v>
      </c>
      <c r="Y10" s="57" t="n">
        <f aca="false">IF(Y$5="A",Inputs_Actuals!Y102,Assumptions!$C$54)</f>
        <v>1500</v>
      </c>
      <c r="Z10" s="57" t="n">
        <f aca="false">IF(Z$5="A",Inputs_Actuals!Z102,Assumptions!$C$54)</f>
        <v>1500</v>
      </c>
      <c r="AA10" s="57" t="n">
        <f aca="false">IF(AA$5="A",Inputs_Actuals!AA102,Assumptions!$C$54)</f>
        <v>1500</v>
      </c>
      <c r="AB10" s="57" t="n">
        <f aca="false">IF(AB$5="A",Inputs_Actuals!AB102,Assumptions!$C$54)</f>
        <v>1500</v>
      </c>
    </row>
    <row r="11" customFormat="false" ht="15" hidden="false" customHeight="true" outlineLevel="0" collapsed="false">
      <c r="A11" s="28" t="s">
        <v>1088</v>
      </c>
      <c r="B11" s="55"/>
      <c r="C11" s="56" t="n">
        <f aca="false">P11</f>
        <v>66700</v>
      </c>
      <c r="D11" s="56" t="n">
        <f aca="false">AB11</f>
        <v>84700</v>
      </c>
      <c r="E11" s="69" t="n">
        <f aca="false">E9+E10</f>
        <v>50400</v>
      </c>
      <c r="F11" s="69" t="n">
        <f aca="false">F9+F10</f>
        <v>50400</v>
      </c>
      <c r="G11" s="69" t="n">
        <f aca="false">G9+G10</f>
        <v>57200</v>
      </c>
      <c r="H11" s="69" t="n">
        <f aca="false">H9+H10</f>
        <v>57200</v>
      </c>
      <c r="I11" s="69" t="n">
        <f aca="false">I9+I10</f>
        <v>57200</v>
      </c>
      <c r="J11" s="69" t="n">
        <f aca="false">J9+J10</f>
        <v>57200</v>
      </c>
      <c r="K11" s="69" t="n">
        <f aca="false">K9+K10</f>
        <v>60700</v>
      </c>
      <c r="L11" s="69" t="n">
        <f aca="false">L9+L10</f>
        <v>60700</v>
      </c>
      <c r="M11" s="69" t="n">
        <f aca="false">M9+M10</f>
        <v>62200</v>
      </c>
      <c r="N11" s="69" t="n">
        <f aca="false">N9+N10</f>
        <v>63700</v>
      </c>
      <c r="O11" s="69" t="n">
        <f aca="false">O9+O10</f>
        <v>65200</v>
      </c>
      <c r="P11" s="69" t="n">
        <f aca="false">P9+P10</f>
        <v>66700</v>
      </c>
      <c r="Q11" s="69" t="n">
        <f aca="false">Q9+Q10</f>
        <v>68200</v>
      </c>
      <c r="R11" s="69" t="n">
        <f aca="false">R9+R10</f>
        <v>69700</v>
      </c>
      <c r="S11" s="69" t="n">
        <f aca="false">S9+S10</f>
        <v>71200</v>
      </c>
      <c r="T11" s="69" t="n">
        <f aca="false">T9+T10</f>
        <v>72700</v>
      </c>
      <c r="U11" s="69" t="n">
        <f aca="false">U9+U10</f>
        <v>74200</v>
      </c>
      <c r="V11" s="69" t="n">
        <f aca="false">V9+V10</f>
        <v>75700</v>
      </c>
      <c r="W11" s="69" t="n">
        <f aca="false">W9+W10</f>
        <v>77200</v>
      </c>
      <c r="X11" s="69" t="n">
        <f aca="false">X9+X10</f>
        <v>78700</v>
      </c>
      <c r="Y11" s="69" t="n">
        <f aca="false">Y9+Y10</f>
        <v>80200</v>
      </c>
      <c r="Z11" s="69" t="n">
        <f aca="false">Z9+Z10</f>
        <v>81700</v>
      </c>
      <c r="AA11" s="69" t="n">
        <f aca="false">AA9+AA10</f>
        <v>83200</v>
      </c>
      <c r="AB11" s="69" t="n">
        <f aca="false">AB9+AB10</f>
        <v>84700</v>
      </c>
    </row>
    <row r="12" customFormat="false" ht="15" hidden="false" customHeight="true" outlineLevel="0" collapsed="false">
      <c r="A12" s="28" t="s">
        <v>1089</v>
      </c>
      <c r="B12" s="55"/>
      <c r="E12" s="57" t="n">
        <f aca="false">Inputs_Actuals!$C$126</f>
        <v>21000</v>
      </c>
      <c r="F12" s="69" t="n">
        <f aca="false">E14</f>
        <v>21840</v>
      </c>
      <c r="G12" s="69" t="n">
        <f aca="false">F14</f>
        <v>22680</v>
      </c>
      <c r="H12" s="69" t="n">
        <f aca="false">G14</f>
        <v>23633.3333333333</v>
      </c>
      <c r="I12" s="69" t="n">
        <f aca="false">H14</f>
        <v>24586.6666666667</v>
      </c>
      <c r="J12" s="69" t="n">
        <f aca="false">I14</f>
        <v>25540</v>
      </c>
      <c r="K12" s="69" t="n">
        <f aca="false">J14</f>
        <v>26493.3333333333</v>
      </c>
      <c r="L12" s="69" t="n">
        <f aca="false">K14</f>
        <v>27505</v>
      </c>
      <c r="M12" s="69" t="n">
        <f aca="false">L14</f>
        <v>28516.6666666667</v>
      </c>
      <c r="N12" s="69" t="n">
        <f aca="false">M14</f>
        <v>29553.3333333333</v>
      </c>
      <c r="O12" s="69" t="n">
        <f aca="false">N14</f>
        <v>30615</v>
      </c>
      <c r="P12" s="69" t="n">
        <f aca="false">O14</f>
        <v>31701.6666666667</v>
      </c>
      <c r="Q12" s="69" t="n">
        <f aca="false">P14</f>
        <v>32813.3333333333</v>
      </c>
      <c r="R12" s="69" t="n">
        <f aca="false">Q14</f>
        <v>33950</v>
      </c>
      <c r="S12" s="69" t="n">
        <f aca="false">R14</f>
        <v>35111.6666666667</v>
      </c>
      <c r="T12" s="69" t="n">
        <f aca="false">S14</f>
        <v>36298.3333333333</v>
      </c>
      <c r="U12" s="69" t="n">
        <f aca="false">T14</f>
        <v>37510</v>
      </c>
      <c r="V12" s="69" t="n">
        <f aca="false">U14</f>
        <v>38746.6666666667</v>
      </c>
      <c r="W12" s="69" t="n">
        <f aca="false">V14</f>
        <v>40008.3333333333</v>
      </c>
      <c r="X12" s="69" t="n">
        <f aca="false">W14</f>
        <v>41295</v>
      </c>
      <c r="Y12" s="69" t="n">
        <f aca="false">X14</f>
        <v>42606.6666666667</v>
      </c>
      <c r="Z12" s="69" t="n">
        <f aca="false">Y14</f>
        <v>43943.3333333333</v>
      </c>
      <c r="AA12" s="69" t="n">
        <f aca="false">Z14</f>
        <v>45305</v>
      </c>
      <c r="AB12" s="69" t="n">
        <f aca="false">AA14</f>
        <v>46691.6666666666</v>
      </c>
    </row>
    <row r="13" customFormat="false" ht="15" hidden="false" customHeight="true" outlineLevel="0" collapsed="false">
      <c r="A13" s="28" t="s">
        <v>1090</v>
      </c>
      <c r="B13" s="55" t="s">
        <v>1091</v>
      </c>
      <c r="C13" s="56" t="n">
        <f aca="false">SUM(E13:P13)</f>
        <v>11813.3333333333</v>
      </c>
      <c r="D13" s="56" t="n">
        <f aca="false">SUM(Q13:AB13)</f>
        <v>15290</v>
      </c>
      <c r="E13" s="57" t="n">
        <f aca="false">MIN(E11-E12,E11/(Assumptions!$C$56*12))</f>
        <v>840</v>
      </c>
      <c r="F13" s="57" t="n">
        <f aca="false">MIN(F11-F12,F11/(Assumptions!$C$56*12))</f>
        <v>840</v>
      </c>
      <c r="G13" s="57" t="n">
        <f aca="false">MIN(G11-G12,G11/(Assumptions!$C$56*12))</f>
        <v>953.333333333333</v>
      </c>
      <c r="H13" s="57" t="n">
        <f aca="false">MIN(H11-H12,H11/(Assumptions!$C$56*12))</f>
        <v>953.333333333333</v>
      </c>
      <c r="I13" s="57" t="n">
        <f aca="false">MIN(I11-I12,I11/(Assumptions!$C$56*12))</f>
        <v>953.333333333333</v>
      </c>
      <c r="J13" s="57" t="n">
        <f aca="false">MIN(J11-J12,J11/(Assumptions!$C$56*12))</f>
        <v>953.333333333333</v>
      </c>
      <c r="K13" s="57" t="n">
        <f aca="false">MIN(K11-K12,K11/(Assumptions!$C$56*12))</f>
        <v>1011.66666666667</v>
      </c>
      <c r="L13" s="57" t="n">
        <f aca="false">MIN(L11-L12,L11/(Assumptions!$C$56*12))</f>
        <v>1011.66666666667</v>
      </c>
      <c r="M13" s="57" t="n">
        <f aca="false">MIN(M11-M12,M11/(Assumptions!$C$56*12))</f>
        <v>1036.66666666667</v>
      </c>
      <c r="N13" s="57" t="n">
        <f aca="false">MIN(N11-N12,N11/(Assumptions!$C$56*12))</f>
        <v>1061.66666666667</v>
      </c>
      <c r="O13" s="57" t="n">
        <f aca="false">MIN(O11-O12,O11/(Assumptions!$C$56*12))</f>
        <v>1086.66666666667</v>
      </c>
      <c r="P13" s="57" t="n">
        <f aca="false">MIN(P11-P12,P11/(Assumptions!$C$56*12))</f>
        <v>1111.66666666667</v>
      </c>
      <c r="Q13" s="57" t="n">
        <f aca="false">MIN(Q11-Q12,Q11/(Assumptions!$C$56*12))</f>
        <v>1136.66666666667</v>
      </c>
      <c r="R13" s="57" t="n">
        <f aca="false">MIN(R11-R12,R11/(Assumptions!$C$56*12))</f>
        <v>1161.66666666667</v>
      </c>
      <c r="S13" s="57" t="n">
        <f aca="false">MIN(S11-S12,S11/(Assumptions!$C$56*12))</f>
        <v>1186.66666666667</v>
      </c>
      <c r="T13" s="57" t="n">
        <f aca="false">MIN(T11-T12,T11/(Assumptions!$C$56*12))</f>
        <v>1211.66666666667</v>
      </c>
      <c r="U13" s="57" t="n">
        <f aca="false">MIN(U11-U12,U11/(Assumptions!$C$56*12))</f>
        <v>1236.66666666667</v>
      </c>
      <c r="V13" s="57" t="n">
        <f aca="false">MIN(V11-V12,V11/(Assumptions!$C$56*12))</f>
        <v>1261.66666666667</v>
      </c>
      <c r="W13" s="57" t="n">
        <f aca="false">MIN(W11-W12,W11/(Assumptions!$C$56*12))</f>
        <v>1286.66666666667</v>
      </c>
      <c r="X13" s="57" t="n">
        <f aca="false">MIN(X11-X12,X11/(Assumptions!$C$56*12))</f>
        <v>1311.66666666667</v>
      </c>
      <c r="Y13" s="57" t="n">
        <f aca="false">MIN(Y11-Y12,Y11/(Assumptions!$C$56*12))</f>
        <v>1336.66666666667</v>
      </c>
      <c r="Z13" s="57" t="n">
        <f aca="false">MIN(Z11-Z12,Z11/(Assumptions!$C$56*12))</f>
        <v>1361.66666666667</v>
      </c>
      <c r="AA13" s="57" t="n">
        <f aca="false">MIN(AA11-AA12,AA11/(Assumptions!$C$56*12))</f>
        <v>1386.66666666667</v>
      </c>
      <c r="AB13" s="57" t="n">
        <f aca="false">MIN(AB11-AB12,AB11/(Assumptions!$C$56*12))</f>
        <v>1411.66666666667</v>
      </c>
    </row>
    <row r="14" customFormat="false" ht="15" hidden="false" customHeight="true" outlineLevel="0" collapsed="false">
      <c r="A14" s="28" t="s">
        <v>1092</v>
      </c>
      <c r="B14" s="55"/>
      <c r="C14" s="56" t="n">
        <f aca="false">P14</f>
        <v>32813.3333333333</v>
      </c>
      <c r="D14" s="56" t="n">
        <f aca="false">AB14</f>
        <v>48103.3333333333</v>
      </c>
      <c r="E14" s="69" t="n">
        <f aca="false">E12+E13</f>
        <v>21840</v>
      </c>
      <c r="F14" s="69" t="n">
        <f aca="false">F12+F13</f>
        <v>22680</v>
      </c>
      <c r="G14" s="69" t="n">
        <f aca="false">G12+G13</f>
        <v>23633.3333333333</v>
      </c>
      <c r="H14" s="69" t="n">
        <f aca="false">H12+H13</f>
        <v>24586.6666666667</v>
      </c>
      <c r="I14" s="69" t="n">
        <f aca="false">I12+I13</f>
        <v>25540</v>
      </c>
      <c r="J14" s="69" t="n">
        <f aca="false">J12+J13</f>
        <v>26493.3333333333</v>
      </c>
      <c r="K14" s="69" t="n">
        <f aca="false">K12+K13</f>
        <v>27505</v>
      </c>
      <c r="L14" s="69" t="n">
        <f aca="false">L12+L13</f>
        <v>28516.6666666667</v>
      </c>
      <c r="M14" s="69" t="n">
        <f aca="false">M12+M13</f>
        <v>29553.3333333333</v>
      </c>
      <c r="N14" s="69" t="n">
        <f aca="false">N12+N13</f>
        <v>30615</v>
      </c>
      <c r="O14" s="69" t="n">
        <f aca="false">O12+O13</f>
        <v>31701.6666666667</v>
      </c>
      <c r="P14" s="69" t="n">
        <f aca="false">P12+P13</f>
        <v>32813.3333333333</v>
      </c>
      <c r="Q14" s="69" t="n">
        <f aca="false">Q12+Q13</f>
        <v>33950</v>
      </c>
      <c r="R14" s="69" t="n">
        <f aca="false">R12+R13</f>
        <v>35111.6666666667</v>
      </c>
      <c r="S14" s="69" t="n">
        <f aca="false">S12+S13</f>
        <v>36298.3333333333</v>
      </c>
      <c r="T14" s="69" t="n">
        <f aca="false">T12+T13</f>
        <v>37510</v>
      </c>
      <c r="U14" s="69" t="n">
        <f aca="false">U12+U13</f>
        <v>38746.6666666667</v>
      </c>
      <c r="V14" s="69" t="n">
        <f aca="false">V12+V13</f>
        <v>40008.3333333333</v>
      </c>
      <c r="W14" s="69" t="n">
        <f aca="false">W12+W13</f>
        <v>41295</v>
      </c>
      <c r="X14" s="69" t="n">
        <f aca="false">X12+X13</f>
        <v>42606.6666666667</v>
      </c>
      <c r="Y14" s="69" t="n">
        <f aca="false">Y12+Y13</f>
        <v>43943.3333333333</v>
      </c>
      <c r="Z14" s="69" t="n">
        <f aca="false">Z12+Z13</f>
        <v>45305</v>
      </c>
      <c r="AA14" s="69" t="n">
        <f aca="false">AA12+AA13</f>
        <v>46691.6666666666</v>
      </c>
      <c r="AB14" s="69" t="n">
        <f aca="false">AB12+AB13</f>
        <v>48103.3333333333</v>
      </c>
    </row>
    <row r="15" customFormat="false" ht="15" hidden="false" customHeight="true" outlineLevel="0" collapsed="false">
      <c r="A15" s="70" t="s">
        <v>1093</v>
      </c>
      <c r="B15" s="71"/>
      <c r="C15" s="72" t="n">
        <f aca="false">P15</f>
        <v>33886.6666666667</v>
      </c>
      <c r="D15" s="72" t="n">
        <f aca="false">AB15</f>
        <v>36596.6666666667</v>
      </c>
      <c r="E15" s="72" t="n">
        <f aca="false">E11-E14</f>
        <v>28560</v>
      </c>
      <c r="F15" s="72" t="n">
        <f aca="false">F11-F14</f>
        <v>27720</v>
      </c>
      <c r="G15" s="72" t="n">
        <f aca="false">G11-G14</f>
        <v>33566.6666666667</v>
      </c>
      <c r="H15" s="72" t="n">
        <f aca="false">H11-H14</f>
        <v>32613.3333333333</v>
      </c>
      <c r="I15" s="72" t="n">
        <f aca="false">I11-I14</f>
        <v>31660</v>
      </c>
      <c r="J15" s="72" t="n">
        <f aca="false">J11-J14</f>
        <v>30706.6666666667</v>
      </c>
      <c r="K15" s="72" t="n">
        <f aca="false">K11-K14</f>
        <v>33195</v>
      </c>
      <c r="L15" s="72" t="n">
        <f aca="false">L11-L14</f>
        <v>32183.3333333333</v>
      </c>
      <c r="M15" s="72" t="n">
        <f aca="false">M11-M14</f>
        <v>32646.6666666667</v>
      </c>
      <c r="N15" s="72" t="n">
        <f aca="false">N11-N14</f>
        <v>33085</v>
      </c>
      <c r="O15" s="72" t="n">
        <f aca="false">O11-O14</f>
        <v>33498.3333333333</v>
      </c>
      <c r="P15" s="72" t="n">
        <f aca="false">P11-P14</f>
        <v>33886.6666666667</v>
      </c>
      <c r="Q15" s="72" t="n">
        <f aca="false">Q11-Q14</f>
        <v>34250</v>
      </c>
      <c r="R15" s="72" t="n">
        <f aca="false">R11-R14</f>
        <v>34588.3333333333</v>
      </c>
      <c r="S15" s="72" t="n">
        <f aca="false">S11-S14</f>
        <v>34901.6666666667</v>
      </c>
      <c r="T15" s="72" t="n">
        <f aca="false">T11-T14</f>
        <v>35190</v>
      </c>
      <c r="U15" s="72" t="n">
        <f aca="false">U11-U14</f>
        <v>35453.3333333333</v>
      </c>
      <c r="V15" s="72" t="n">
        <f aca="false">V11-V14</f>
        <v>35691.6666666667</v>
      </c>
      <c r="W15" s="72" t="n">
        <f aca="false">W11-W14</f>
        <v>35905</v>
      </c>
      <c r="X15" s="72" t="n">
        <f aca="false">X11-X14</f>
        <v>36093.3333333334</v>
      </c>
      <c r="Y15" s="72" t="n">
        <f aca="false">Y11-Y14</f>
        <v>36256.6666666667</v>
      </c>
      <c r="Z15" s="72" t="n">
        <f aca="false">Z11-Z14</f>
        <v>36395</v>
      </c>
      <c r="AA15" s="72" t="n">
        <f aca="false">AA11-AA14</f>
        <v>36508.3333333334</v>
      </c>
      <c r="AB15" s="72" t="n">
        <f aca="false">AB11-AB14</f>
        <v>36596.6666666667</v>
      </c>
    </row>
    <row r="17" customFormat="false" ht="15" hidden="false" customHeight="true" outlineLevel="0" collapsed="false">
      <c r="A17" s="22" t="s">
        <v>1094</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row>
    <row r="18" customFormat="false" ht="15" hidden="false" customHeight="true" outlineLevel="0" collapsed="false">
      <c r="A18" s="28" t="s">
        <v>1085</v>
      </c>
      <c r="B18" s="55"/>
      <c r="E18" s="57" t="n">
        <f aca="false">Inputs_Actuals!$C$127</f>
        <v>60000</v>
      </c>
      <c r="F18" s="69" t="n">
        <f aca="false">E20</f>
        <v>60000</v>
      </c>
      <c r="G18" s="69" t="n">
        <f aca="false">F20</f>
        <v>60000</v>
      </c>
      <c r="H18" s="69" t="n">
        <f aca="false">G20</f>
        <v>60000</v>
      </c>
      <c r="I18" s="69" t="n">
        <f aca="false">H20</f>
        <v>60000</v>
      </c>
      <c r="J18" s="69" t="n">
        <f aca="false">I20</f>
        <v>61200</v>
      </c>
      <c r="K18" s="69" t="n">
        <f aca="false">J20</f>
        <v>61200</v>
      </c>
      <c r="L18" s="69" t="n">
        <f aca="false">K20</f>
        <v>61200</v>
      </c>
      <c r="M18" s="69" t="n">
        <f aca="false">L20</f>
        <v>61200</v>
      </c>
      <c r="N18" s="69" t="n">
        <f aca="false">M20</f>
        <v>61200</v>
      </c>
      <c r="O18" s="69" t="n">
        <f aca="false">N20</f>
        <v>61200</v>
      </c>
      <c r="P18" s="69" t="n">
        <f aca="false">O20</f>
        <v>61200</v>
      </c>
      <c r="Q18" s="69" t="n">
        <f aca="false">P20</f>
        <v>61200</v>
      </c>
      <c r="R18" s="69" t="n">
        <f aca="false">Q20</f>
        <v>61200</v>
      </c>
      <c r="S18" s="69" t="n">
        <f aca="false">R20</f>
        <v>91200</v>
      </c>
      <c r="T18" s="69" t="n">
        <f aca="false">S20</f>
        <v>91200</v>
      </c>
      <c r="U18" s="69" t="n">
        <f aca="false">T20</f>
        <v>91200</v>
      </c>
      <c r="V18" s="69" t="n">
        <f aca="false">U20</f>
        <v>91200</v>
      </c>
      <c r="W18" s="69" t="n">
        <f aca="false">V20</f>
        <v>91200</v>
      </c>
      <c r="X18" s="69" t="n">
        <f aca="false">W20</f>
        <v>91200</v>
      </c>
      <c r="Y18" s="69" t="n">
        <f aca="false">X20</f>
        <v>91200</v>
      </c>
      <c r="Z18" s="69" t="n">
        <f aca="false">Y20</f>
        <v>91200</v>
      </c>
      <c r="AA18" s="69" t="n">
        <f aca="false">Z20</f>
        <v>91200</v>
      </c>
      <c r="AB18" s="69" t="n">
        <f aca="false">AA20</f>
        <v>91200</v>
      </c>
    </row>
    <row r="19" customFormat="false" ht="15" hidden="false" customHeight="true" outlineLevel="0" collapsed="false">
      <c r="A19" s="28" t="s">
        <v>1086</v>
      </c>
      <c r="B19" s="55" t="s">
        <v>1087</v>
      </c>
      <c r="C19" s="56" t="n">
        <f aca="false">SUM(E19:P19)</f>
        <v>1200</v>
      </c>
      <c r="D19" s="56" t="n">
        <f aca="false">SUM(Q19:AB19)</f>
        <v>30000</v>
      </c>
      <c r="E19" s="57" t="n">
        <f aca="false">IF(E$5="A",Inputs_Actuals!E103,IF(AND(Assumptions!E$65=2,Assumptions!E$64=2027),Assumptions!$C$55,0))</f>
        <v>0</v>
      </c>
      <c r="F19" s="57" t="n">
        <f aca="false">IF(F$5="A",Inputs_Actuals!F103,IF(AND(Assumptions!F$65=2,Assumptions!F$64=2027),Assumptions!$C$55,0))</f>
        <v>0</v>
      </c>
      <c r="G19" s="57" t="n">
        <f aca="false">IF(G$5="A",Inputs_Actuals!G103,IF(AND(Assumptions!G$65=2,Assumptions!G$64=2027),Assumptions!$C$55,0))</f>
        <v>0</v>
      </c>
      <c r="H19" s="57" t="n">
        <f aca="false">IF(H$5="A",Inputs_Actuals!H103,IF(AND(Assumptions!H$65=2,Assumptions!H$64=2027),Assumptions!$C$55,0))</f>
        <v>0</v>
      </c>
      <c r="I19" s="57" t="n">
        <f aca="false">IF(I$5="A",Inputs_Actuals!I103,IF(AND(Assumptions!I$65=2,Assumptions!I$64=2027),Assumptions!$C$55,0))</f>
        <v>1200</v>
      </c>
      <c r="J19" s="57" t="n">
        <f aca="false">IF(J$5="A",Inputs_Actuals!J103,IF(AND(Assumptions!J$65=2,Assumptions!J$64=2027),Assumptions!$C$55,0))</f>
        <v>0</v>
      </c>
      <c r="K19" s="57" t="n">
        <f aca="false">IF(K$5="A",Inputs_Actuals!K103,IF(AND(Assumptions!K$65=2,Assumptions!K$64=2027),Assumptions!$C$55,0))</f>
        <v>0</v>
      </c>
      <c r="L19" s="57" t="n">
        <f aca="false">IF(L$5="A",Inputs_Actuals!L103,IF(AND(Assumptions!L$65=2,Assumptions!L$64=2027),Assumptions!$C$55,0))</f>
        <v>0</v>
      </c>
      <c r="M19" s="57" t="n">
        <f aca="false">IF(M$5="A",Inputs_Actuals!M103,IF(AND(Assumptions!M$65=2,Assumptions!M$64=2027),Assumptions!$C$55,0))</f>
        <v>0</v>
      </c>
      <c r="N19" s="57" t="n">
        <f aca="false">IF(N$5="A",Inputs_Actuals!N103,IF(AND(Assumptions!N$65=2,Assumptions!N$64=2027),Assumptions!$C$55,0))</f>
        <v>0</v>
      </c>
      <c r="O19" s="57" t="n">
        <f aca="false">IF(O$5="A",Inputs_Actuals!O103,IF(AND(Assumptions!O$65=2,Assumptions!O$64=2027),Assumptions!$C$55,0))</f>
        <v>0</v>
      </c>
      <c r="P19" s="57" t="n">
        <f aca="false">IF(P$5="A",Inputs_Actuals!P103,IF(AND(Assumptions!P$65=2,Assumptions!P$64=2027),Assumptions!$C$55,0))</f>
        <v>0</v>
      </c>
      <c r="Q19" s="57" t="n">
        <f aca="false">IF(Q$5="A",Inputs_Actuals!Q103,IF(AND(Assumptions!Q$65=2,Assumptions!Q$64=2027),Assumptions!$C$55,0))</f>
        <v>0</v>
      </c>
      <c r="R19" s="57" t="n">
        <f aca="false">IF(R$5="A",Inputs_Actuals!R103,IF(AND(Assumptions!R$65=2,Assumptions!R$64=2027),Assumptions!$C$55,0))</f>
        <v>30000</v>
      </c>
      <c r="S19" s="57" t="n">
        <f aca="false">IF(S$5="A",Inputs_Actuals!S103,IF(AND(Assumptions!S$65=2,Assumptions!S$64=2027),Assumptions!$C$55,0))</f>
        <v>0</v>
      </c>
      <c r="T19" s="57" t="n">
        <f aca="false">IF(T$5="A",Inputs_Actuals!T103,IF(AND(Assumptions!T$65=2,Assumptions!T$64=2027),Assumptions!$C$55,0))</f>
        <v>0</v>
      </c>
      <c r="U19" s="57" t="n">
        <f aca="false">IF(U$5="A",Inputs_Actuals!U103,IF(AND(Assumptions!U$65=2,Assumptions!U$64=2027),Assumptions!$C$55,0))</f>
        <v>0</v>
      </c>
      <c r="V19" s="57" t="n">
        <f aca="false">IF(V$5="A",Inputs_Actuals!V103,IF(AND(Assumptions!V$65=2,Assumptions!V$64=2027),Assumptions!$C$55,0))</f>
        <v>0</v>
      </c>
      <c r="W19" s="57" t="n">
        <f aca="false">IF(W$5="A",Inputs_Actuals!W103,IF(AND(Assumptions!W$65=2,Assumptions!W$64=2027),Assumptions!$C$55,0))</f>
        <v>0</v>
      </c>
      <c r="X19" s="57" t="n">
        <f aca="false">IF(X$5="A",Inputs_Actuals!X103,IF(AND(Assumptions!X$65=2,Assumptions!X$64=2027),Assumptions!$C$55,0))</f>
        <v>0</v>
      </c>
      <c r="Y19" s="57" t="n">
        <f aca="false">IF(Y$5="A",Inputs_Actuals!Y103,IF(AND(Assumptions!Y$65=2,Assumptions!Y$64=2027),Assumptions!$C$55,0))</f>
        <v>0</v>
      </c>
      <c r="Z19" s="57" t="n">
        <f aca="false">IF(Z$5="A",Inputs_Actuals!Z103,IF(AND(Assumptions!Z$65=2,Assumptions!Z$64=2027),Assumptions!$C$55,0))</f>
        <v>0</v>
      </c>
      <c r="AA19" s="57" t="n">
        <f aca="false">IF(AA$5="A",Inputs_Actuals!AA103,IF(AND(Assumptions!AA$65=2,Assumptions!AA$64=2027),Assumptions!$C$55,0))</f>
        <v>0</v>
      </c>
      <c r="AB19" s="57" t="n">
        <f aca="false">IF(AB$5="A",Inputs_Actuals!AB103,IF(AND(Assumptions!AB$65=2,Assumptions!AB$64=2027),Assumptions!$C$55,0))</f>
        <v>0</v>
      </c>
    </row>
    <row r="20" customFormat="false" ht="15" hidden="false" customHeight="true" outlineLevel="0" collapsed="false">
      <c r="A20" s="28" t="s">
        <v>1088</v>
      </c>
      <c r="B20" s="55"/>
      <c r="C20" s="56" t="n">
        <f aca="false">P20</f>
        <v>61200</v>
      </c>
      <c r="D20" s="56" t="n">
        <f aca="false">AB20</f>
        <v>91200</v>
      </c>
      <c r="E20" s="69" t="n">
        <f aca="false">E18+E19</f>
        <v>60000</v>
      </c>
      <c r="F20" s="69" t="n">
        <f aca="false">F18+F19</f>
        <v>60000</v>
      </c>
      <c r="G20" s="69" t="n">
        <f aca="false">G18+G19</f>
        <v>60000</v>
      </c>
      <c r="H20" s="69" t="n">
        <f aca="false">H18+H19</f>
        <v>60000</v>
      </c>
      <c r="I20" s="69" t="n">
        <f aca="false">I18+I19</f>
        <v>61200</v>
      </c>
      <c r="J20" s="69" t="n">
        <f aca="false">J18+J19</f>
        <v>61200</v>
      </c>
      <c r="K20" s="69" t="n">
        <f aca="false">K18+K19</f>
        <v>61200</v>
      </c>
      <c r="L20" s="69" t="n">
        <f aca="false">L18+L19</f>
        <v>61200</v>
      </c>
      <c r="M20" s="69" t="n">
        <f aca="false">M18+M19</f>
        <v>61200</v>
      </c>
      <c r="N20" s="69" t="n">
        <f aca="false">N18+N19</f>
        <v>61200</v>
      </c>
      <c r="O20" s="69" t="n">
        <f aca="false">O18+O19</f>
        <v>61200</v>
      </c>
      <c r="P20" s="69" t="n">
        <f aca="false">P18+P19</f>
        <v>61200</v>
      </c>
      <c r="Q20" s="69" t="n">
        <f aca="false">Q18+Q19</f>
        <v>61200</v>
      </c>
      <c r="R20" s="69" t="n">
        <f aca="false">R18+R19</f>
        <v>91200</v>
      </c>
      <c r="S20" s="69" t="n">
        <f aca="false">S18+S19</f>
        <v>91200</v>
      </c>
      <c r="T20" s="69" t="n">
        <f aca="false">T18+T19</f>
        <v>91200</v>
      </c>
      <c r="U20" s="69" t="n">
        <f aca="false">U18+U19</f>
        <v>91200</v>
      </c>
      <c r="V20" s="69" t="n">
        <f aca="false">V18+V19</f>
        <v>91200</v>
      </c>
      <c r="W20" s="69" t="n">
        <f aca="false">W18+W19</f>
        <v>91200</v>
      </c>
      <c r="X20" s="69" t="n">
        <f aca="false">X18+X19</f>
        <v>91200</v>
      </c>
      <c r="Y20" s="69" t="n">
        <f aca="false">Y18+Y19</f>
        <v>91200</v>
      </c>
      <c r="Z20" s="69" t="n">
        <f aca="false">Z18+Z19</f>
        <v>91200</v>
      </c>
      <c r="AA20" s="69" t="n">
        <f aca="false">AA18+AA19</f>
        <v>91200</v>
      </c>
      <c r="AB20" s="69" t="n">
        <f aca="false">AB18+AB19</f>
        <v>91200</v>
      </c>
    </row>
    <row r="21" customFormat="false" ht="15" hidden="false" customHeight="true" outlineLevel="0" collapsed="false">
      <c r="A21" s="28" t="s">
        <v>1089</v>
      </c>
      <c r="B21" s="55"/>
      <c r="E21" s="57" t="n">
        <f aca="false">Inputs_Actuals!$C$128</f>
        <v>32000</v>
      </c>
      <c r="F21" s="69" t="n">
        <f aca="false">E23</f>
        <v>33666.6666666667</v>
      </c>
      <c r="G21" s="69" t="n">
        <f aca="false">F23</f>
        <v>35333.3333333333</v>
      </c>
      <c r="H21" s="69" t="n">
        <f aca="false">G23</f>
        <v>37000</v>
      </c>
      <c r="I21" s="69" t="n">
        <f aca="false">H23</f>
        <v>38666.6666666667</v>
      </c>
      <c r="J21" s="69" t="n">
        <f aca="false">I23</f>
        <v>40366.6666666667</v>
      </c>
      <c r="K21" s="69" t="n">
        <f aca="false">J23</f>
        <v>42066.6666666667</v>
      </c>
      <c r="L21" s="69" t="n">
        <f aca="false">K23</f>
        <v>43766.6666666667</v>
      </c>
      <c r="M21" s="69" t="n">
        <f aca="false">L23</f>
        <v>45466.6666666667</v>
      </c>
      <c r="N21" s="69" t="n">
        <f aca="false">M23</f>
        <v>47166.6666666667</v>
      </c>
      <c r="O21" s="69" t="n">
        <f aca="false">N23</f>
        <v>48866.6666666667</v>
      </c>
      <c r="P21" s="69" t="n">
        <f aca="false">O23</f>
        <v>50566.6666666667</v>
      </c>
      <c r="Q21" s="69" t="n">
        <f aca="false">P23</f>
        <v>52266.6666666667</v>
      </c>
      <c r="R21" s="69" t="n">
        <f aca="false">Q23</f>
        <v>53966.6666666667</v>
      </c>
      <c r="S21" s="69" t="n">
        <f aca="false">R23</f>
        <v>56500</v>
      </c>
      <c r="T21" s="69" t="n">
        <f aca="false">S23</f>
        <v>59033.3333333333</v>
      </c>
      <c r="U21" s="69" t="n">
        <f aca="false">T23</f>
        <v>61566.6666666667</v>
      </c>
      <c r="V21" s="69" t="n">
        <f aca="false">U23</f>
        <v>64100</v>
      </c>
      <c r="W21" s="69" t="n">
        <f aca="false">V23</f>
        <v>66633.3333333333</v>
      </c>
      <c r="X21" s="69" t="n">
        <f aca="false">W23</f>
        <v>69166.6666666667</v>
      </c>
      <c r="Y21" s="69" t="n">
        <f aca="false">X23</f>
        <v>71700</v>
      </c>
      <c r="Z21" s="69" t="n">
        <f aca="false">Y23</f>
        <v>74233.3333333333</v>
      </c>
      <c r="AA21" s="69" t="n">
        <f aca="false">Z23</f>
        <v>76766.6666666666</v>
      </c>
      <c r="AB21" s="69" t="n">
        <f aca="false">AA23</f>
        <v>79300</v>
      </c>
    </row>
    <row r="22" customFormat="false" ht="15" hidden="false" customHeight="true" outlineLevel="0" collapsed="false">
      <c r="A22" s="28" t="s">
        <v>1090</v>
      </c>
      <c r="B22" s="55" t="s">
        <v>1091</v>
      </c>
      <c r="C22" s="56" t="n">
        <f aca="false">SUM(E22:P22)</f>
        <v>20266.6666666667</v>
      </c>
      <c r="D22" s="56" t="n">
        <f aca="false">SUM(Q22:AB22)</f>
        <v>29566.6666666667</v>
      </c>
      <c r="E22" s="57" t="n">
        <f aca="false">MIN(E20-E21,E20/(Assumptions!$C$57*12))</f>
        <v>1666.66666666667</v>
      </c>
      <c r="F22" s="57" t="n">
        <f aca="false">MIN(F20-F21,F20/(Assumptions!$C$57*12))</f>
        <v>1666.66666666667</v>
      </c>
      <c r="G22" s="57" t="n">
        <f aca="false">MIN(G20-G21,G20/(Assumptions!$C$57*12))</f>
        <v>1666.66666666667</v>
      </c>
      <c r="H22" s="57" t="n">
        <f aca="false">MIN(H20-H21,H20/(Assumptions!$C$57*12))</f>
        <v>1666.66666666667</v>
      </c>
      <c r="I22" s="57" t="n">
        <f aca="false">MIN(I20-I21,I20/(Assumptions!$C$57*12))</f>
        <v>1700</v>
      </c>
      <c r="J22" s="57" t="n">
        <f aca="false">MIN(J20-J21,J20/(Assumptions!$C$57*12))</f>
        <v>1700</v>
      </c>
      <c r="K22" s="57" t="n">
        <f aca="false">MIN(K20-K21,K20/(Assumptions!$C$57*12))</f>
        <v>1700</v>
      </c>
      <c r="L22" s="57" t="n">
        <f aca="false">MIN(L20-L21,L20/(Assumptions!$C$57*12))</f>
        <v>1700</v>
      </c>
      <c r="M22" s="57" t="n">
        <f aca="false">MIN(M20-M21,M20/(Assumptions!$C$57*12))</f>
        <v>1700</v>
      </c>
      <c r="N22" s="57" t="n">
        <f aca="false">MIN(N20-N21,N20/(Assumptions!$C$57*12))</f>
        <v>1700</v>
      </c>
      <c r="O22" s="57" t="n">
        <f aca="false">MIN(O20-O21,O20/(Assumptions!$C$57*12))</f>
        <v>1700</v>
      </c>
      <c r="P22" s="57" t="n">
        <f aca="false">MIN(P20-P21,P20/(Assumptions!$C$57*12))</f>
        <v>1700</v>
      </c>
      <c r="Q22" s="57" t="n">
        <f aca="false">MIN(Q20-Q21,Q20/(Assumptions!$C$57*12))</f>
        <v>1700</v>
      </c>
      <c r="R22" s="57" t="n">
        <f aca="false">MIN(R20-R21,R20/(Assumptions!$C$57*12))</f>
        <v>2533.33333333333</v>
      </c>
      <c r="S22" s="57" t="n">
        <f aca="false">MIN(S20-S21,S20/(Assumptions!$C$57*12))</f>
        <v>2533.33333333333</v>
      </c>
      <c r="T22" s="57" t="n">
        <f aca="false">MIN(T20-T21,T20/(Assumptions!$C$57*12))</f>
        <v>2533.33333333333</v>
      </c>
      <c r="U22" s="57" t="n">
        <f aca="false">MIN(U20-U21,U20/(Assumptions!$C$57*12))</f>
        <v>2533.33333333333</v>
      </c>
      <c r="V22" s="57" t="n">
        <f aca="false">MIN(V20-V21,V20/(Assumptions!$C$57*12))</f>
        <v>2533.33333333333</v>
      </c>
      <c r="W22" s="57" t="n">
        <f aca="false">MIN(W20-W21,W20/(Assumptions!$C$57*12))</f>
        <v>2533.33333333333</v>
      </c>
      <c r="X22" s="57" t="n">
        <f aca="false">MIN(X20-X21,X20/(Assumptions!$C$57*12))</f>
        <v>2533.33333333333</v>
      </c>
      <c r="Y22" s="57" t="n">
        <f aca="false">MIN(Y20-Y21,Y20/(Assumptions!$C$57*12))</f>
        <v>2533.33333333333</v>
      </c>
      <c r="Z22" s="57" t="n">
        <f aca="false">MIN(Z20-Z21,Z20/(Assumptions!$C$57*12))</f>
        <v>2533.33333333333</v>
      </c>
      <c r="AA22" s="57" t="n">
        <f aca="false">MIN(AA20-AA21,AA20/(Assumptions!$C$57*12))</f>
        <v>2533.33333333333</v>
      </c>
      <c r="AB22" s="57" t="n">
        <f aca="false">MIN(AB20-AB21,AB20/(Assumptions!$C$57*12))</f>
        <v>2533.33333333333</v>
      </c>
    </row>
    <row r="23" customFormat="false" ht="15" hidden="false" customHeight="true" outlineLevel="0" collapsed="false">
      <c r="A23" s="28" t="s">
        <v>1092</v>
      </c>
      <c r="B23" s="55"/>
      <c r="C23" s="56" t="n">
        <f aca="false">P23</f>
        <v>52266.6666666667</v>
      </c>
      <c r="D23" s="56" t="n">
        <f aca="false">AB23</f>
        <v>81833.3333333333</v>
      </c>
      <c r="E23" s="69" t="n">
        <f aca="false">E21+E22</f>
        <v>33666.6666666667</v>
      </c>
      <c r="F23" s="69" t="n">
        <f aca="false">F21+F22</f>
        <v>35333.3333333333</v>
      </c>
      <c r="G23" s="69" t="n">
        <f aca="false">G21+G22</f>
        <v>37000</v>
      </c>
      <c r="H23" s="69" t="n">
        <f aca="false">H21+H22</f>
        <v>38666.6666666667</v>
      </c>
      <c r="I23" s="69" t="n">
        <f aca="false">I21+I22</f>
        <v>40366.6666666667</v>
      </c>
      <c r="J23" s="69" t="n">
        <f aca="false">J21+J22</f>
        <v>42066.6666666667</v>
      </c>
      <c r="K23" s="69" t="n">
        <f aca="false">K21+K22</f>
        <v>43766.6666666667</v>
      </c>
      <c r="L23" s="69" t="n">
        <f aca="false">L21+L22</f>
        <v>45466.6666666667</v>
      </c>
      <c r="M23" s="69" t="n">
        <f aca="false">M21+M22</f>
        <v>47166.6666666667</v>
      </c>
      <c r="N23" s="69" t="n">
        <f aca="false">N21+N22</f>
        <v>48866.6666666667</v>
      </c>
      <c r="O23" s="69" t="n">
        <f aca="false">O21+O22</f>
        <v>50566.6666666667</v>
      </c>
      <c r="P23" s="69" t="n">
        <f aca="false">P21+P22</f>
        <v>52266.6666666667</v>
      </c>
      <c r="Q23" s="69" t="n">
        <f aca="false">Q21+Q22</f>
        <v>53966.6666666667</v>
      </c>
      <c r="R23" s="69" t="n">
        <f aca="false">R21+R22</f>
        <v>56500</v>
      </c>
      <c r="S23" s="69" t="n">
        <f aca="false">S21+S22</f>
        <v>59033.3333333333</v>
      </c>
      <c r="T23" s="69" t="n">
        <f aca="false">T21+T22</f>
        <v>61566.6666666667</v>
      </c>
      <c r="U23" s="69" t="n">
        <f aca="false">U21+U22</f>
        <v>64100</v>
      </c>
      <c r="V23" s="69" t="n">
        <f aca="false">V21+V22</f>
        <v>66633.3333333333</v>
      </c>
      <c r="W23" s="69" t="n">
        <f aca="false">W21+W22</f>
        <v>69166.6666666667</v>
      </c>
      <c r="X23" s="69" t="n">
        <f aca="false">X21+X22</f>
        <v>71700</v>
      </c>
      <c r="Y23" s="69" t="n">
        <f aca="false">Y21+Y22</f>
        <v>74233.3333333333</v>
      </c>
      <c r="Z23" s="69" t="n">
        <f aca="false">Z21+Z22</f>
        <v>76766.6666666666</v>
      </c>
      <c r="AA23" s="69" t="n">
        <f aca="false">AA21+AA22</f>
        <v>79300</v>
      </c>
      <c r="AB23" s="69" t="n">
        <f aca="false">AB21+AB22</f>
        <v>81833.3333333333</v>
      </c>
    </row>
    <row r="24" customFormat="false" ht="15" hidden="false" customHeight="true" outlineLevel="0" collapsed="false">
      <c r="A24" s="70" t="s">
        <v>1093</v>
      </c>
      <c r="B24" s="71"/>
      <c r="C24" s="72" t="n">
        <f aca="false">P24</f>
        <v>8933.33333333334</v>
      </c>
      <c r="D24" s="72" t="n">
        <f aca="false">AB24</f>
        <v>9366.6666666667</v>
      </c>
      <c r="E24" s="72" t="n">
        <f aca="false">E20-E23</f>
        <v>26333.3333333333</v>
      </c>
      <c r="F24" s="72" t="n">
        <f aca="false">F20-F23</f>
        <v>24666.6666666667</v>
      </c>
      <c r="G24" s="72" t="n">
        <f aca="false">G20-G23</f>
        <v>23000</v>
      </c>
      <c r="H24" s="72" t="n">
        <f aca="false">H20-H23</f>
        <v>21333.3333333333</v>
      </c>
      <c r="I24" s="72" t="n">
        <f aca="false">I20-I23</f>
        <v>20833.3333333333</v>
      </c>
      <c r="J24" s="72" t="n">
        <f aca="false">J20-J23</f>
        <v>19133.3333333333</v>
      </c>
      <c r="K24" s="72" t="n">
        <f aca="false">K20-K23</f>
        <v>17433.3333333333</v>
      </c>
      <c r="L24" s="72" t="n">
        <f aca="false">L20-L23</f>
        <v>15733.3333333333</v>
      </c>
      <c r="M24" s="72" t="n">
        <f aca="false">M20-M23</f>
        <v>14033.3333333333</v>
      </c>
      <c r="N24" s="72" t="n">
        <f aca="false">N20-N23</f>
        <v>12333.3333333333</v>
      </c>
      <c r="O24" s="72" t="n">
        <f aca="false">O20-O23</f>
        <v>10633.3333333333</v>
      </c>
      <c r="P24" s="72" t="n">
        <f aca="false">P20-P23</f>
        <v>8933.33333333334</v>
      </c>
      <c r="Q24" s="72" t="n">
        <f aca="false">Q20-Q23</f>
        <v>7233.33333333334</v>
      </c>
      <c r="R24" s="72" t="n">
        <f aca="false">R20-R23</f>
        <v>34700</v>
      </c>
      <c r="S24" s="72" t="n">
        <f aca="false">S20-S23</f>
        <v>32166.6666666667</v>
      </c>
      <c r="T24" s="72" t="n">
        <f aca="false">T20-T23</f>
        <v>29633.3333333333</v>
      </c>
      <c r="U24" s="72" t="n">
        <f aca="false">U20-U23</f>
        <v>27100</v>
      </c>
      <c r="V24" s="72" t="n">
        <f aca="false">V20-V23</f>
        <v>24566.6666666667</v>
      </c>
      <c r="W24" s="72" t="n">
        <f aca="false">W20-W23</f>
        <v>22033.3333333333</v>
      </c>
      <c r="X24" s="72" t="n">
        <f aca="false">X20-X23</f>
        <v>19500</v>
      </c>
      <c r="Y24" s="72" t="n">
        <f aca="false">Y20-Y23</f>
        <v>16966.6666666667</v>
      </c>
      <c r="Z24" s="72" t="n">
        <f aca="false">Z20-Z23</f>
        <v>14433.3333333334</v>
      </c>
      <c r="AA24" s="72" t="n">
        <f aca="false">AA20-AA23</f>
        <v>11900</v>
      </c>
      <c r="AB24" s="72" t="n">
        <f aca="false">AB20-AB23</f>
        <v>9366.6666666667</v>
      </c>
    </row>
    <row r="26" customFormat="false" ht="15" hidden="false" customHeight="true" outlineLevel="0" collapsed="false">
      <c r="A26" s="22" t="s">
        <v>479</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row>
    <row r="27" customFormat="false" ht="15" hidden="false" customHeight="true" outlineLevel="0" collapsed="false">
      <c r="A27" s="28" t="s">
        <v>1095</v>
      </c>
      <c r="B27" s="55"/>
      <c r="C27" s="56" t="n">
        <f aca="false">SUM(E27:P27)</f>
        <v>19900</v>
      </c>
      <c r="D27" s="56" t="n">
        <f aca="false">SUM(Q27:AB27)</f>
        <v>48000</v>
      </c>
      <c r="E27" s="69" t="n">
        <f aca="false">E10+E19</f>
        <v>2400</v>
      </c>
      <c r="F27" s="69" t="n">
        <f aca="false">F10+F19</f>
        <v>0</v>
      </c>
      <c r="G27" s="69" t="n">
        <f aca="false">G10+G19</f>
        <v>6800</v>
      </c>
      <c r="H27" s="69" t="n">
        <f aca="false">H10+H19</f>
        <v>0</v>
      </c>
      <c r="I27" s="69" t="n">
        <f aca="false">I10+I19</f>
        <v>1200</v>
      </c>
      <c r="J27" s="69" t="n">
        <f aca="false">J10+J19</f>
        <v>0</v>
      </c>
      <c r="K27" s="69" t="n">
        <f aca="false">K10+K19</f>
        <v>3500</v>
      </c>
      <c r="L27" s="69" t="n">
        <f aca="false">L10+L19</f>
        <v>0</v>
      </c>
      <c r="M27" s="69" t="n">
        <f aca="false">M10+M19</f>
        <v>1500</v>
      </c>
      <c r="N27" s="69" t="n">
        <f aca="false">N10+N19</f>
        <v>1500</v>
      </c>
      <c r="O27" s="69" t="n">
        <f aca="false">O10+O19</f>
        <v>1500</v>
      </c>
      <c r="P27" s="69" t="n">
        <f aca="false">P10+P19</f>
        <v>1500</v>
      </c>
      <c r="Q27" s="69" t="n">
        <f aca="false">Q10+Q19</f>
        <v>1500</v>
      </c>
      <c r="R27" s="69" t="n">
        <f aca="false">R10+R19</f>
        <v>31500</v>
      </c>
      <c r="S27" s="69" t="n">
        <f aca="false">S10+S19</f>
        <v>1500</v>
      </c>
      <c r="T27" s="69" t="n">
        <f aca="false">T10+T19</f>
        <v>1500</v>
      </c>
      <c r="U27" s="69" t="n">
        <f aca="false">U10+U19</f>
        <v>1500</v>
      </c>
      <c r="V27" s="69" t="n">
        <f aca="false">V10+V19</f>
        <v>1500</v>
      </c>
      <c r="W27" s="69" t="n">
        <f aca="false">W10+W19</f>
        <v>1500</v>
      </c>
      <c r="X27" s="69" t="n">
        <f aca="false">X10+X19</f>
        <v>1500</v>
      </c>
      <c r="Y27" s="69" t="n">
        <f aca="false">Y10+Y19</f>
        <v>1500</v>
      </c>
      <c r="Z27" s="69" t="n">
        <f aca="false">Z10+Z19</f>
        <v>1500</v>
      </c>
      <c r="AA27" s="69" t="n">
        <f aca="false">AA10+AA19</f>
        <v>1500</v>
      </c>
      <c r="AB27" s="69" t="n">
        <f aca="false">AB10+AB19</f>
        <v>1500</v>
      </c>
    </row>
    <row r="28" customFormat="false" ht="15" hidden="false" customHeight="true" outlineLevel="0" collapsed="false">
      <c r="A28" s="28" t="s">
        <v>1096</v>
      </c>
      <c r="B28" s="55"/>
      <c r="C28" s="56" t="n">
        <f aca="false">SUM(E28:P28)</f>
        <v>32080</v>
      </c>
      <c r="D28" s="56" t="n">
        <f aca="false">SUM(Q28:AB28)</f>
        <v>44856.6666666667</v>
      </c>
      <c r="E28" s="69" t="n">
        <f aca="false">E13+E22</f>
        <v>2506.66666666667</v>
      </c>
      <c r="F28" s="69" t="n">
        <f aca="false">F13+F22</f>
        <v>2506.66666666667</v>
      </c>
      <c r="G28" s="69" t="n">
        <f aca="false">G13+G22</f>
        <v>2620</v>
      </c>
      <c r="H28" s="69" t="n">
        <f aca="false">H13+H22</f>
        <v>2620</v>
      </c>
      <c r="I28" s="69" t="n">
        <f aca="false">I13+I22</f>
        <v>2653.33333333333</v>
      </c>
      <c r="J28" s="69" t="n">
        <f aca="false">J13+J22</f>
        <v>2653.33333333333</v>
      </c>
      <c r="K28" s="69" t="n">
        <f aca="false">K13+K22</f>
        <v>2711.66666666667</v>
      </c>
      <c r="L28" s="69" t="n">
        <f aca="false">L13+L22</f>
        <v>2711.66666666667</v>
      </c>
      <c r="M28" s="69" t="n">
        <f aca="false">M13+M22</f>
        <v>2736.66666666667</v>
      </c>
      <c r="N28" s="69" t="n">
        <f aca="false">N13+N22</f>
        <v>2761.66666666667</v>
      </c>
      <c r="O28" s="69" t="n">
        <f aca="false">O13+O22</f>
        <v>2786.66666666667</v>
      </c>
      <c r="P28" s="69" t="n">
        <f aca="false">P13+P22</f>
        <v>2811.66666666667</v>
      </c>
      <c r="Q28" s="69" t="n">
        <f aca="false">Q13+Q22</f>
        <v>2836.66666666667</v>
      </c>
      <c r="R28" s="69" t="n">
        <f aca="false">R13+R22</f>
        <v>3695</v>
      </c>
      <c r="S28" s="69" t="n">
        <f aca="false">S13+S22</f>
        <v>3720</v>
      </c>
      <c r="T28" s="69" t="n">
        <f aca="false">T13+T22</f>
        <v>3745</v>
      </c>
      <c r="U28" s="69" t="n">
        <f aca="false">U13+U22</f>
        <v>3770</v>
      </c>
      <c r="V28" s="69" t="n">
        <f aca="false">V13+V22</f>
        <v>3795</v>
      </c>
      <c r="W28" s="69" t="n">
        <f aca="false">W13+W22</f>
        <v>3820</v>
      </c>
      <c r="X28" s="69" t="n">
        <f aca="false">X13+X22</f>
        <v>3845</v>
      </c>
      <c r="Y28" s="69" t="n">
        <f aca="false">Y13+Y22</f>
        <v>3870</v>
      </c>
      <c r="Z28" s="69" t="n">
        <f aca="false">Z13+Z22</f>
        <v>3895</v>
      </c>
      <c r="AA28" s="69" t="n">
        <f aca="false">AA13+AA22</f>
        <v>3920</v>
      </c>
      <c r="AB28" s="69" t="n">
        <f aca="false">AB13+AB22</f>
        <v>3945</v>
      </c>
    </row>
    <row r="29" customFormat="false" ht="15" hidden="false" customHeight="true" outlineLevel="0" collapsed="false">
      <c r="A29" s="70" t="s">
        <v>1097</v>
      </c>
      <c r="B29" s="71"/>
      <c r="C29" s="72" t="n">
        <f aca="false">P29</f>
        <v>42820</v>
      </c>
      <c r="D29" s="72" t="n">
        <f aca="false">AB29</f>
        <v>45963.3333333334</v>
      </c>
      <c r="E29" s="72" t="n">
        <f aca="false">E15+E24</f>
        <v>54893.3333333333</v>
      </c>
      <c r="F29" s="72" t="n">
        <f aca="false">F15+F24</f>
        <v>52386.6666666667</v>
      </c>
      <c r="G29" s="72" t="n">
        <f aca="false">G15+G24</f>
        <v>56566.6666666667</v>
      </c>
      <c r="H29" s="72" t="n">
        <f aca="false">H15+H24</f>
        <v>53946.6666666667</v>
      </c>
      <c r="I29" s="72" t="n">
        <f aca="false">I15+I24</f>
        <v>52493.3333333333</v>
      </c>
      <c r="J29" s="72" t="n">
        <f aca="false">J15+J24</f>
        <v>49840</v>
      </c>
      <c r="K29" s="72" t="n">
        <f aca="false">K15+K24</f>
        <v>50628.3333333333</v>
      </c>
      <c r="L29" s="72" t="n">
        <f aca="false">L15+L24</f>
        <v>47916.6666666667</v>
      </c>
      <c r="M29" s="72" t="n">
        <f aca="false">M15+M24</f>
        <v>46680</v>
      </c>
      <c r="N29" s="72" t="n">
        <f aca="false">N15+N24</f>
        <v>45418.3333333333</v>
      </c>
      <c r="O29" s="72" t="n">
        <f aca="false">O15+O24</f>
        <v>44131.6666666667</v>
      </c>
      <c r="P29" s="72" t="n">
        <f aca="false">P15+P24</f>
        <v>42820</v>
      </c>
      <c r="Q29" s="72" t="n">
        <f aca="false">Q15+Q24</f>
        <v>41483.3333333333</v>
      </c>
      <c r="R29" s="72" t="n">
        <f aca="false">R15+R24</f>
        <v>69288.3333333333</v>
      </c>
      <c r="S29" s="72" t="n">
        <f aca="false">S15+S24</f>
        <v>67068.3333333333</v>
      </c>
      <c r="T29" s="72" t="n">
        <f aca="false">T15+T24</f>
        <v>64823.3333333333</v>
      </c>
      <c r="U29" s="72" t="n">
        <f aca="false">U15+U24</f>
        <v>62553.3333333333</v>
      </c>
      <c r="V29" s="72" t="n">
        <f aca="false">V15+V24</f>
        <v>60258.3333333334</v>
      </c>
      <c r="W29" s="72" t="n">
        <f aca="false">W15+W24</f>
        <v>57938.3333333334</v>
      </c>
      <c r="X29" s="72" t="n">
        <f aca="false">X15+X24</f>
        <v>55593.3333333334</v>
      </c>
      <c r="Y29" s="72" t="n">
        <f aca="false">Y15+Y24</f>
        <v>53223.3333333334</v>
      </c>
      <c r="Z29" s="72" t="n">
        <f aca="false">Z15+Z24</f>
        <v>50828.3333333334</v>
      </c>
      <c r="AA29" s="72" t="n">
        <f aca="false">AA15+AA24</f>
        <v>48408.3333333334</v>
      </c>
      <c r="AB29" s="72" t="n">
        <f aca="false">AB15+AB24</f>
        <v>45963.3333333334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1098</v>
      </c>
    </row>
    <row r="3" customFormat="false" ht="15" hidden="false" customHeight="true" outlineLevel="0" collapsed="false">
      <c r="A3" s="25" t="s">
        <v>1099</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1100</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1101</v>
      </c>
      <c r="B9" s="55" t="s">
        <v>641</v>
      </c>
      <c r="C9" s="129" t="n">
        <f aca="false">PMT(Assumptions!$C$52/12,Assumptions!$C$53,-Assumptions!$C$51)</f>
        <v>9671.56077509249</v>
      </c>
    </row>
    <row r="10" customFormat="false" ht="15" hidden="false" customHeight="true" outlineLevel="0" collapsed="false">
      <c r="A10" s="28" t="s">
        <v>1017</v>
      </c>
      <c r="B10" s="55"/>
      <c r="E10" s="57" t="n">
        <f aca="false">Inputs_Actuals!$C$136</f>
        <v>400000</v>
      </c>
      <c r="F10" s="69" t="n">
        <f aca="false">E14</f>
        <v>392828.439224908</v>
      </c>
      <c r="G10" s="69" t="n">
        <f aca="false">F14</f>
        <v>385612.056194971</v>
      </c>
      <c r="H10" s="69" t="n">
        <f aca="false">G14</f>
        <v>378350.570771097</v>
      </c>
      <c r="I10" s="69" t="n">
        <f aca="false">H14</f>
        <v>371043.701063324</v>
      </c>
      <c r="J10" s="69" t="n">
        <f aca="false">I14</f>
        <v>363691.163419877</v>
      </c>
      <c r="K10" s="69" t="n">
        <f aca="false">J14</f>
        <v>356292.672416159</v>
      </c>
      <c r="L10" s="69" t="n">
        <f aca="false">K14</f>
        <v>348847.940843667</v>
      </c>
      <c r="M10" s="69" t="n">
        <f aca="false">L14</f>
        <v>341356.679698848</v>
      </c>
      <c r="N10" s="69" t="n">
        <f aca="false">M14</f>
        <v>333818.598171873</v>
      </c>
      <c r="O10" s="69" t="n">
        <f aca="false">N14</f>
        <v>326233.403635355</v>
      </c>
      <c r="P10" s="69" t="n">
        <f aca="false">O14</f>
        <v>318600.801632983</v>
      </c>
      <c r="Q10" s="69" t="n">
        <f aca="false">P14</f>
        <v>310920.495868097</v>
      </c>
      <c r="R10" s="69" t="n">
        <f aca="false">Q14</f>
        <v>303192.18819218</v>
      </c>
      <c r="S10" s="69" t="n">
        <f aca="false">R14</f>
        <v>295415.578593288</v>
      </c>
      <c r="T10" s="69" t="n">
        <f aca="false">S14</f>
        <v>287590.365184404</v>
      </c>
      <c r="U10" s="69" t="n">
        <f aca="false">T14</f>
        <v>279716.244191714</v>
      </c>
      <c r="V10" s="69" t="n">
        <f aca="false">U14</f>
        <v>271792.90994282</v>
      </c>
      <c r="W10" s="69" t="n">
        <f aca="false">V14</f>
        <v>263820.05485487</v>
      </c>
      <c r="X10" s="69" t="n">
        <f aca="false">W14</f>
        <v>255797.36942262</v>
      </c>
      <c r="Y10" s="69" t="n">
        <f aca="false">X14</f>
        <v>247724.542206419</v>
      </c>
      <c r="Z10" s="69" t="n">
        <f aca="false">Y14</f>
        <v>239601.259820117</v>
      </c>
      <c r="AA10" s="69" t="n">
        <f aca="false">Z14</f>
        <v>231427.2069189</v>
      </c>
      <c r="AB10" s="69" t="n">
        <f aca="false">AA14</f>
        <v>223202.066187051</v>
      </c>
    </row>
    <row r="11" customFormat="false" ht="15" hidden="false" customHeight="true" outlineLevel="0" collapsed="false">
      <c r="A11" s="28" t="s">
        <v>1102</v>
      </c>
      <c r="B11" s="55" t="s">
        <v>1103</v>
      </c>
      <c r="C11" s="56" t="n">
        <f aca="false">SUM(E11:P11)</f>
        <v>0</v>
      </c>
      <c r="D11" s="56" t="n">
        <f aca="false">SUM(Q11:AB11)</f>
        <v>0</v>
      </c>
      <c r="E11" s="69" t="n">
        <v>0</v>
      </c>
      <c r="F11" s="69" t="n">
        <v>0</v>
      </c>
      <c r="G11" s="69" t="n">
        <v>0</v>
      </c>
      <c r="H11" s="69" t="n">
        <v>0</v>
      </c>
      <c r="I11" s="69" t="n">
        <v>0</v>
      </c>
      <c r="J11" s="69" t="n">
        <v>0</v>
      </c>
      <c r="K11" s="69" t="n">
        <v>0</v>
      </c>
      <c r="L11" s="69" t="n">
        <v>0</v>
      </c>
      <c r="M11" s="69" t="n">
        <v>0</v>
      </c>
      <c r="N11" s="69" t="n">
        <v>0</v>
      </c>
      <c r="O11" s="69" t="n">
        <v>0</v>
      </c>
      <c r="P11" s="69" t="n">
        <v>0</v>
      </c>
      <c r="Q11" s="69" t="n">
        <v>0</v>
      </c>
      <c r="R11" s="69" t="n">
        <v>0</v>
      </c>
      <c r="S11" s="69" t="n">
        <v>0</v>
      </c>
      <c r="T11" s="69" t="n">
        <v>0</v>
      </c>
      <c r="U11" s="69" t="n">
        <v>0</v>
      </c>
      <c r="V11" s="69" t="n">
        <v>0</v>
      </c>
      <c r="W11" s="69" t="n">
        <v>0</v>
      </c>
      <c r="X11" s="69" t="n">
        <v>0</v>
      </c>
      <c r="Y11" s="69" t="n">
        <v>0</v>
      </c>
      <c r="Z11" s="69" t="n">
        <v>0</v>
      </c>
      <c r="AA11" s="69" t="n">
        <v>0</v>
      </c>
      <c r="AB11" s="69" t="n">
        <v>0</v>
      </c>
    </row>
    <row r="12" customFormat="false" ht="15" hidden="false" customHeight="true" outlineLevel="0" collapsed="false">
      <c r="A12" s="28" t="s">
        <v>1104</v>
      </c>
      <c r="B12" s="55" t="s">
        <v>1105</v>
      </c>
      <c r="C12" s="56" t="n">
        <f aca="false">SUM(E12:P12)</f>
        <v>26979.2251692066</v>
      </c>
      <c r="D12" s="56" t="n">
        <f aca="false">SUM(Q12:AB12)</f>
        <v>20063.7517586405</v>
      </c>
      <c r="E12" s="57" t="n">
        <f aca="false">E10*Assumptions!$C$52/12</f>
        <v>2500</v>
      </c>
      <c r="F12" s="57" t="n">
        <f aca="false">F10*Assumptions!$C$52/12</f>
        <v>2455.17774515567</v>
      </c>
      <c r="G12" s="57" t="n">
        <f aca="false">G10*Assumptions!$C$52/12</f>
        <v>2410.07535121857</v>
      </c>
      <c r="H12" s="57" t="n">
        <f aca="false">H10*Assumptions!$C$52/12</f>
        <v>2364.69106731935</v>
      </c>
      <c r="I12" s="57" t="n">
        <f aca="false">I10*Assumptions!$C$52/12</f>
        <v>2319.02313164577</v>
      </c>
      <c r="J12" s="57" t="n">
        <f aca="false">J10*Assumptions!$C$52/12</f>
        <v>2273.06977137423</v>
      </c>
      <c r="K12" s="57" t="n">
        <f aca="false">K10*Assumptions!$C$52/12</f>
        <v>2226.82920260099</v>
      </c>
      <c r="L12" s="57" t="n">
        <f aca="false">L10*Assumptions!$C$52/12</f>
        <v>2180.29963027292</v>
      </c>
      <c r="M12" s="57" t="n">
        <f aca="false">M10*Assumptions!$C$52/12</f>
        <v>2133.4792481178</v>
      </c>
      <c r="N12" s="57" t="n">
        <f aca="false">N10*Assumptions!$C$52/12</f>
        <v>2086.36623857421</v>
      </c>
      <c r="O12" s="57" t="n">
        <f aca="false">O10*Assumptions!$C$52/12</f>
        <v>2038.95877272097</v>
      </c>
      <c r="P12" s="57" t="n">
        <f aca="false">P10*Assumptions!$C$52/12</f>
        <v>1991.25501020614</v>
      </c>
      <c r="Q12" s="57" t="n">
        <f aca="false">Q10*Assumptions!$C$52/12</f>
        <v>1943.2530991756</v>
      </c>
      <c r="R12" s="57" t="n">
        <f aca="false">R10*Assumptions!$C$52/12</f>
        <v>1894.95117620112</v>
      </c>
      <c r="S12" s="57" t="n">
        <f aca="false">S10*Assumptions!$C$52/12</f>
        <v>1846.34736620805</v>
      </c>
      <c r="T12" s="57" t="n">
        <f aca="false">T10*Assumptions!$C$52/12</f>
        <v>1797.43978240253</v>
      </c>
      <c r="U12" s="57" t="n">
        <f aca="false">U10*Assumptions!$C$52/12</f>
        <v>1748.22652619821</v>
      </c>
      <c r="V12" s="57" t="n">
        <f aca="false">V10*Assumptions!$C$52/12</f>
        <v>1698.70568714262</v>
      </c>
      <c r="W12" s="57" t="n">
        <f aca="false">W10*Assumptions!$C$52/12</f>
        <v>1648.87534284294</v>
      </c>
      <c r="X12" s="57" t="n">
        <f aca="false">X10*Assumptions!$C$52/12</f>
        <v>1598.73355889138</v>
      </c>
      <c r="Y12" s="57" t="n">
        <f aca="false">Y10*Assumptions!$C$52/12</f>
        <v>1548.27838879012</v>
      </c>
      <c r="Z12" s="57" t="n">
        <f aca="false">Z10*Assumptions!$C$52/12</f>
        <v>1497.50787387573</v>
      </c>
      <c r="AA12" s="57" t="n">
        <f aca="false">AA10*Assumptions!$C$52/12</f>
        <v>1446.42004324313</v>
      </c>
      <c r="AB12" s="57" t="n">
        <f aca="false">AB10*Assumptions!$C$52/12</f>
        <v>1395.01291366907</v>
      </c>
    </row>
    <row r="13" customFormat="false" ht="15" hidden="false" customHeight="true" outlineLevel="0" collapsed="false">
      <c r="A13" s="28" t="s">
        <v>1106</v>
      </c>
      <c r="B13" s="55" t="s">
        <v>1107</v>
      </c>
      <c r="C13" s="56" t="n">
        <f aca="false">SUM(E13:P13)</f>
        <v>-89079.5041319033</v>
      </c>
      <c r="D13" s="56" t="n">
        <f aca="false">SUM(Q13:AB13)</f>
        <v>-95994.9775424694</v>
      </c>
      <c r="E13" s="57" t="n">
        <f aca="false">-MIN(E10,Debt!$C$9-E12)</f>
        <v>-7171.56077509249</v>
      </c>
      <c r="F13" s="57" t="n">
        <f aca="false">-MIN(F10,Debt!$C$9-F12)</f>
        <v>-7216.38302993682</v>
      </c>
      <c r="G13" s="57" t="n">
        <f aca="false">-MIN(G10,Debt!$C$9-G12)</f>
        <v>-7261.48542387393</v>
      </c>
      <c r="H13" s="57" t="n">
        <f aca="false">-MIN(H10,Debt!$C$9-H12)</f>
        <v>-7306.86970777314</v>
      </c>
      <c r="I13" s="57" t="n">
        <f aca="false">-MIN(I10,Debt!$C$9-I12)</f>
        <v>-7352.53764344672</v>
      </c>
      <c r="J13" s="57" t="n">
        <f aca="false">-MIN(J10,Debt!$C$9-J12)</f>
        <v>-7398.49100371826</v>
      </c>
      <c r="K13" s="57" t="n">
        <f aca="false">-MIN(K10,Debt!$C$9-K12)</f>
        <v>-7444.7315724915</v>
      </c>
      <c r="L13" s="57" t="n">
        <f aca="false">-MIN(L10,Debt!$C$9-L12)</f>
        <v>-7491.26114481957</v>
      </c>
      <c r="M13" s="57" t="n">
        <f aca="false">-MIN(M10,Debt!$C$9-M12)</f>
        <v>-7538.08152697469</v>
      </c>
      <c r="N13" s="57" t="n">
        <f aca="false">-MIN(N10,Debt!$C$9-N12)</f>
        <v>-7585.19453651829</v>
      </c>
      <c r="O13" s="57" t="n">
        <f aca="false">-MIN(O10,Debt!$C$9-O12)</f>
        <v>-7632.60200237153</v>
      </c>
      <c r="P13" s="57" t="n">
        <f aca="false">-MIN(P10,Debt!$C$9-P12)</f>
        <v>-7680.30576488635</v>
      </c>
      <c r="Q13" s="57" t="n">
        <f aca="false">-MIN(Q10,Debt!$C$9-Q12)</f>
        <v>-7728.30767591689</v>
      </c>
      <c r="R13" s="57" t="n">
        <f aca="false">-MIN(R10,Debt!$C$9-R12)</f>
        <v>-7776.60959889137</v>
      </c>
      <c r="S13" s="57" t="n">
        <f aca="false">-MIN(S10,Debt!$C$9-S12)</f>
        <v>-7825.21340888444</v>
      </c>
      <c r="T13" s="57" t="n">
        <f aca="false">-MIN(T10,Debt!$C$9-T12)</f>
        <v>-7874.12099268997</v>
      </c>
      <c r="U13" s="57" t="n">
        <f aca="false">-MIN(U10,Debt!$C$9-U12)</f>
        <v>-7923.33424889428</v>
      </c>
      <c r="V13" s="57" t="n">
        <f aca="false">-MIN(V10,Debt!$C$9-V12)</f>
        <v>-7972.85508794987</v>
      </c>
      <c r="W13" s="57" t="n">
        <f aca="false">-MIN(W10,Debt!$C$9-W12)</f>
        <v>-8022.68543224956</v>
      </c>
      <c r="X13" s="57" t="n">
        <f aca="false">-MIN(X10,Debt!$C$9-X12)</f>
        <v>-8072.82721620112</v>
      </c>
      <c r="Y13" s="57" t="n">
        <f aca="false">-MIN(Y10,Debt!$C$9-Y12)</f>
        <v>-8123.28238630237</v>
      </c>
      <c r="Z13" s="57" t="n">
        <f aca="false">-MIN(Z10,Debt!$C$9-Z12)</f>
        <v>-8174.05290121676</v>
      </c>
      <c r="AA13" s="57" t="n">
        <f aca="false">-MIN(AA10,Debt!$C$9-AA12)</f>
        <v>-8225.14073184937</v>
      </c>
      <c r="AB13" s="57" t="n">
        <f aca="false">-MIN(AB10,Debt!$C$9-AB12)</f>
        <v>-8276.54786142343</v>
      </c>
    </row>
    <row r="14" customFormat="false" ht="15" hidden="false" customHeight="true" outlineLevel="0" collapsed="false">
      <c r="A14" s="70" t="s">
        <v>1022</v>
      </c>
      <c r="B14" s="71"/>
      <c r="C14" s="72" t="n">
        <f aca="false">P14</f>
        <v>310920.495868097</v>
      </c>
      <c r="D14" s="72" t="n">
        <f aca="false">AB14</f>
        <v>214925.518325627</v>
      </c>
      <c r="E14" s="72" t="n">
        <f aca="false">E10+E11+E13</f>
        <v>392828.439224908</v>
      </c>
      <c r="F14" s="72" t="n">
        <f aca="false">F10+F11+F13</f>
        <v>385612.056194971</v>
      </c>
      <c r="G14" s="72" t="n">
        <f aca="false">G10+G11+G13</f>
        <v>378350.570771097</v>
      </c>
      <c r="H14" s="72" t="n">
        <f aca="false">H10+H11+H13</f>
        <v>371043.701063324</v>
      </c>
      <c r="I14" s="72" t="n">
        <f aca="false">I10+I11+I13</f>
        <v>363691.163419877</v>
      </c>
      <c r="J14" s="72" t="n">
        <f aca="false">J10+J11+J13</f>
        <v>356292.672416159</v>
      </c>
      <c r="K14" s="72" t="n">
        <f aca="false">K10+K11+K13</f>
        <v>348847.940843667</v>
      </c>
      <c r="L14" s="72" t="n">
        <f aca="false">L10+L11+L13</f>
        <v>341356.679698848</v>
      </c>
      <c r="M14" s="72" t="n">
        <f aca="false">M10+M11+M13</f>
        <v>333818.598171873</v>
      </c>
      <c r="N14" s="72" t="n">
        <f aca="false">N10+N11+N13</f>
        <v>326233.403635355</v>
      </c>
      <c r="O14" s="72" t="n">
        <f aca="false">O10+O11+O13</f>
        <v>318600.801632983</v>
      </c>
      <c r="P14" s="72" t="n">
        <f aca="false">P10+P11+P13</f>
        <v>310920.495868097</v>
      </c>
      <c r="Q14" s="72" t="n">
        <f aca="false">Q10+Q11+Q13</f>
        <v>303192.18819218</v>
      </c>
      <c r="R14" s="72" t="n">
        <f aca="false">R10+R11+R13</f>
        <v>295415.578593288</v>
      </c>
      <c r="S14" s="72" t="n">
        <f aca="false">S10+S11+S13</f>
        <v>287590.365184404</v>
      </c>
      <c r="T14" s="72" t="n">
        <f aca="false">T10+T11+T13</f>
        <v>279716.244191714</v>
      </c>
      <c r="U14" s="72" t="n">
        <f aca="false">U10+U11+U13</f>
        <v>271792.90994282</v>
      </c>
      <c r="V14" s="72" t="n">
        <f aca="false">V10+V11+V13</f>
        <v>263820.05485487</v>
      </c>
      <c r="W14" s="72" t="n">
        <f aca="false">W10+W11+W13</f>
        <v>255797.36942262</v>
      </c>
      <c r="X14" s="72" t="n">
        <f aca="false">X10+X11+X13</f>
        <v>247724.542206419</v>
      </c>
      <c r="Y14" s="72" t="n">
        <f aca="false">Y10+Y11+Y13</f>
        <v>239601.259820117</v>
      </c>
      <c r="Z14" s="72" t="n">
        <f aca="false">Z10+Z11+Z13</f>
        <v>231427.2069189</v>
      </c>
      <c r="AA14" s="72" t="n">
        <f aca="false">AA10+AA11+AA13</f>
        <v>223202.066187051</v>
      </c>
      <c r="AB14" s="72" t="n">
        <f aca="false">AB10+AB11+AB13</f>
        <v>214925.518325627</v>
      </c>
    </row>
    <row r="15" customFormat="false" ht="15" hidden="false" customHeight="true" outlineLevel="0" collapsed="false">
      <c r="A15" s="28" t="s">
        <v>1108</v>
      </c>
      <c r="B15" s="55" t="s">
        <v>315</v>
      </c>
      <c r="C15" s="56" t="n">
        <f aca="false">P15</f>
        <v>214925.518325626</v>
      </c>
      <c r="D15" s="56" t="n">
        <f aca="false">AB15</f>
        <v>111478.201199408</v>
      </c>
      <c r="E15" s="57" t="n">
        <f aca="false">MAX(0,E14*(1+Assumptions!$C$52/12)^12-Debt!$C$9*((1+Assumptions!$C$52/12)^12-1)/(Assumptions!$C$52/12))</f>
        <v>303192.188192179</v>
      </c>
      <c r="F15" s="57" t="n">
        <f aca="false">MAX(0,F14*(1+Assumptions!$C$52/12)^12-Debt!$C$9*((1+Assumptions!$C$52/12)^12-1)/(Assumptions!$C$52/12))</f>
        <v>295415.578593287</v>
      </c>
      <c r="G15" s="57" t="n">
        <f aca="false">MAX(0,G14*(1+Assumptions!$C$52/12)^12-Debt!$C$9*((1+Assumptions!$C$52/12)^12-1)/(Assumptions!$C$52/12))</f>
        <v>287590.365184403</v>
      </c>
      <c r="H15" s="57" t="n">
        <f aca="false">MAX(0,H14*(1+Assumptions!$C$52/12)^12-Debt!$C$9*((1+Assumptions!$C$52/12)^12-1)/(Assumptions!$C$52/12))</f>
        <v>279716.244191713</v>
      </c>
      <c r="I15" s="57" t="n">
        <f aca="false">MAX(0,I14*(1+Assumptions!$C$52/12)^12-Debt!$C$9*((1+Assumptions!$C$52/12)^12-1)/(Assumptions!$C$52/12))</f>
        <v>271792.909942819</v>
      </c>
      <c r="J15" s="57" t="n">
        <f aca="false">MAX(0,J14*(1+Assumptions!$C$52/12)^12-Debt!$C$9*((1+Assumptions!$C$52/12)^12-1)/(Assumptions!$C$52/12))</f>
        <v>263820.054854869</v>
      </c>
      <c r="K15" s="57" t="n">
        <f aca="false">MAX(0,K14*(1+Assumptions!$C$52/12)^12-Debt!$C$9*((1+Assumptions!$C$52/12)^12-1)/(Assumptions!$C$52/12))</f>
        <v>255797.369422619</v>
      </c>
      <c r="L15" s="57" t="n">
        <f aca="false">MAX(0,L14*(1+Assumptions!$C$52/12)^12-Debt!$C$9*((1+Assumptions!$C$52/12)^12-1)/(Assumptions!$C$52/12))</f>
        <v>247724.542206418</v>
      </c>
      <c r="M15" s="57" t="n">
        <f aca="false">MAX(0,M14*(1+Assumptions!$C$52/12)^12-Debt!$C$9*((1+Assumptions!$C$52/12)^12-1)/(Assumptions!$C$52/12))</f>
        <v>239601.259820116</v>
      </c>
      <c r="N15" s="57" t="n">
        <f aca="false">MAX(0,N14*(1+Assumptions!$C$52/12)^12-Debt!$C$9*((1+Assumptions!$C$52/12)^12-1)/(Assumptions!$C$52/12))</f>
        <v>231427.206918899</v>
      </c>
      <c r="O15" s="57" t="n">
        <f aca="false">MAX(0,O14*(1+Assumptions!$C$52/12)^12-Debt!$C$9*((1+Assumptions!$C$52/12)^12-1)/(Assumptions!$C$52/12))</f>
        <v>223202.066187049</v>
      </c>
      <c r="P15" s="57" t="n">
        <f aca="false">MAX(0,P14*(1+Assumptions!$C$52/12)^12-Debt!$C$9*((1+Assumptions!$C$52/12)^12-1)/(Assumptions!$C$52/12))</f>
        <v>214925.518325626</v>
      </c>
      <c r="Q15" s="57" t="n">
        <f aca="false">MAX(0,Q14*(1+Assumptions!$C$52/12)^12-Debt!$C$9*((1+Assumptions!$C$52/12)^12-1)/(Assumptions!$C$52/12))</f>
        <v>206597.242040069</v>
      </c>
      <c r="R15" s="57" t="n">
        <f aca="false">MAX(0,R14*(1+Assumptions!$C$52/12)^12-Debt!$C$9*((1+Assumptions!$C$52/12)^12-1)/(Assumptions!$C$52/12))</f>
        <v>198216.914027727</v>
      </c>
      <c r="S15" s="57" t="n">
        <f aca="false">MAX(0,S14*(1+Assumptions!$C$52/12)^12-Debt!$C$9*((1+Assumptions!$C$52/12)^12-1)/(Assumptions!$C$52/12))</f>
        <v>189784.208965307</v>
      </c>
      <c r="T15" s="57" t="n">
        <f aca="false">MAX(0,T14*(1+Assumptions!$C$52/12)^12-Debt!$C$9*((1+Assumptions!$C$52/12)^12-1)/(Assumptions!$C$52/12))</f>
        <v>181298.799496248</v>
      </c>
      <c r="U15" s="57" t="n">
        <f aca="false">MAX(0,U14*(1+Assumptions!$C$52/12)^12-Debt!$C$9*((1+Assumptions!$C$52/12)^12-1)/(Assumptions!$C$52/12))</f>
        <v>172760.356218007</v>
      </c>
      <c r="V15" s="57" t="n">
        <f aca="false">MAX(0,V14*(1+Assumptions!$C$52/12)^12-Debt!$C$9*((1+Assumptions!$C$52/12)^12-1)/(Assumptions!$C$52/12))</f>
        <v>164168.547669277</v>
      </c>
      <c r="W15" s="57" t="n">
        <f aca="false">MAX(0,W14*(1+Assumptions!$C$52/12)^12-Debt!$C$9*((1+Assumptions!$C$52/12)^12-1)/(Assumptions!$C$52/12))</f>
        <v>155523.040317118</v>
      </c>
      <c r="X15" s="57" t="n">
        <f aca="false">MAX(0,X14*(1+Assumptions!$C$52/12)^12-Debt!$C$9*((1+Assumptions!$C$52/12)^12-1)/(Assumptions!$C$52/12))</f>
        <v>146823.498544007</v>
      </c>
      <c r="Y15" s="57" t="n">
        <f aca="false">MAX(0,Y14*(1+Assumptions!$C$52/12)^12-Debt!$C$9*((1+Assumptions!$C$52/12)^12-1)/(Assumptions!$C$52/12))</f>
        <v>138069.584634815</v>
      </c>
      <c r="Z15" s="57" t="n">
        <f aca="false">MAX(0,Z14*(1+Assumptions!$C$52/12)^12-Debt!$C$9*((1+Assumptions!$C$52/12)^12-1)/(Assumptions!$C$52/12))</f>
        <v>129260.95876369</v>
      </c>
      <c r="AA15" s="57" t="n">
        <f aca="false">MAX(0,AA14*(1+Assumptions!$C$52/12)^12-Debt!$C$9*((1+Assumptions!$C$52/12)^12-1)/(Assumptions!$C$52/12))</f>
        <v>120397.27898087</v>
      </c>
      <c r="AB15" s="57" t="n">
        <f aca="false">MAX(0,AB14*(1+Assumptions!$C$52/12)^12-Debt!$C$9*((1+Assumptions!$C$52/12)^12-1)/(Assumptions!$C$52/12))</f>
        <v>111478.201199408</v>
      </c>
    </row>
    <row r="16" customFormat="false" ht="15" hidden="false" customHeight="true" outlineLevel="0" collapsed="false">
      <c r="A16" s="28" t="s">
        <v>1109</v>
      </c>
      <c r="B16" s="55" t="s">
        <v>1110</v>
      </c>
      <c r="C16" s="56" t="n">
        <f aca="false">P16</f>
        <v>95994.9775424707</v>
      </c>
      <c r="D16" s="56" t="n">
        <f aca="false">AB16</f>
        <v>103447.317126219</v>
      </c>
      <c r="E16" s="69" t="n">
        <f aca="false">E14-E15</f>
        <v>89636.2510327289</v>
      </c>
      <c r="F16" s="69" t="n">
        <f aca="false">F14-F15</f>
        <v>90196.4776016835</v>
      </c>
      <c r="G16" s="69" t="n">
        <f aca="false">G14-G15</f>
        <v>90760.205586694</v>
      </c>
      <c r="H16" s="69" t="n">
        <f aca="false">H14-H15</f>
        <v>91327.4568716108</v>
      </c>
      <c r="I16" s="69" t="n">
        <f aca="false">I14-I15</f>
        <v>91898.2534770584</v>
      </c>
      <c r="J16" s="69" t="n">
        <f aca="false">J14-J15</f>
        <v>92472.61756129</v>
      </c>
      <c r="K16" s="69" t="n">
        <f aca="false">K14-K15</f>
        <v>93050.5714210481</v>
      </c>
      <c r="L16" s="69" t="n">
        <f aca="false">L14-L15</f>
        <v>93632.1374924296</v>
      </c>
      <c r="M16" s="69" t="n">
        <f aca="false">M14-M15</f>
        <v>94217.3383517573</v>
      </c>
      <c r="N16" s="69" t="n">
        <f aca="false">N14-N15</f>
        <v>94806.1967164558</v>
      </c>
      <c r="O16" s="69" t="n">
        <f aca="false">O14-O15</f>
        <v>95398.7354459337</v>
      </c>
      <c r="P16" s="69" t="n">
        <f aca="false">P14-P15</f>
        <v>95994.9775424707</v>
      </c>
      <c r="Q16" s="69" t="n">
        <f aca="false">Q14-Q15</f>
        <v>96594.9461521112</v>
      </c>
      <c r="R16" s="69" t="n">
        <f aca="false">R14-R15</f>
        <v>97198.6645655619</v>
      </c>
      <c r="S16" s="69" t="n">
        <f aca="false">S14-S15</f>
        <v>97806.1562190966</v>
      </c>
      <c r="T16" s="69" t="n">
        <f aca="false">T14-T15</f>
        <v>98417.444695466</v>
      </c>
      <c r="U16" s="69" t="n">
        <f aca="false">U14-U15</f>
        <v>99032.5537248126</v>
      </c>
      <c r="V16" s="69" t="n">
        <f aca="false">V14-V15</f>
        <v>99651.5071855927</v>
      </c>
      <c r="W16" s="69" t="n">
        <f aca="false">W14-W15</f>
        <v>100274.329105503</v>
      </c>
      <c r="X16" s="69" t="n">
        <f aca="false">X14-X15</f>
        <v>100901.043662412</v>
      </c>
      <c r="Y16" s="69" t="n">
        <f aca="false">Y14-Y15</f>
        <v>101531.675185302</v>
      </c>
      <c r="Z16" s="69" t="n">
        <f aca="false">Z14-Z15</f>
        <v>102166.24815521</v>
      </c>
      <c r="AA16" s="69" t="n">
        <f aca="false">AA14-AA15</f>
        <v>102804.78720618</v>
      </c>
      <c r="AB16" s="69" t="n">
        <f aca="false">AB14-AB15</f>
        <v>103447.317126219</v>
      </c>
    </row>
    <row r="17" customFormat="false" ht="15" hidden="false" customHeight="true" outlineLevel="0" collapsed="false">
      <c r="A17" s="28" t="s">
        <v>1111</v>
      </c>
      <c r="B17" s="55"/>
      <c r="C17" s="56" t="n">
        <f aca="false">P17</f>
        <v>214925.518325626</v>
      </c>
      <c r="D17" s="56" t="n">
        <f aca="false">AB17</f>
        <v>111478.201199408</v>
      </c>
      <c r="E17" s="69" t="n">
        <f aca="false">E14-E16</f>
        <v>303192.188192179</v>
      </c>
      <c r="F17" s="69" t="n">
        <f aca="false">F14-F16</f>
        <v>295415.578593287</v>
      </c>
      <c r="G17" s="69" t="n">
        <f aca="false">G14-G16</f>
        <v>287590.365184403</v>
      </c>
      <c r="H17" s="69" t="n">
        <f aca="false">H14-H16</f>
        <v>279716.244191713</v>
      </c>
      <c r="I17" s="69" t="n">
        <f aca="false">I14-I16</f>
        <v>271792.909942819</v>
      </c>
      <c r="J17" s="69" t="n">
        <f aca="false">J14-J16</f>
        <v>263820.054854869</v>
      </c>
      <c r="K17" s="69" t="n">
        <f aca="false">K14-K16</f>
        <v>255797.369422619</v>
      </c>
      <c r="L17" s="69" t="n">
        <f aca="false">L14-L16</f>
        <v>247724.542206418</v>
      </c>
      <c r="M17" s="69" t="n">
        <f aca="false">M14-M16</f>
        <v>239601.259820116</v>
      </c>
      <c r="N17" s="69" t="n">
        <f aca="false">N14-N16</f>
        <v>231427.206918899</v>
      </c>
      <c r="O17" s="69" t="n">
        <f aca="false">O14-O16</f>
        <v>223202.066187049</v>
      </c>
      <c r="P17" s="69" t="n">
        <f aca="false">P14-P16</f>
        <v>214925.518325626</v>
      </c>
      <c r="Q17" s="69" t="n">
        <f aca="false">Q14-Q16</f>
        <v>206597.242040069</v>
      </c>
      <c r="R17" s="69" t="n">
        <f aca="false">R14-R16</f>
        <v>198216.914027727</v>
      </c>
      <c r="S17" s="69" t="n">
        <f aca="false">S14-S16</f>
        <v>189784.208965307</v>
      </c>
      <c r="T17" s="69" t="n">
        <f aca="false">T14-T16</f>
        <v>181298.799496248</v>
      </c>
      <c r="U17" s="69" t="n">
        <f aca="false">U14-U16</f>
        <v>172760.356218007</v>
      </c>
      <c r="V17" s="69" t="n">
        <f aca="false">V14-V16</f>
        <v>164168.547669277</v>
      </c>
      <c r="W17" s="69" t="n">
        <f aca="false">W14-W16</f>
        <v>155523.040317118</v>
      </c>
      <c r="X17" s="69" t="n">
        <f aca="false">X14-X16</f>
        <v>146823.498544007</v>
      </c>
      <c r="Y17" s="69" t="n">
        <f aca="false">Y14-Y16</f>
        <v>138069.584634815</v>
      </c>
      <c r="Z17" s="69" t="n">
        <f aca="false">Z14-Z16</f>
        <v>129260.95876369</v>
      </c>
      <c r="AA17" s="69" t="n">
        <f aca="false">AA14-AA16</f>
        <v>120397.27898087</v>
      </c>
      <c r="AB17" s="69" t="n">
        <f aca="false">AB14-AB16</f>
        <v>111478.201199408</v>
      </c>
    </row>
    <row r="18" customFormat="false" ht="15" hidden="false" customHeight="true" outlineLevel="0" collapsed="false">
      <c r="A18" s="28" t="s">
        <v>1112</v>
      </c>
      <c r="B18" s="55" t="s">
        <v>315</v>
      </c>
      <c r="C18" s="56" t="n">
        <f aca="false">SUM(E18:P18)</f>
        <v>116058.72930111</v>
      </c>
      <c r="D18" s="56" t="n">
        <f aca="false">SUM(Q18:AB18)</f>
        <v>116058.72930111</v>
      </c>
      <c r="E18" s="69" t="n">
        <f aca="false">E12-E13</f>
        <v>9671.56077509249</v>
      </c>
      <c r="F18" s="69" t="n">
        <f aca="false">F12-F13</f>
        <v>9671.56077509249</v>
      </c>
      <c r="G18" s="69" t="n">
        <f aca="false">G12-G13</f>
        <v>9671.56077509249</v>
      </c>
      <c r="H18" s="69" t="n">
        <f aca="false">H12-H13</f>
        <v>9671.56077509249</v>
      </c>
      <c r="I18" s="69" t="n">
        <f aca="false">I12-I13</f>
        <v>9671.56077509249</v>
      </c>
      <c r="J18" s="69" t="n">
        <f aca="false">J12-J13</f>
        <v>9671.56077509249</v>
      </c>
      <c r="K18" s="69" t="n">
        <f aca="false">K12-K13</f>
        <v>9671.56077509249</v>
      </c>
      <c r="L18" s="69" t="n">
        <f aca="false">L12-L13</f>
        <v>9671.56077509249</v>
      </c>
      <c r="M18" s="69" t="n">
        <f aca="false">M12-M13</f>
        <v>9671.56077509249</v>
      </c>
      <c r="N18" s="69" t="n">
        <f aca="false">N12-N13</f>
        <v>9671.56077509249</v>
      </c>
      <c r="O18" s="69" t="n">
        <f aca="false">O12-O13</f>
        <v>9671.56077509249</v>
      </c>
      <c r="P18" s="69" t="n">
        <f aca="false">P12-P13</f>
        <v>9671.56077509249</v>
      </c>
      <c r="Q18" s="69" t="n">
        <f aca="false">Q12-Q13</f>
        <v>9671.56077509249</v>
      </c>
      <c r="R18" s="69" t="n">
        <f aca="false">R12-R13</f>
        <v>9671.56077509249</v>
      </c>
      <c r="S18" s="69" t="n">
        <f aca="false">S12-S13</f>
        <v>9671.56077509249</v>
      </c>
      <c r="T18" s="69" t="n">
        <f aca="false">T12-T13</f>
        <v>9671.56077509249</v>
      </c>
      <c r="U18" s="69" t="n">
        <f aca="false">U12-U13</f>
        <v>9671.56077509249</v>
      </c>
      <c r="V18" s="69" t="n">
        <f aca="false">V12-V13</f>
        <v>9671.56077509249</v>
      </c>
      <c r="W18" s="69" t="n">
        <f aca="false">W12-W13</f>
        <v>9671.56077509249</v>
      </c>
      <c r="X18" s="69" t="n">
        <f aca="false">X12-X13</f>
        <v>9671.56077509249</v>
      </c>
      <c r="Y18" s="69" t="n">
        <f aca="false">Y12-Y13</f>
        <v>9671.56077509249</v>
      </c>
      <c r="Z18" s="69" t="n">
        <f aca="false">Z12-Z13</f>
        <v>9671.56077509249</v>
      </c>
      <c r="AA18" s="69" t="n">
        <f aca="false">AA12-AA13</f>
        <v>9671.56077509249</v>
      </c>
      <c r="AB18" s="69" t="n">
        <f aca="false">AB12-AB13</f>
        <v>9671.56077509249</v>
      </c>
    </row>
    <row r="19" customFormat="false" ht="15" hidden="false" customHeight="true" outlineLevel="0" collapsed="false">
      <c r="A19" s="25" t="s">
        <v>1113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38"/>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1114</v>
      </c>
    </row>
    <row r="3" customFormat="false" ht="15" hidden="false" customHeight="true" outlineLevel="0" collapsed="false">
      <c r="A3" s="25" t="s">
        <v>1115</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1116</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1117</v>
      </c>
      <c r="B9" s="55" t="s">
        <v>641</v>
      </c>
      <c r="C9" s="129" t="n">
        <f aca="false">INDEX(Inputs_Actuals!$E$77:$AB$77,Assumptions!$C$10)</f>
        <v>41.35</v>
      </c>
    </row>
    <row r="10" customFormat="false" ht="15" hidden="false" customHeight="true" outlineLevel="0" collapsed="false">
      <c r="A10" s="28" t="s">
        <v>1118</v>
      </c>
      <c r="B10" s="55" t="s">
        <v>641</v>
      </c>
      <c r="C10" s="129" t="n">
        <f aca="false">INDEX(Inputs_Actuals!$E$78:$AB$78,Assumptions!$C$10)</f>
        <v>21.57</v>
      </c>
    </row>
    <row r="11" customFormat="false" ht="15" hidden="false" customHeight="true" outlineLevel="0" collapsed="false">
      <c r="A11" s="28" t="s">
        <v>1119</v>
      </c>
      <c r="B11" s="55" t="s">
        <v>641</v>
      </c>
      <c r="C11" s="129" t="n">
        <f aca="false">INDEX(Inputs_Actuals!$E$79:$AB$79,Assumptions!$C$10)</f>
        <v>14.94</v>
      </c>
    </row>
    <row r="12" customFormat="false" ht="15" hidden="false" customHeight="true" outlineLevel="0" collapsed="false">
      <c r="A12" s="28" t="s">
        <v>1120</v>
      </c>
      <c r="B12" s="55" t="s">
        <v>641</v>
      </c>
      <c r="C12" s="129" t="n">
        <f aca="false">INDEX(Inputs_Actuals!$E$80:$AB$80,Assumptions!$C$10)</f>
        <v>13.41</v>
      </c>
    </row>
    <row r="13" customFormat="false" ht="15" hidden="false" customHeight="true" outlineLevel="0" collapsed="false">
      <c r="A13" s="28" t="s">
        <v>1121</v>
      </c>
      <c r="B13" s="55" t="s">
        <v>641</v>
      </c>
      <c r="C13" s="129" t="n">
        <f aca="false">INDEX(Inputs_Actuals!$E$81:$AB$81,Assumptions!$C$10)</f>
        <v>10.82</v>
      </c>
    </row>
    <row r="14" customFormat="false" ht="15" hidden="false" customHeight="true" outlineLevel="0" collapsed="false">
      <c r="A14" s="28" t="s">
        <v>1122</v>
      </c>
      <c r="B14" s="55" t="s">
        <v>1123</v>
      </c>
      <c r="C14" s="61" t="n">
        <f aca="false">AVERAGE(E14:P14)</f>
        <v>40.9585267301708</v>
      </c>
      <c r="D14" s="61" t="n">
        <f aca="false">AVERAGE(Q14:AB14)</f>
        <v>42.4349589249472</v>
      </c>
      <c r="E14" s="65" t="n">
        <f aca="false">IF(E$5="A",Inputs_Actuals!E77,Volume_Price!$C$9*(1+Assumptions!$F$94)^(Assumptions!E$68/12))</f>
        <v>39.9</v>
      </c>
      <c r="F14" s="65" t="n">
        <f aca="false">IF(F$5="A",Inputs_Actuals!F77,Volume_Price!$C$9*(1+Assumptions!$F$94)^(Assumptions!F$68/12))</f>
        <v>40.18</v>
      </c>
      <c r="G14" s="65" t="n">
        <f aca="false">IF(G$5="A",Inputs_Actuals!G77,Volume_Price!$C$9*(1+Assumptions!$F$94)^(Assumptions!G$68/12))</f>
        <v>40.36</v>
      </c>
      <c r="H14" s="65" t="n">
        <f aca="false">IF(H$5="A",Inputs_Actuals!H77,Volume_Price!$C$9*(1+Assumptions!$F$94)^(Assumptions!H$68/12))</f>
        <v>40.66</v>
      </c>
      <c r="I14" s="65" t="n">
        <f aca="false">IF(I$5="A",Inputs_Actuals!I77,Volume_Price!$C$9*(1+Assumptions!$F$94)^(Assumptions!I$68/12))</f>
        <v>41.06</v>
      </c>
      <c r="J14" s="65" t="n">
        <f aca="false">IF(J$5="A",Inputs_Actuals!J77,Volume_Price!$C$9*(1+Assumptions!$F$94)^(Assumptions!J$68/12))</f>
        <v>40.76</v>
      </c>
      <c r="K14" s="65" t="n">
        <f aca="false">IF(K$5="A",Inputs_Actuals!K77,Volume_Price!$C$9*(1+Assumptions!$F$94)^(Assumptions!K$68/12))</f>
        <v>40.81</v>
      </c>
      <c r="L14" s="65" t="n">
        <f aca="false">IF(L$5="A",Inputs_Actuals!L77,Volume_Price!$C$9*(1+Assumptions!$F$94)^(Assumptions!L$68/12))</f>
        <v>41.35</v>
      </c>
      <c r="M14" s="65" t="n">
        <f aca="false">IF(M$5="A",Inputs_Actuals!M77,Volume_Price!$C$9*(1+Assumptions!$F$94)^(Assumptions!M$68/12))</f>
        <v>41.4519802550848</v>
      </c>
      <c r="N14" s="65" t="n">
        <f aca="false">IF(N$5="A",Inputs_Actuals!N77,Volume_Price!$C$9*(1+Assumptions!$F$94)^(Assumptions!N$68/12))</f>
        <v>41.55421202099</v>
      </c>
      <c r="O14" s="65" t="n">
        <f aca="false">IF(O$5="A",Inputs_Actuals!O77,Volume_Price!$C$9*(1+Assumptions!$F$94)^(Assumptions!O$68/12))</f>
        <v>41.6566959180093</v>
      </c>
      <c r="P14" s="65" t="n">
        <f aca="false">IF(P$5="A",Inputs_Actuals!P77,Volume_Price!$C$9*(1+Assumptions!$F$94)^(Assumptions!P$68/12))</f>
        <v>41.7594325679659</v>
      </c>
      <c r="Q14" s="65" t="n">
        <f aca="false">IF(Q$5="A",Inputs_Actuals!Q77,Volume_Price!$C$9*(1+Assumptions!$F$94)^(Assumptions!Q$68/12))</f>
        <v>41.8624225942168</v>
      </c>
      <c r="R14" s="65" t="n">
        <f aca="false">IF(R$5="A",Inputs_Actuals!R77,Volume_Price!$C$9*(1+Assumptions!$F$94)^(Assumptions!R$68/12))</f>
        <v>41.9656666216563</v>
      </c>
      <c r="S14" s="65" t="n">
        <f aca="false">IF(S$5="A",Inputs_Actuals!S77,Volume_Price!$C$9*(1+Assumptions!$F$94)^(Assumptions!S$68/12))</f>
        <v>42.0691652767199</v>
      </c>
      <c r="T14" s="65" t="n">
        <f aca="false">IF(T$5="A",Inputs_Actuals!T77,Volume_Price!$C$9*(1+Assumptions!$F$94)^(Assumptions!T$68/12))</f>
        <v>42.1729191873879</v>
      </c>
      <c r="U14" s="65" t="n">
        <f aca="false">IF(U$5="A",Inputs_Actuals!U77,Volume_Price!$C$9*(1+Assumptions!$F$94)^(Assumptions!U$68/12))</f>
        <v>42.2769289831896</v>
      </c>
      <c r="V14" s="65" t="n">
        <f aca="false">IF(V$5="A",Inputs_Actuals!V77,Volume_Price!$C$9*(1+Assumptions!$F$94)^(Assumptions!V$68/12))</f>
        <v>42.3811952952066</v>
      </c>
      <c r="W14" s="65" t="n">
        <f aca="false">IF(W$5="A",Inputs_Actuals!W77,Volume_Price!$C$9*(1+Assumptions!$F$94)^(Assumptions!W$68/12))</f>
        <v>42.4857187560773</v>
      </c>
      <c r="X14" s="65" t="n">
        <f aca="false">IF(X$5="A",Inputs_Actuals!X77,Volume_Price!$C$9*(1+Assumptions!$F$94)^(Assumptions!X$68/12))</f>
        <v>42.5905</v>
      </c>
      <c r="Y14" s="65" t="n">
        <f aca="false">IF(Y$5="A",Inputs_Actuals!Y77,Volume_Price!$C$9*(1+Assumptions!$F$94)^(Assumptions!Y$68/12))</f>
        <v>42.6955396627373</v>
      </c>
      <c r="Z14" s="65" t="n">
        <f aca="false">IF(Z$5="A",Inputs_Actuals!Z77,Volume_Price!$C$9*(1+Assumptions!$F$94)^(Assumptions!Z$68/12))</f>
        <v>42.8008383816197</v>
      </c>
      <c r="AA14" s="65" t="n">
        <f aca="false">IF(AA$5="A",Inputs_Actuals!AA77,Volume_Price!$C$9*(1+Assumptions!$F$94)^(Assumptions!AA$68/12))</f>
        <v>42.9063967955495</v>
      </c>
      <c r="AB14" s="65" t="n">
        <f aca="false">IF(AB$5="A",Inputs_Actuals!AB77,Volume_Price!$C$9*(1+Assumptions!$F$94)^(Assumptions!AB$68/12))</f>
        <v>43.0122155450049</v>
      </c>
    </row>
    <row r="15" customFormat="false" ht="15" hidden="false" customHeight="true" outlineLevel="0" collapsed="false">
      <c r="A15" s="28" t="s">
        <v>1124</v>
      </c>
      <c r="B15" s="55" t="s">
        <v>1123</v>
      </c>
      <c r="C15" s="61" t="n">
        <f aca="false">AVERAGE(E15:P15)</f>
        <v>21.4327740000754</v>
      </c>
      <c r="D15" s="61" t="n">
        <f aca="false">AVERAGE(Q15:AB15)</f>
        <v>22.1359628539567</v>
      </c>
      <c r="E15" s="65" t="n">
        <f aca="false">IF(E$5="A",Inputs_Actuals!E78,Volume_Price!$C$10*(1+Assumptions!$F$94)^(Assumptions!E$68/12))</f>
        <v>20.88</v>
      </c>
      <c r="F15" s="65" t="n">
        <f aca="false">IF(F$5="A",Inputs_Actuals!F78,Volume_Price!$C$10*(1+Assumptions!$F$94)^(Assumptions!F$68/12))</f>
        <v>21.13</v>
      </c>
      <c r="G15" s="65" t="n">
        <f aca="false">IF(G$5="A",Inputs_Actuals!G78,Volume_Price!$C$10*(1+Assumptions!$F$94)^(Assumptions!G$68/12))</f>
        <v>21.32</v>
      </c>
      <c r="H15" s="65" t="n">
        <f aca="false">IF(H$5="A",Inputs_Actuals!H78,Volume_Price!$C$10*(1+Assumptions!$F$94)^(Assumptions!H$68/12))</f>
        <v>21.19</v>
      </c>
      <c r="I15" s="65" t="n">
        <f aca="false">IF(I$5="A",Inputs_Actuals!I78,Volume_Price!$C$10*(1+Assumptions!$F$94)^(Assumptions!I$68/12))</f>
        <v>21.39</v>
      </c>
      <c r="J15" s="65" t="n">
        <f aca="false">IF(J$5="A",Inputs_Actuals!J78,Volume_Price!$C$10*(1+Assumptions!$F$94)^(Assumptions!J$68/12))</f>
        <v>21.32</v>
      </c>
      <c r="K15" s="65" t="n">
        <f aca="false">IF(K$5="A",Inputs_Actuals!K78,Volume_Price!$C$10*(1+Assumptions!$F$94)^(Assumptions!K$68/12))</f>
        <v>21.58</v>
      </c>
      <c r="L15" s="65" t="n">
        <f aca="false">IF(L$5="A",Inputs_Actuals!L78,Volume_Price!$C$10*(1+Assumptions!$F$94)^(Assumptions!L$68/12))</f>
        <v>21.57</v>
      </c>
      <c r="M15" s="65" t="n">
        <f aca="false">IF(M$5="A",Inputs_Actuals!M78,Volume_Price!$C$10*(1+Assumptions!$F$94)^(Assumptions!M$68/12))</f>
        <v>21.6231974389886</v>
      </c>
      <c r="N15" s="65" t="n">
        <f aca="false">IF(N$5="A",Inputs_Actuals!N78,Volume_Price!$C$10*(1+Assumptions!$F$94)^(Assumptions!N$68/12))</f>
        <v>21.6765260772129</v>
      </c>
      <c r="O15" s="65" t="n">
        <f aca="false">IF(O$5="A",Inputs_Actuals!O78,Volume_Price!$C$10*(1+Assumptions!$F$94)^(Assumptions!O$68/12))</f>
        <v>21.7299862382457</v>
      </c>
      <c r="P15" s="65" t="n">
        <f aca="false">IF(P$5="A",Inputs_Actuals!P78,Volume_Price!$C$10*(1+Assumptions!$F$94)^(Assumptions!P$68/12))</f>
        <v>21.7835782464577</v>
      </c>
      <c r="Q15" s="65" t="n">
        <f aca="false">IF(Q$5="A",Inputs_Actuals!Q78,Volume_Price!$C$10*(1+Assumptions!$F$94)^(Assumptions!Q$68/12))</f>
        <v>21.8373024270195</v>
      </c>
      <c r="R15" s="65" t="n">
        <f aca="false">IF(R$5="A",Inputs_Actuals!R78,Volume_Price!$C$10*(1+Assumptions!$F$94)^(Assumptions!R$68/12))</f>
        <v>21.8911591059039</v>
      </c>
      <c r="S15" s="65" t="n">
        <f aca="false">IF(S$5="A",Inputs_Actuals!S78,Volume_Price!$C$10*(1+Assumptions!$F$94)^(Assumptions!S$68/12))</f>
        <v>21.9451486098875</v>
      </c>
      <c r="T15" s="65" t="n">
        <f aca="false">IF(T$5="A",Inputs_Actuals!T78,Volume_Price!$C$10*(1+Assumptions!$F$94)^(Assumptions!T$68/12))</f>
        <v>21.9992712665528</v>
      </c>
      <c r="U15" s="65" t="n">
        <f aca="false">IF(U$5="A",Inputs_Actuals!U78,Volume_Price!$C$10*(1+Assumptions!$F$94)^(Assumptions!U$68/12))</f>
        <v>22.0535274042902</v>
      </c>
      <c r="V15" s="65" t="n">
        <f aca="false">IF(V$5="A",Inputs_Actuals!V78,Volume_Price!$C$10*(1+Assumptions!$F$94)^(Assumptions!V$68/12))</f>
        <v>22.1079173523001</v>
      </c>
      <c r="W15" s="65" t="n">
        <f aca="false">IF(W$5="A",Inputs_Actuals!W78,Volume_Price!$C$10*(1+Assumptions!$F$94)^(Assumptions!W$68/12))</f>
        <v>22.1624414405946</v>
      </c>
      <c r="X15" s="65" t="n">
        <f aca="false">IF(X$5="A",Inputs_Actuals!X78,Volume_Price!$C$10*(1+Assumptions!$F$94)^(Assumptions!X$68/12))</f>
        <v>22.2171</v>
      </c>
      <c r="Y15" s="65" t="n">
        <f aca="false">IF(Y$5="A",Inputs_Actuals!Y78,Volume_Price!$C$10*(1+Assumptions!$F$94)^(Assumptions!Y$68/12))</f>
        <v>22.2718933621583</v>
      </c>
      <c r="Z15" s="65" t="n">
        <f aca="false">IF(Z$5="A",Inputs_Actuals!Z78,Volume_Price!$C$10*(1+Assumptions!$F$94)^(Assumptions!Z$68/12))</f>
        <v>22.3268218595293</v>
      </c>
      <c r="AA15" s="65" t="n">
        <f aca="false">IF(AA$5="A",Inputs_Actuals!AA78,Volume_Price!$C$10*(1+Assumptions!$F$94)^(Assumptions!AA$68/12))</f>
        <v>22.3818858253931</v>
      </c>
      <c r="AB15" s="65" t="n">
        <f aca="false">IF(AB$5="A",Inputs_Actuals!AB78,Volume_Price!$C$10*(1+Assumptions!$F$94)^(Assumptions!AB$68/12))</f>
        <v>22.4370855938514</v>
      </c>
    </row>
    <row r="16" customFormat="false" ht="15" hidden="false" customHeight="true" outlineLevel="0" collapsed="false">
      <c r="A16" s="28" t="s">
        <v>1125</v>
      </c>
      <c r="B16" s="55" t="s">
        <v>1123</v>
      </c>
      <c r="C16" s="61" t="n">
        <f aca="false">AVERAGE(E16:P16)</f>
        <v>14.8332808790508</v>
      </c>
      <c r="D16" s="61" t="n">
        <f aca="false">AVERAGE(Q16:AB16)</f>
        <v>15.3320020879978</v>
      </c>
      <c r="E16" s="65" t="n">
        <f aca="false">IF(E$5="A",Inputs_Actuals!E79,Volume_Price!$C$11*(1+Assumptions!$F$94)^(Assumptions!E$68/12))</f>
        <v>14.67</v>
      </c>
      <c r="F16" s="65" t="n">
        <f aca="false">IF(F$5="A",Inputs_Actuals!F79,Volume_Price!$C$11*(1+Assumptions!$F$94)^(Assumptions!F$68/12))</f>
        <v>14.61</v>
      </c>
      <c r="G16" s="65" t="n">
        <f aca="false">IF(G$5="A",Inputs_Actuals!G79,Volume_Price!$C$11*(1+Assumptions!$F$94)^(Assumptions!G$68/12))</f>
        <v>14.66</v>
      </c>
      <c r="H16" s="65" t="n">
        <f aca="false">IF(H$5="A",Inputs_Actuals!H79,Volume_Price!$C$11*(1+Assumptions!$F$94)^(Assumptions!H$68/12))</f>
        <v>14.69</v>
      </c>
      <c r="I16" s="65" t="n">
        <f aca="false">IF(I$5="A",Inputs_Actuals!I79,Volume_Price!$C$11*(1+Assumptions!$F$94)^(Assumptions!I$68/12))</f>
        <v>14.72</v>
      </c>
      <c r="J16" s="65" t="n">
        <f aca="false">IF(J$5="A",Inputs_Actuals!J79,Volume_Price!$C$11*(1+Assumptions!$F$94)^(Assumptions!J$68/12))</f>
        <v>14.74</v>
      </c>
      <c r="K16" s="65" t="n">
        <f aca="false">IF(K$5="A",Inputs_Actuals!K79,Volume_Price!$C$11*(1+Assumptions!$F$94)^(Assumptions!K$68/12))</f>
        <v>14.84</v>
      </c>
      <c r="L16" s="65" t="n">
        <f aca="false">IF(L$5="A",Inputs_Actuals!L79,Volume_Price!$C$11*(1+Assumptions!$F$94)^(Assumptions!L$68/12))</f>
        <v>14.94</v>
      </c>
      <c r="M16" s="65" t="n">
        <f aca="false">IF(M$5="A",Inputs_Actuals!M79,Volume_Price!$C$11*(1+Assumptions!$F$94)^(Assumptions!M$68/12))</f>
        <v>14.9768460703982</v>
      </c>
      <c r="N16" s="65" t="n">
        <f aca="false">IF(N$5="A",Inputs_Actuals!N79,Volume_Price!$C$11*(1+Assumptions!$F$94)^(Assumptions!N$68/12))</f>
        <v>15.0137830131461</v>
      </c>
      <c r="O16" s="65" t="n">
        <f aca="false">IF(O$5="A",Inputs_Actuals!O79,Volume_Price!$C$11*(1+Assumptions!$F$94)^(Assumptions!O$68/12))</f>
        <v>15.0508110523593</v>
      </c>
      <c r="P16" s="65" t="n">
        <f aca="false">IF(P$5="A",Inputs_Actuals!P79,Volume_Price!$C$11*(1+Assumptions!$F$94)^(Assumptions!P$68/12))</f>
        <v>15.0879304127064</v>
      </c>
      <c r="Q16" s="65" t="n">
        <f aca="false">IF(Q$5="A",Inputs_Actuals!Q79,Volume_Price!$C$11*(1+Assumptions!$F$94)^(Assumptions!Q$68/12))</f>
        <v>15.1251413194099</v>
      </c>
      <c r="R16" s="65" t="n">
        <f aca="false">IF(R$5="A",Inputs_Actuals!R79,Volume_Price!$C$11*(1+Assumptions!$F$94)^(Assumptions!R$68/12))</f>
        <v>15.1624439982478</v>
      </c>
      <c r="S16" s="65" t="n">
        <f aca="false">IF(S$5="A",Inputs_Actuals!S79,Volume_Price!$C$11*(1+Assumptions!$F$94)^(Assumptions!S$68/12))</f>
        <v>15.1998386755549</v>
      </c>
      <c r="T16" s="65" t="n">
        <f aca="false">IF(T$5="A",Inputs_Actuals!T79,Volume_Price!$C$11*(1+Assumptions!$F$94)^(Assumptions!T$68/12))</f>
        <v>15.2373255782243</v>
      </c>
      <c r="U16" s="65" t="n">
        <f aca="false">IF(U$5="A",Inputs_Actuals!U79,Volume_Price!$C$11*(1+Assumptions!$F$94)^(Assumptions!U$68/12))</f>
        <v>15.2749049337086</v>
      </c>
      <c r="V16" s="65" t="n">
        <f aca="false">IF(V$5="A",Inputs_Actuals!V79,Volume_Price!$C$11*(1+Assumptions!$F$94)^(Assumptions!V$68/12))</f>
        <v>15.3125769700215</v>
      </c>
      <c r="W16" s="65" t="n">
        <f aca="false">IF(W$5="A",Inputs_Actuals!W79,Volume_Price!$C$11*(1+Assumptions!$F$94)^(Assumptions!W$68/12))</f>
        <v>15.3503419157387</v>
      </c>
      <c r="X16" s="65" t="n">
        <f aca="false">IF(X$5="A",Inputs_Actuals!X79,Volume_Price!$C$11*(1+Assumptions!$F$94)^(Assumptions!X$68/12))</f>
        <v>15.3882</v>
      </c>
      <c r="Y16" s="65" t="n">
        <f aca="false">IF(Y$5="A",Inputs_Actuals!Y79,Volume_Price!$C$11*(1+Assumptions!$F$94)^(Assumptions!Y$68/12))</f>
        <v>15.4261514525102</v>
      </c>
      <c r="Z16" s="65" t="n">
        <f aca="false">IF(Z$5="A",Inputs_Actuals!Z79,Volume_Price!$C$11*(1+Assumptions!$F$94)^(Assumptions!Z$68/12))</f>
        <v>15.4641965035405</v>
      </c>
      <c r="AA16" s="65" t="n">
        <f aca="false">IF(AA$5="A",Inputs_Actuals!AA79,Volume_Price!$C$11*(1+Assumptions!$F$94)^(Assumptions!AA$68/12))</f>
        <v>15.5023353839301</v>
      </c>
      <c r="AB16" s="65" t="n">
        <f aca="false">IF(AB$5="A",Inputs_Actuals!AB79,Volume_Price!$C$11*(1+Assumptions!$F$94)^(Assumptions!AB$68/12))</f>
        <v>15.5405683250876</v>
      </c>
    </row>
    <row r="17" customFormat="false" ht="15" hidden="false" customHeight="true" outlineLevel="0" collapsed="false">
      <c r="A17" s="28" t="s">
        <v>1126</v>
      </c>
      <c r="B17" s="55" t="s">
        <v>1123</v>
      </c>
      <c r="C17" s="61" t="n">
        <f aca="false">AVERAGE(E17:P17)</f>
        <v>13.3067952870195</v>
      </c>
      <c r="D17" s="61" t="n">
        <f aca="false">AVERAGE(Q17:AB17)</f>
        <v>13.7618572958535</v>
      </c>
      <c r="E17" s="65" t="n">
        <f aca="false">IF(E$5="A",Inputs_Actuals!E80,Volume_Price!$C$12*(1+Assumptions!$F$94)^(Assumptions!E$68/12))</f>
        <v>12.93</v>
      </c>
      <c r="F17" s="65" t="n">
        <f aca="false">IF(F$5="A",Inputs_Actuals!F80,Volume_Price!$C$12*(1+Assumptions!$F$94)^(Assumptions!F$68/12))</f>
        <v>13.12</v>
      </c>
      <c r="G17" s="65" t="n">
        <f aca="false">IF(G$5="A",Inputs_Actuals!G80,Volume_Price!$C$12*(1+Assumptions!$F$94)^(Assumptions!G$68/12))</f>
        <v>13.14</v>
      </c>
      <c r="H17" s="65" t="n">
        <f aca="false">IF(H$5="A",Inputs_Actuals!H80,Volume_Price!$C$12*(1+Assumptions!$F$94)^(Assumptions!H$68/12))</f>
        <v>13.17</v>
      </c>
      <c r="I17" s="65" t="n">
        <f aca="false">IF(I$5="A",Inputs_Actuals!I80,Volume_Price!$C$12*(1+Assumptions!$F$94)^(Assumptions!I$68/12))</f>
        <v>13.3</v>
      </c>
      <c r="J17" s="65" t="n">
        <f aca="false">IF(J$5="A",Inputs_Actuals!J80,Volume_Price!$C$12*(1+Assumptions!$F$94)^(Assumptions!J$68/12))</f>
        <v>13.26</v>
      </c>
      <c r="K17" s="65" t="n">
        <f aca="false">IF(K$5="A",Inputs_Actuals!K80,Volume_Price!$C$12*(1+Assumptions!$F$94)^(Assumptions!K$68/12))</f>
        <v>13.38</v>
      </c>
      <c r="L17" s="65" t="n">
        <f aca="false">IF(L$5="A",Inputs_Actuals!L80,Volume_Price!$C$12*(1+Assumptions!$F$94)^(Assumptions!L$68/12))</f>
        <v>13.41</v>
      </c>
      <c r="M17" s="65" t="n">
        <f aca="false">IF(M$5="A",Inputs_Actuals!M80,Volume_Price!$C$12*(1+Assumptions!$F$94)^(Assumptions!M$68/12))</f>
        <v>13.4430726776466</v>
      </c>
      <c r="N17" s="65" t="n">
        <f aca="false">IF(N$5="A",Inputs_Actuals!N80,Volume_Price!$C$12*(1+Assumptions!$F$94)^(Assumptions!N$68/12))</f>
        <v>13.4762269214384</v>
      </c>
      <c r="O17" s="65" t="n">
        <f aca="false">IF(O$5="A",Inputs_Actuals!O80,Volume_Price!$C$12*(1+Assumptions!$F$94)^(Assumptions!O$68/12))</f>
        <v>13.5094629325394</v>
      </c>
      <c r="P17" s="65" t="n">
        <f aca="false">IF(P$5="A",Inputs_Actuals!P80,Volume_Price!$C$12*(1+Assumptions!$F$94)^(Assumptions!P$68/12))</f>
        <v>13.54278091261</v>
      </c>
      <c r="Q17" s="65" t="n">
        <f aca="false">IF(Q$5="A",Inputs_Actuals!Q80,Volume_Price!$C$12*(1+Assumptions!$F$94)^(Assumptions!Q$68/12))</f>
        <v>13.5761810638077</v>
      </c>
      <c r="R17" s="65" t="n">
        <f aca="false">IF(R$5="A",Inputs_Actuals!R80,Volume_Price!$C$12*(1+Assumptions!$F$94)^(Assumptions!R$68/12))</f>
        <v>13.6096635887887</v>
      </c>
      <c r="S17" s="65" t="n">
        <f aca="false">IF(S$5="A",Inputs_Actuals!S80,Volume_Price!$C$12*(1+Assumptions!$F$94)^(Assumptions!S$68/12))</f>
        <v>13.6432286907089</v>
      </c>
      <c r="T17" s="65" t="n">
        <f aca="false">IF(T$5="A",Inputs_Actuals!T80,Volume_Price!$C$12*(1+Assumptions!$F$94)^(Assumptions!T$68/12))</f>
        <v>13.6768765732254</v>
      </c>
      <c r="U17" s="65" t="n">
        <f aca="false">IF(U$5="A",Inputs_Actuals!U80,Volume_Price!$C$12*(1+Assumptions!$F$94)^(Assumptions!U$68/12))</f>
        <v>13.7106074404975</v>
      </c>
      <c r="V17" s="65" t="n">
        <f aca="false">IF(V$5="A",Inputs_Actuals!V80,Volume_Price!$C$12*(1+Assumptions!$F$94)^(Assumptions!V$68/12))</f>
        <v>13.7444214971879</v>
      </c>
      <c r="W17" s="65" t="n">
        <f aca="false">IF(W$5="A",Inputs_Actuals!W80,Volume_Price!$C$12*(1+Assumptions!$F$94)^(Assumptions!W$68/12))</f>
        <v>13.7783189484642</v>
      </c>
      <c r="X17" s="65" t="n">
        <f aca="false">IF(X$5="A",Inputs_Actuals!X80,Volume_Price!$C$12*(1+Assumptions!$F$94)^(Assumptions!X$68/12))</f>
        <v>13.8123</v>
      </c>
      <c r="Y17" s="65" t="n">
        <f aca="false">IF(Y$5="A",Inputs_Actuals!Y80,Volume_Price!$C$12*(1+Assumptions!$F$94)^(Assumptions!Y$68/12))</f>
        <v>13.846364857976</v>
      </c>
      <c r="Z17" s="65" t="n">
        <f aca="false">IF(Z$5="A",Inputs_Actuals!Z80,Volume_Price!$C$12*(1+Assumptions!$F$94)^(Assumptions!Z$68/12))</f>
        <v>13.8805137290815</v>
      </c>
      <c r="AA17" s="65" t="n">
        <f aca="false">IF(AA$5="A",Inputs_Actuals!AA80,Volume_Price!$C$12*(1+Assumptions!$F$94)^(Assumptions!AA$68/12))</f>
        <v>13.9147468205156</v>
      </c>
      <c r="AB17" s="65" t="n">
        <f aca="false">IF(AB$5="A",Inputs_Actuals!AB80,Volume_Price!$C$12*(1+Assumptions!$F$94)^(Assumptions!AB$68/12))</f>
        <v>13.9490643399883</v>
      </c>
    </row>
    <row r="18" customFormat="false" ht="15" hidden="false" customHeight="true" outlineLevel="0" collapsed="false">
      <c r="A18" s="28" t="s">
        <v>1127</v>
      </c>
      <c r="B18" s="55" t="s">
        <v>1123</v>
      </c>
      <c r="C18" s="61" t="n">
        <f aca="false">AVERAGE(E18:P18)</f>
        <v>10.7347924438641</v>
      </c>
      <c r="D18" s="61" t="n">
        <f aca="false">AVERAGE(Q18:AB18)</f>
        <v>11.1038997718967</v>
      </c>
      <c r="E18" s="65" t="n">
        <f aca="false">IF(E$5="A",Inputs_Actuals!E81,Volume_Price!$C$13*(1+Assumptions!$F$94)^(Assumptions!E$68/12))</f>
        <v>10.52</v>
      </c>
      <c r="F18" s="65" t="n">
        <f aca="false">IF(F$5="A",Inputs_Actuals!F81,Volume_Price!$C$13*(1+Assumptions!$F$94)^(Assumptions!F$68/12))</f>
        <v>10.59</v>
      </c>
      <c r="G18" s="65" t="n">
        <f aca="false">IF(G$5="A",Inputs_Actuals!G81,Volume_Price!$C$13*(1+Assumptions!$F$94)^(Assumptions!G$68/12))</f>
        <v>10.55</v>
      </c>
      <c r="H18" s="65" t="n">
        <f aca="false">IF(H$5="A",Inputs_Actuals!H81,Volume_Price!$C$13*(1+Assumptions!$F$94)^(Assumptions!H$68/12))</f>
        <v>10.65</v>
      </c>
      <c r="I18" s="65" t="n">
        <f aca="false">IF(I$5="A",Inputs_Actuals!I81,Volume_Price!$C$13*(1+Assumptions!$F$94)^(Assumptions!I$68/12))</f>
        <v>10.66</v>
      </c>
      <c r="J18" s="65" t="n">
        <f aca="false">IF(J$5="A",Inputs_Actuals!J81,Volume_Price!$C$13*(1+Assumptions!$F$94)^(Assumptions!J$68/12))</f>
        <v>10.7</v>
      </c>
      <c r="K18" s="65" t="n">
        <f aca="false">IF(K$5="A",Inputs_Actuals!K81,Volume_Price!$C$13*(1+Assumptions!$F$94)^(Assumptions!K$68/12))</f>
        <v>10.78</v>
      </c>
      <c r="L18" s="65" t="n">
        <f aca="false">IF(L$5="A",Inputs_Actuals!L81,Volume_Price!$C$13*(1+Assumptions!$F$94)^(Assumptions!L$68/12))</f>
        <v>10.82</v>
      </c>
      <c r="M18" s="65" t="n">
        <f aca="false">IF(M$5="A",Inputs_Actuals!M81,Volume_Price!$C$13*(1+Assumptions!$F$94)^(Assumptions!M$68/12))</f>
        <v>10.8466850389363</v>
      </c>
      <c r="N18" s="65" t="n">
        <f aca="false">IF(N$5="A",Inputs_Actuals!N81,Volume_Price!$C$13*(1+Assumptions!$F$94)^(Assumptions!N$68/12))</f>
        <v>10.8734358903776</v>
      </c>
      <c r="O18" s="65" t="n">
        <f aca="false">IF(O$5="A",Inputs_Actuals!O81,Volume_Price!$C$13*(1+Assumptions!$F$94)^(Assumptions!O$68/12))</f>
        <v>10.9002527166351</v>
      </c>
      <c r="P18" s="65" t="n">
        <f aca="false">IF(P$5="A",Inputs_Actuals!P81,Volume_Price!$C$13*(1+Assumptions!$F$94)^(Assumptions!P$68/12))</f>
        <v>10.9271356804206</v>
      </c>
      <c r="Q18" s="65" t="n">
        <f aca="false">IF(Q$5="A",Inputs_Actuals!Q81,Volume_Price!$C$13*(1+Assumptions!$F$94)^(Assumptions!Q$68/12))</f>
        <v>10.9540849448471</v>
      </c>
      <c r="R18" s="65" t="n">
        <f aca="false">IF(R$5="A",Inputs_Actuals!R81,Volume_Price!$C$13*(1+Assumptions!$F$94)^(Assumptions!R$68/12))</f>
        <v>10.9811006734298</v>
      </c>
      <c r="S18" s="65" t="n">
        <f aca="false">IF(S$5="A",Inputs_Actuals!S81,Volume_Price!$C$13*(1+Assumptions!$F$94)^(Assumptions!S$68/12))</f>
        <v>11.0081830300873</v>
      </c>
      <c r="T18" s="65" t="n">
        <f aca="false">IF(T$5="A",Inputs_Actuals!T81,Volume_Price!$C$13*(1+Assumptions!$F$94)^(Assumptions!T$68/12))</f>
        <v>11.0353321791424</v>
      </c>
      <c r="U18" s="65" t="n">
        <f aca="false">IF(U$5="A",Inputs_Actuals!U81,Volume_Price!$C$13*(1+Assumptions!$F$94)^(Assumptions!U$68/12))</f>
        <v>11.0625482853231</v>
      </c>
      <c r="V18" s="65" t="n">
        <f aca="false">IF(V$5="A",Inputs_Actuals!V81,Volume_Price!$C$13*(1+Assumptions!$F$94)^(Assumptions!V$68/12))</f>
        <v>11.0898315137639</v>
      </c>
      <c r="W18" s="65" t="n">
        <f aca="false">IF(W$5="A",Inputs_Actuals!W81,Volume_Price!$C$13*(1+Assumptions!$F$94)^(Assumptions!W$68/12))</f>
        <v>11.1171820300062</v>
      </c>
      <c r="X18" s="65" t="n">
        <f aca="false">IF(X$5="A",Inputs_Actuals!X81,Volume_Price!$C$13*(1+Assumptions!$F$94)^(Assumptions!X$68/12))</f>
        <v>11.1446</v>
      </c>
      <c r="Y18" s="65" t="n">
        <f aca="false">IF(Y$5="A",Inputs_Actuals!Y81,Volume_Price!$C$13*(1+Assumptions!$F$94)^(Assumptions!Y$68/12))</f>
        <v>11.1720855901044</v>
      </c>
      <c r="Z18" s="65" t="n">
        <f aca="false">IF(Z$5="A",Inputs_Actuals!Z81,Volume_Price!$C$13*(1+Assumptions!$F$94)^(Assumptions!Z$68/12))</f>
        <v>11.1996389670889</v>
      </c>
      <c r="AA18" s="65" t="n">
        <f aca="false">IF(AA$5="A",Inputs_Actuals!AA81,Volume_Price!$C$13*(1+Assumptions!$F$94)^(Assumptions!AA$68/12))</f>
        <v>11.2272602981341</v>
      </c>
      <c r="AB18" s="65" t="n">
        <f aca="false">IF(AB$5="A",Inputs_Actuals!AB81,Volume_Price!$C$13*(1+Assumptions!$F$94)^(Assumptions!AB$68/12))</f>
        <v>11.2549497508332</v>
      </c>
    </row>
    <row r="19" customFormat="false" ht="15" hidden="false" customHeight="true" outlineLevel="0" collapsed="false">
      <c r="A19" s="22" t="s">
        <v>1128</v>
      </c>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row>
    <row r="20" customFormat="false" ht="15" hidden="false" customHeight="true" outlineLevel="0" collapsed="false">
      <c r="A20" s="28" t="s">
        <v>1129</v>
      </c>
      <c r="B20" s="55" t="s">
        <v>641</v>
      </c>
      <c r="C20" s="117" t="n">
        <f aca="false">IFERROR(SUMIFS(Inputs_Actuals!$E$10:$AB$10,Assumptions!$E$62:$AB$62,"&gt;"&amp;(Assumptions!$C$10-Assumptions!$C$30),Assumptions!$E$62:$AB$62,"&lt;="&amp;Assumptions!$C$10)/SUMIFS(Inputs_Actuals!$E$15:$AB$15,Assumptions!$E$62:$AB$62,"&gt;"&amp;(Assumptions!$C$10-Assumptions!$C$30),Assumptions!$E$62:$AB$62,"&lt;="&amp;Assumptions!$C$10),0)</f>
        <v>0.220081011415245</v>
      </c>
    </row>
    <row r="21" customFormat="false" ht="15" hidden="false" customHeight="true" outlineLevel="0" collapsed="false">
      <c r="A21" s="28" t="s">
        <v>1130</v>
      </c>
      <c r="B21" s="55" t="s">
        <v>641</v>
      </c>
      <c r="C21" s="117" t="n">
        <f aca="false">IFERROR(SUMIFS(Inputs_Actuals!$E$11:$AB$11,Assumptions!$E$62:$AB$62,"&gt;"&amp;(Assumptions!$C$10-Assumptions!$C$30),Assumptions!$E$62:$AB$62,"&lt;="&amp;Assumptions!$C$10)/SUMIFS(Inputs_Actuals!$E$15:$AB$15,Assumptions!$E$62:$AB$62,"&gt;"&amp;(Assumptions!$C$10-Assumptions!$C$30),Assumptions!$E$62:$AB$62,"&lt;="&amp;Assumptions!$C$10),0)</f>
        <v>0.143733889775377</v>
      </c>
    </row>
    <row r="22" customFormat="false" ht="15" hidden="false" customHeight="true" outlineLevel="0" collapsed="false">
      <c r="A22" s="28" t="s">
        <v>1131</v>
      </c>
      <c r="B22" s="55" t="s">
        <v>641</v>
      </c>
      <c r="C22" s="117" t="n">
        <f aca="false">IFERROR(SUMIFS(Inputs_Actuals!$E$12:$AB$12,Assumptions!$E$62:$AB$62,"&gt;"&amp;(Assumptions!$C$10-Assumptions!$C$30),Assumptions!$E$62:$AB$62,"&lt;="&amp;Assumptions!$C$10)/SUMIFS(Inputs_Actuals!$E$15:$AB$15,Assumptions!$E$62:$AB$62,"&gt;"&amp;(Assumptions!$C$10-Assumptions!$C$30),Assumptions!$E$62:$AB$62,"&lt;="&amp;Assumptions!$C$10),0)</f>
        <v>0.273843132441389</v>
      </c>
    </row>
    <row r="23" customFormat="false" ht="15" hidden="false" customHeight="true" outlineLevel="0" collapsed="false">
      <c r="A23" s="28" t="s">
        <v>1132</v>
      </c>
      <c r="B23" s="55" t="s">
        <v>641</v>
      </c>
      <c r="C23" s="117" t="n">
        <f aca="false">IFERROR(SUMIFS(Inputs_Actuals!$E$13:$AB$13,Assumptions!$E$62:$AB$62,"&gt;"&amp;(Assumptions!$C$10-Assumptions!$C$30),Assumptions!$E$62:$AB$62,"&lt;="&amp;Assumptions!$C$10)/SUMIFS(Inputs_Actuals!$E$15:$AB$15,Assumptions!$E$62:$AB$62,"&gt;"&amp;(Assumptions!$C$10-Assumptions!$C$30),Assumptions!$E$62:$AB$62,"&lt;="&amp;Assumptions!$C$10),0)</f>
        <v>0.196882287958758</v>
      </c>
    </row>
    <row r="24" customFormat="false" ht="15" hidden="false" customHeight="true" outlineLevel="0" collapsed="false">
      <c r="A24" s="28" t="s">
        <v>1133</v>
      </c>
      <c r="B24" s="55" t="s">
        <v>641</v>
      </c>
      <c r="C24" s="117" t="n">
        <f aca="false">IFERROR(SUMIFS(Inputs_Actuals!$E$14:$AB$14,Assumptions!$E$62:$AB$62,"&gt;"&amp;(Assumptions!$C$10-Assumptions!$C$30),Assumptions!$E$62:$AB$62,"&lt;="&amp;Assumptions!$C$10)/SUMIFS(Inputs_Actuals!$E$15:$AB$15,Assumptions!$E$62:$AB$62,"&gt;"&amp;(Assumptions!$C$10-Assumptions!$C$30),Assumptions!$E$62:$AB$62,"&lt;="&amp;Assumptions!$C$10),0)</f>
        <v>0.16545967840923</v>
      </c>
    </row>
    <row r="25" customFormat="false" ht="15" hidden="false" customHeight="true" outlineLevel="0" collapsed="false">
      <c r="A25" s="28" t="s">
        <v>1134</v>
      </c>
      <c r="B25" s="55" t="s">
        <v>1135</v>
      </c>
      <c r="C25" s="56" t="n">
        <f aca="false">SUM(E25:P25)</f>
        <v>8028.89395748234</v>
      </c>
      <c r="D25" s="56" t="n">
        <f aca="false">SUM(Q25:AB25)</f>
        <v>9444.0149540186</v>
      </c>
      <c r="E25" s="57" t="n">
        <f aca="false">IF(E$5="A",Inputs_Actuals!E10,Channel_PL!E10*Volume_Price!$C$20)</f>
        <v>502</v>
      </c>
      <c r="F25" s="57" t="n">
        <f aca="false">IF(F$5="A",Inputs_Actuals!F10,Channel_PL!F10*Volume_Price!$C$20)</f>
        <v>520</v>
      </c>
      <c r="G25" s="57" t="n">
        <f aca="false">IF(G$5="A",Inputs_Actuals!G10,Channel_PL!G10*Volume_Price!$C$20)</f>
        <v>571</v>
      </c>
      <c r="H25" s="57" t="n">
        <f aca="false">IF(H$5="A",Inputs_Actuals!H10,Channel_PL!H10*Volume_Price!$C$20)</f>
        <v>566</v>
      </c>
      <c r="I25" s="57" t="n">
        <f aca="false">IF(I$5="A",Inputs_Actuals!I10,Channel_PL!I10*Volume_Price!$C$20)</f>
        <v>688</v>
      </c>
      <c r="J25" s="57" t="n">
        <f aca="false">IF(J$5="A",Inputs_Actuals!J10,Channel_PL!J10*Volume_Price!$C$20)</f>
        <v>636</v>
      </c>
      <c r="K25" s="57" t="n">
        <f aca="false">IF(K$5="A",Inputs_Actuals!K10,Channel_PL!K10*Volume_Price!$C$20)</f>
        <v>578</v>
      </c>
      <c r="L25" s="57" t="n">
        <f aca="false">IF(L$5="A",Inputs_Actuals!L10,Channel_PL!L10*Volume_Price!$C$20)</f>
        <v>579</v>
      </c>
      <c r="M25" s="57" t="n">
        <f aca="false">IF(M$5="A",Inputs_Actuals!M10,Channel_PL!M10*Volume_Price!$C$20)</f>
        <v>643.671623393889</v>
      </c>
      <c r="N25" s="57" t="n">
        <f aca="false">IF(N$5="A",Inputs_Actuals!N10,Channel_PL!N10*Volume_Price!$C$20)</f>
        <v>740.361529707854</v>
      </c>
      <c r="O25" s="57" t="n">
        <f aca="false">IF(O$5="A",Inputs_Actuals!O10,Channel_PL!O10*Volume_Price!$C$20)</f>
        <v>1061.89007316255</v>
      </c>
      <c r="P25" s="57" t="n">
        <f aca="false">IF(P$5="A",Inputs_Actuals!P10,Channel_PL!P10*Volume_Price!$C$20)</f>
        <v>942.970731218048</v>
      </c>
      <c r="Q25" s="57" t="n">
        <f aca="false">IF(Q$5="A",Inputs_Actuals!Q10,Channel_PL!Q10*Volume_Price!$C$20)</f>
        <v>597.467423032952</v>
      </c>
      <c r="R25" s="57" t="n">
        <f aca="false">IF(R$5="A",Inputs_Actuals!R10,Channel_PL!R10*Volume_Price!$C$20)</f>
        <v>565.070218250959</v>
      </c>
      <c r="S25" s="57" t="n">
        <f aca="false">IF(S$5="A",Inputs_Actuals!S10,Channel_PL!S10*Volume_Price!$C$20)</f>
        <v>646.325950627681</v>
      </c>
      <c r="T25" s="57" t="n">
        <f aca="false">IF(T$5="A",Inputs_Actuals!T10,Channel_PL!T10*Volume_Price!$C$20)</f>
        <v>679.029567173218</v>
      </c>
      <c r="U25" s="57" t="n">
        <f aca="false">IF(U$5="A",Inputs_Actuals!U10,Channel_PL!U10*Volume_Price!$C$20)</f>
        <v>727.492407232583</v>
      </c>
      <c r="V25" s="57" t="n">
        <f aca="false">IF(V$5="A",Inputs_Actuals!V10,Channel_PL!V10*Volume_Price!$C$20)</f>
        <v>717.005764289651</v>
      </c>
      <c r="W25" s="57" t="n">
        <f aca="false">IF(W$5="A",Inputs_Actuals!W10,Channel_PL!W10*Volume_Price!$C$20)</f>
        <v>690.618493612412</v>
      </c>
      <c r="X25" s="57" t="n">
        <f aca="false">IF(X$5="A",Inputs_Actuals!X10,Channel_PL!X10*Volume_Price!$C$20)</f>
        <v>686.55450167069</v>
      </c>
      <c r="Y25" s="57" t="n">
        <f aca="false">IF(Y$5="A",Inputs_Actuals!Y10,Channel_PL!Y10*Volume_Price!$C$20)</f>
        <v>785.279380540544</v>
      </c>
      <c r="Z25" s="57" t="n">
        <f aca="false">IF(Z$5="A",Inputs_Actuals!Z10,Channel_PL!Z10*Volume_Price!$C$20)</f>
        <v>903.241066243582</v>
      </c>
      <c r="AA25" s="57" t="n">
        <f aca="false">IF(AA$5="A",Inputs_Actuals!AA10,Channel_PL!AA10*Volume_Price!$C$20)</f>
        <v>1295.50588925831</v>
      </c>
      <c r="AB25" s="57" t="n">
        <f aca="false">IF(AB$5="A",Inputs_Actuals!AB10,Channel_PL!AB10*Volume_Price!$C$20)</f>
        <v>1150.42429208602</v>
      </c>
    </row>
    <row r="26" customFormat="false" ht="15" hidden="false" customHeight="true" outlineLevel="0" collapsed="false">
      <c r="A26" s="28" t="s">
        <v>1136</v>
      </c>
      <c r="B26" s="55" t="s">
        <v>1135</v>
      </c>
      <c r="C26" s="56" t="n">
        <f aca="false">SUM(E26:P26)</f>
        <v>5189.2709560579</v>
      </c>
      <c r="D26" s="56" t="n">
        <f aca="false">SUM(Q26:AB26)</f>
        <v>6167.84244905509</v>
      </c>
      <c r="E26" s="57" t="n">
        <f aca="false">IF(E$5="A",Inputs_Actuals!E11,Channel_PL!E10*Volume_Price!$C$21)</f>
        <v>346</v>
      </c>
      <c r="F26" s="57" t="n">
        <f aca="false">IF(F$5="A",Inputs_Actuals!F11,Channel_PL!F10*Volume_Price!$C$21)</f>
        <v>316</v>
      </c>
      <c r="G26" s="57" t="n">
        <f aca="false">IF(G$5="A",Inputs_Actuals!G11,Channel_PL!G10*Volume_Price!$C$21)</f>
        <v>369</v>
      </c>
      <c r="H26" s="57" t="n">
        <f aca="false">IF(H$5="A",Inputs_Actuals!H11,Channel_PL!H10*Volume_Price!$C$21)</f>
        <v>379</v>
      </c>
      <c r="I26" s="57" t="n">
        <f aca="false">IF(I$5="A",Inputs_Actuals!I11,Channel_PL!I10*Volume_Price!$C$21)</f>
        <v>395</v>
      </c>
      <c r="J26" s="57" t="n">
        <f aca="false">IF(J$5="A",Inputs_Actuals!J11,Channel_PL!J10*Volume_Price!$C$21)</f>
        <v>414</v>
      </c>
      <c r="K26" s="57" t="n">
        <f aca="false">IF(K$5="A",Inputs_Actuals!K11,Channel_PL!K10*Volume_Price!$C$21)</f>
        <v>369</v>
      </c>
      <c r="L26" s="57" t="n">
        <f aca="false">IF(L$5="A",Inputs_Actuals!L11,Channel_PL!L10*Volume_Price!$C$21)</f>
        <v>388</v>
      </c>
      <c r="M26" s="57" t="n">
        <f aca="false">IF(M$5="A",Inputs_Actuals!M11,Channel_PL!M10*Volume_Price!$C$21)</f>
        <v>420.378957609729</v>
      </c>
      <c r="N26" s="57" t="n">
        <f aca="false">IF(N$5="A",Inputs_Actuals!N11,Channel_PL!N10*Volume_Price!$C$21)</f>
        <v>483.526687834856</v>
      </c>
      <c r="O26" s="57" t="n">
        <f aca="false">IF(O$5="A",Inputs_Actuals!O11,Channel_PL!O10*Volume_Price!$C$21)</f>
        <v>693.515491173089</v>
      </c>
      <c r="P26" s="57" t="n">
        <f aca="false">IF(P$5="A",Inputs_Actuals!P11,Channel_PL!P10*Volume_Price!$C$21)</f>
        <v>615.849819440231</v>
      </c>
      <c r="Q26" s="57" t="n">
        <f aca="false">IF(Q$5="A",Inputs_Actuals!Q11,Channel_PL!Q10*Volume_Price!$C$21)</f>
        <v>390.203208238476</v>
      </c>
      <c r="R26" s="57" t="n">
        <f aca="false">IF(R$5="A",Inputs_Actuals!R11,Channel_PL!R10*Volume_Price!$C$21)</f>
        <v>369.044743765685</v>
      </c>
      <c r="S26" s="57" t="n">
        <f aca="false">IF(S$5="A",Inputs_Actuals!S11,Channel_PL!S10*Volume_Price!$C$21)</f>
        <v>422.112486438938</v>
      </c>
      <c r="T26" s="57" t="n">
        <f aca="false">IF(T$5="A",Inputs_Actuals!T11,Channel_PL!T10*Volume_Price!$C$21)</f>
        <v>443.471067016083</v>
      </c>
      <c r="U26" s="57" t="n">
        <f aca="false">IF(U$5="A",Inputs_Actuals!U11,Channel_PL!U10*Volume_Price!$C$21)</f>
        <v>475.121923518882</v>
      </c>
      <c r="V26" s="57" t="n">
        <f aca="false">IF(V$5="A",Inputs_Actuals!V11,Channel_PL!V10*Volume_Price!$C$21)</f>
        <v>468.27314555671</v>
      </c>
      <c r="W26" s="57" t="n">
        <f aca="false">IF(W$5="A",Inputs_Actuals!W11,Channel_PL!W10*Volume_Price!$C$21)</f>
        <v>451.039741227069</v>
      </c>
      <c r="X26" s="57" t="n">
        <f aca="false">IF(X$5="A",Inputs_Actuals!X11,Channel_PL!X10*Volume_Price!$C$21)</f>
        <v>448.385566902609</v>
      </c>
      <c r="Y26" s="57" t="n">
        <f aca="false">IF(Y$5="A",Inputs_Actuals!Y11,Channel_PL!Y10*Volume_Price!$C$21)</f>
        <v>512.862328283869</v>
      </c>
      <c r="Z26" s="57" t="n">
        <f aca="false">IF(Z$5="A",Inputs_Actuals!Z11,Channel_PL!Z10*Volume_Price!$C$21)</f>
        <v>589.902559158524</v>
      </c>
      <c r="AA26" s="57" t="n">
        <f aca="false">IF(AA$5="A",Inputs_Actuals!AA11,Channel_PL!AA10*Volume_Price!$C$21)</f>
        <v>846.088899231168</v>
      </c>
      <c r="AB26" s="57" t="n">
        <f aca="false">IF(AB$5="A",Inputs_Actuals!AB11,Channel_PL!AB10*Volume_Price!$C$21)</f>
        <v>751.336779717082</v>
      </c>
    </row>
    <row r="27" customFormat="false" ht="15" hidden="false" customHeight="true" outlineLevel="0" collapsed="false">
      <c r="A27" s="28" t="s">
        <v>1137</v>
      </c>
      <c r="B27" s="55" t="s">
        <v>1135</v>
      </c>
      <c r="C27" s="56" t="n">
        <f aca="false">SUM(E27:P27)</f>
        <v>9997.74423822817</v>
      </c>
      <c r="D27" s="56" t="n">
        <f aca="false">SUM(Q27:AB27)</f>
        <v>11751.0303192501</v>
      </c>
      <c r="E27" s="57" t="n">
        <f aca="false">IF(E$5="A",Inputs_Actuals!E12,Channel_PL!E10*Volume_Price!$C$22)</f>
        <v>630</v>
      </c>
      <c r="F27" s="57" t="n">
        <f aca="false">IF(F$5="A",Inputs_Actuals!F12,Channel_PL!F10*Volume_Price!$C$22)</f>
        <v>623</v>
      </c>
      <c r="G27" s="57" t="n">
        <f aca="false">IF(G$5="A",Inputs_Actuals!G12,Channel_PL!G10*Volume_Price!$C$22)</f>
        <v>751</v>
      </c>
      <c r="H27" s="57" t="n">
        <f aca="false">IF(H$5="A",Inputs_Actuals!H12,Channel_PL!H10*Volume_Price!$C$22)</f>
        <v>751</v>
      </c>
      <c r="I27" s="57" t="n">
        <f aca="false">IF(I$5="A",Inputs_Actuals!I12,Channel_PL!I10*Volume_Price!$C$22)</f>
        <v>795</v>
      </c>
      <c r="J27" s="57" t="n">
        <f aca="false">IF(J$5="A",Inputs_Actuals!J12,Channel_PL!J10*Volume_Price!$C$22)</f>
        <v>754</v>
      </c>
      <c r="K27" s="57" t="n">
        <f aca="false">IF(K$5="A",Inputs_Actuals!K12,Channel_PL!K10*Volume_Price!$C$22)</f>
        <v>744</v>
      </c>
      <c r="L27" s="57" t="n">
        <f aca="false">IF(L$5="A",Inputs_Actuals!L12,Channel_PL!L10*Volume_Price!$C$22)</f>
        <v>733</v>
      </c>
      <c r="M27" s="57" t="n">
        <f aca="false">IF(M$5="A",Inputs_Actuals!M12,Channel_PL!M10*Volume_Price!$C$22)</f>
        <v>800.909867145435</v>
      </c>
      <c r="N27" s="57" t="n">
        <f aca="false">IF(N$5="A",Inputs_Actuals!N12,Channel_PL!N10*Volume_Price!$C$22)</f>
        <v>921.219505174691</v>
      </c>
      <c r="O27" s="57" t="n">
        <f aca="false">IF(O$5="A",Inputs_Actuals!O12,Channel_PL!O10*Volume_Price!$C$22)</f>
        <v>1321.29210999758</v>
      </c>
      <c r="P27" s="57" t="n">
        <f aca="false">IF(P$5="A",Inputs_Actuals!P12,Channel_PL!P10*Volume_Price!$C$22)</f>
        <v>1173.32275591047</v>
      </c>
      <c r="Q27" s="57" t="n">
        <f aca="false">IF(Q$5="A",Inputs_Actuals!Q12,Channel_PL!Q10*Volume_Price!$C$22)</f>
        <v>743.418751135815</v>
      </c>
      <c r="R27" s="57" t="n">
        <f aca="false">IF(R$5="A",Inputs_Actuals!R12,Channel_PL!R10*Volume_Price!$C$22)</f>
        <v>703.107449480139</v>
      </c>
      <c r="S27" s="57" t="n">
        <f aca="false">IF(S$5="A",Inputs_Actuals!S12,Channel_PL!S10*Volume_Price!$C$22)</f>
        <v>804.212602258983</v>
      </c>
      <c r="T27" s="57" t="n">
        <f aca="false">IF(T$5="A",Inputs_Actuals!T12,Channel_PL!T10*Volume_Price!$C$22)</f>
        <v>844.905166962325</v>
      </c>
      <c r="U27" s="57" t="n">
        <f aca="false">IF(U$5="A",Inputs_Actuals!U12,Channel_PL!U10*Volume_Price!$C$22)</f>
        <v>905.206670683711</v>
      </c>
      <c r="V27" s="57" t="n">
        <f aca="false">IF(V$5="A",Inputs_Actuals!V12,Channel_PL!V10*Volume_Price!$C$22)</f>
        <v>892.15831574468</v>
      </c>
      <c r="W27" s="57" t="n">
        <f aca="false">IF(W$5="A",Inputs_Actuals!W12,Channel_PL!W10*Volume_Price!$C$22)</f>
        <v>859.325074874117</v>
      </c>
      <c r="X27" s="57" t="n">
        <f aca="false">IF(X$5="A",Inputs_Actuals!X12,Channel_PL!X10*Volume_Price!$C$22)</f>
        <v>854.268317472007</v>
      </c>
      <c r="Y27" s="57" t="n">
        <f aca="false">IF(Y$5="A",Inputs_Actuals!Y12,Channel_PL!Y10*Volume_Price!$C$22)</f>
        <v>977.110037917431</v>
      </c>
      <c r="Z27" s="57" t="n">
        <f aca="false">IF(Z$5="A",Inputs_Actuals!Z12,Channel_PL!Z10*Volume_Price!$C$22)</f>
        <v>1123.88779631312</v>
      </c>
      <c r="AA27" s="57" t="n">
        <f aca="false">IF(AA$5="A",Inputs_Actuals!AA12,Channel_PL!AA10*Volume_Price!$C$22)</f>
        <v>1611.97637419704</v>
      </c>
      <c r="AB27" s="57" t="n">
        <f aca="false">IF(AB$5="A",Inputs_Actuals!AB12,Channel_PL!AB10*Volume_Price!$C$22)</f>
        <v>1431.45376221077</v>
      </c>
    </row>
    <row r="28" customFormat="false" ht="15" hidden="false" customHeight="true" outlineLevel="0" collapsed="false">
      <c r="A28" s="28" t="s">
        <v>1138</v>
      </c>
      <c r="B28" s="55" t="s">
        <v>1135</v>
      </c>
      <c r="C28" s="56" t="n">
        <f aca="false">SUM(E28:P28)</f>
        <v>7124.67089113312</v>
      </c>
      <c r="D28" s="56" t="n">
        <f aca="false">SUM(Q28:AB28)</f>
        <v>8448.52202244609</v>
      </c>
      <c r="E28" s="57" t="n">
        <f aca="false">IF(E$5="A",Inputs_Actuals!E13,Channel_PL!E10*Volume_Price!$C$23)</f>
        <v>449</v>
      </c>
      <c r="F28" s="57" t="n">
        <f aca="false">IF(F$5="A",Inputs_Actuals!F13,Channel_PL!F10*Volume_Price!$C$23)</f>
        <v>448</v>
      </c>
      <c r="G28" s="57" t="n">
        <f aca="false">IF(G$5="A",Inputs_Actuals!G13,Channel_PL!G10*Volume_Price!$C$23)</f>
        <v>526</v>
      </c>
      <c r="H28" s="57" t="n">
        <f aca="false">IF(H$5="A",Inputs_Actuals!H13,Channel_PL!H10*Volume_Price!$C$23)</f>
        <v>483</v>
      </c>
      <c r="I28" s="57" t="n">
        <f aca="false">IF(I$5="A",Inputs_Actuals!I13,Channel_PL!I10*Volume_Price!$C$23)</f>
        <v>583</v>
      </c>
      <c r="J28" s="57" t="n">
        <f aca="false">IF(J$5="A",Inputs_Actuals!J13,Channel_PL!J10*Volume_Price!$C$23)</f>
        <v>548</v>
      </c>
      <c r="K28" s="57" t="n">
        <f aca="false">IF(K$5="A",Inputs_Actuals!K13,Channel_PL!K10*Volume_Price!$C$23)</f>
        <v>521</v>
      </c>
      <c r="L28" s="57" t="n">
        <f aca="false">IF(L$5="A",Inputs_Actuals!L13,Channel_PL!L10*Volume_Price!$C$23)</f>
        <v>535</v>
      </c>
      <c r="M28" s="57" t="n">
        <f aca="false">IF(M$5="A",Inputs_Actuals!M13,Channel_PL!M10*Volume_Price!$C$23)</f>
        <v>575.822244240824</v>
      </c>
      <c r="N28" s="57" t="n">
        <f aca="false">IF(N$5="A",Inputs_Actuals!N13,Channel_PL!N10*Volume_Price!$C$23)</f>
        <v>662.320074540657</v>
      </c>
      <c r="O28" s="57" t="n">
        <f aca="false">IF(O$5="A",Inputs_Actuals!O13,Channel_PL!O10*Volume_Price!$C$23)</f>
        <v>949.956317541959</v>
      </c>
      <c r="P28" s="57" t="n">
        <f aca="false">IF(P$5="A",Inputs_Actuals!P13,Channel_PL!P10*Volume_Price!$C$23)</f>
        <v>843.572254809676</v>
      </c>
      <c r="Q28" s="57" t="n">
        <f aca="false">IF(Q$5="A",Inputs_Actuals!Q13,Channel_PL!Q10*Volume_Price!$C$23)</f>
        <v>534.488425289936</v>
      </c>
      <c r="R28" s="57" t="n">
        <f aca="false">IF(R$5="A",Inputs_Actuals!R13,Channel_PL!R10*Volume_Price!$C$23)</f>
        <v>505.50620751508</v>
      </c>
      <c r="S28" s="57" t="n">
        <f aca="false">IF(S$5="A",Inputs_Actuals!S13,Channel_PL!S10*Volume_Price!$C$23)</f>
        <v>578.196779033352</v>
      </c>
      <c r="T28" s="57" t="n">
        <f aca="false">IF(T$5="A",Inputs_Actuals!T13,Channel_PL!T10*Volume_Price!$C$23)</f>
        <v>607.453109729973</v>
      </c>
      <c r="U28" s="57" t="n">
        <f aca="false">IF(U$5="A",Inputs_Actuals!U13,Channel_PL!U10*Volume_Price!$C$23)</f>
        <v>650.807485332439</v>
      </c>
      <c r="V28" s="57" t="n">
        <f aca="false">IF(V$5="A",Inputs_Actuals!V13,Channel_PL!V10*Volume_Price!$C$23)</f>
        <v>641.426238661796</v>
      </c>
      <c r="W28" s="57" t="n">
        <f aca="false">IF(W$5="A",Inputs_Actuals!W13,Channel_PL!W10*Volume_Price!$C$23)</f>
        <v>617.820448273458</v>
      </c>
      <c r="X28" s="57" t="n">
        <f aca="false">IF(X$5="A",Inputs_Actuals!X13,Channel_PL!X10*Volume_Price!$C$23)</f>
        <v>614.184841427656</v>
      </c>
      <c r="Y28" s="57" t="n">
        <f aca="false">IF(Y$5="A",Inputs_Actuals!Y13,Channel_PL!Y10*Volume_Price!$C$23)</f>
        <v>702.503137973805</v>
      </c>
      <c r="Z28" s="57" t="n">
        <f aca="false">IF(Z$5="A",Inputs_Actuals!Z13,Channel_PL!Z10*Volume_Price!$C$23)</f>
        <v>808.030490939601</v>
      </c>
      <c r="AA28" s="57" t="n">
        <f aca="false">IF(AA$5="A",Inputs_Actuals!AA13,Channel_PL!AA10*Volume_Price!$C$23)</f>
        <v>1158.94670740119</v>
      </c>
      <c r="AB28" s="57" t="n">
        <f aca="false">IF(AB$5="A",Inputs_Actuals!AB13,Channel_PL!AB10*Volume_Price!$C$23)</f>
        <v>1029.1581508678</v>
      </c>
    </row>
    <row r="29" customFormat="false" ht="15" hidden="false" customHeight="true" outlineLevel="0" collapsed="false">
      <c r="A29" s="28" t="s">
        <v>1139</v>
      </c>
      <c r="B29" s="55" t="s">
        <v>1135</v>
      </c>
      <c r="C29" s="56" t="n">
        <f aca="false">SUM(E29:P29)</f>
        <v>5978.81319279766</v>
      </c>
      <c r="D29" s="56" t="n">
        <f aca="false">SUM(Q29:AB29)</f>
        <v>7100.12948021031</v>
      </c>
      <c r="E29" s="57" t="n">
        <f aca="false">IF(E$5="A",Inputs_Actuals!E14,Channel_PL!E10*Volume_Price!$C$24)</f>
        <v>369</v>
      </c>
      <c r="F29" s="57" t="n">
        <f aca="false">IF(F$5="A",Inputs_Actuals!F14,Channel_PL!F10*Volume_Price!$C$24)</f>
        <v>363</v>
      </c>
      <c r="G29" s="57" t="n">
        <f aca="false">IF(G$5="A",Inputs_Actuals!G14,Channel_PL!G10*Volume_Price!$C$24)</f>
        <v>432</v>
      </c>
      <c r="H29" s="57" t="n">
        <f aca="false">IF(H$5="A",Inputs_Actuals!H14,Channel_PL!H10*Volume_Price!$C$24)</f>
        <v>451</v>
      </c>
      <c r="I29" s="57" t="n">
        <f aca="false">IF(I$5="A",Inputs_Actuals!I14,Channel_PL!I10*Volume_Price!$C$24)</f>
        <v>468</v>
      </c>
      <c r="J29" s="57" t="n">
        <f aca="false">IF(J$5="A",Inputs_Actuals!J14,Channel_PL!J10*Volume_Price!$C$24)</f>
        <v>469</v>
      </c>
      <c r="K29" s="57" t="n">
        <f aca="false">IF(K$5="A",Inputs_Actuals!K14,Channel_PL!K10*Volume_Price!$C$24)</f>
        <v>447</v>
      </c>
      <c r="L29" s="57" t="n">
        <f aca="false">IF(L$5="A",Inputs_Actuals!L14,Channel_PL!L10*Volume_Price!$C$24)</f>
        <v>432</v>
      </c>
      <c r="M29" s="57" t="n">
        <f aca="false">IF(M$5="A",Inputs_Actuals!M14,Channel_PL!M10*Volume_Price!$C$24)</f>
        <v>483.92043967371</v>
      </c>
      <c r="N29" s="57" t="n">
        <f aca="false">IF(N$5="A",Inputs_Actuals!N14,Channel_PL!N10*Volume_Price!$C$24)</f>
        <v>556.613129975564</v>
      </c>
      <c r="O29" s="57" t="n">
        <f aca="false">IF(O$5="A",Inputs_Actuals!O14,Channel_PL!O10*Volume_Price!$C$24)</f>
        <v>798.342341674913</v>
      </c>
      <c r="P29" s="57" t="n">
        <f aca="false">IF(P$5="A",Inputs_Actuals!P14,Channel_PL!P10*Volume_Price!$C$24)</f>
        <v>708.937281473469</v>
      </c>
      <c r="Q29" s="57" t="n">
        <f aca="false">IF(Q$5="A",Inputs_Actuals!Q14,Channel_PL!Q10*Volume_Price!$C$24)</f>
        <v>449.183539458126</v>
      </c>
      <c r="R29" s="57" t="n">
        <f aca="false">IF(R$5="A",Inputs_Actuals!R14,Channel_PL!R10*Volume_Price!$C$24)</f>
        <v>424.826912550079</v>
      </c>
      <c r="S29" s="57" t="n">
        <f aca="false">IF(S$5="A",Inputs_Actuals!S14,Channel_PL!S10*Volume_Price!$C$24)</f>
        <v>485.915996344738</v>
      </c>
      <c r="T29" s="57" t="n">
        <f aca="false">IF(T$5="A",Inputs_Actuals!T14,Channel_PL!T10*Volume_Price!$C$24)</f>
        <v>510.502987478805</v>
      </c>
      <c r="U29" s="57" t="n">
        <f aca="false">IF(U$5="A",Inputs_Actuals!U14,Channel_PL!U10*Volume_Price!$C$24)</f>
        <v>546.937961488858</v>
      </c>
      <c r="V29" s="57" t="n">
        <f aca="false">IF(V$5="A",Inputs_Actuals!V14,Channel_PL!V10*Volume_Price!$C$24)</f>
        <v>539.053971144701</v>
      </c>
      <c r="W29" s="57" t="n">
        <f aca="false">IF(W$5="A",Inputs_Actuals!W14,Channel_PL!W10*Volume_Price!$C$24)</f>
        <v>519.215688449265</v>
      </c>
      <c r="X29" s="57" t="n">
        <f aca="false">IF(X$5="A",Inputs_Actuals!X14,Channel_PL!X10*Volume_Price!$C$24)</f>
        <v>516.160328082593</v>
      </c>
      <c r="Y29" s="57" t="n">
        <f aca="false">IF(Y$5="A",Inputs_Actuals!Y14,Channel_PL!Y10*Volume_Price!$C$24)</f>
        <v>590.382936401926</v>
      </c>
      <c r="Z29" s="57" t="n">
        <f aca="false">IF(Z$5="A",Inputs_Actuals!Z14,Channel_PL!Z10*Volume_Price!$C$24)</f>
        <v>679.068018570188</v>
      </c>
      <c r="AA29" s="57" t="n">
        <f aca="false">IF(AA$5="A",Inputs_Actuals!AA14,Channel_PL!AA10*Volume_Price!$C$24)</f>
        <v>973.977656843394</v>
      </c>
      <c r="AB29" s="57" t="n">
        <f aca="false">IF(AB$5="A",Inputs_Actuals!AB14,Channel_PL!AB10*Volume_Price!$C$24)</f>
        <v>864.903483397632</v>
      </c>
    </row>
    <row r="30" customFormat="false" ht="15" hidden="false" customHeight="true" outlineLevel="0" collapsed="false">
      <c r="A30" s="70" t="s">
        <v>1140</v>
      </c>
      <c r="B30" s="71" t="s">
        <v>310</v>
      </c>
      <c r="C30" s="72" t="n">
        <f aca="false">SUM(E30:P30)</f>
        <v>36319.3932356992</v>
      </c>
      <c r="D30" s="72" t="n">
        <f aca="false">SUM(Q30:AB30)</f>
        <v>42911.5392249802</v>
      </c>
      <c r="E30" s="72" t="n">
        <f aca="false">SUM(E25:E29)</f>
        <v>2296</v>
      </c>
      <c r="F30" s="72" t="n">
        <f aca="false">SUM(F25:F29)</f>
        <v>2270</v>
      </c>
      <c r="G30" s="72" t="n">
        <f aca="false">SUM(G25:G29)</f>
        <v>2649</v>
      </c>
      <c r="H30" s="72" t="n">
        <f aca="false">SUM(H25:H29)</f>
        <v>2630</v>
      </c>
      <c r="I30" s="72" t="n">
        <f aca="false">SUM(I25:I29)</f>
        <v>2929</v>
      </c>
      <c r="J30" s="72" t="n">
        <f aca="false">SUM(J25:J29)</f>
        <v>2821</v>
      </c>
      <c r="K30" s="72" t="n">
        <f aca="false">SUM(K25:K29)</f>
        <v>2659</v>
      </c>
      <c r="L30" s="72" t="n">
        <f aca="false">SUM(L25:L29)</f>
        <v>2667</v>
      </c>
      <c r="M30" s="72" t="n">
        <f aca="false">SUM(M25:M29)</f>
        <v>2924.70313206359</v>
      </c>
      <c r="N30" s="72" t="n">
        <f aca="false">SUM(N25:N29)</f>
        <v>3364.04092723362</v>
      </c>
      <c r="O30" s="72" t="n">
        <f aca="false">SUM(O25:O29)</f>
        <v>4824.99633355009</v>
      </c>
      <c r="P30" s="72" t="n">
        <f aca="false">SUM(P25:P29)</f>
        <v>4284.65284285189</v>
      </c>
      <c r="Q30" s="72" t="n">
        <f aca="false">SUM(Q25:Q29)</f>
        <v>2714.7613471553</v>
      </c>
      <c r="R30" s="72" t="n">
        <f aca="false">SUM(R25:R29)</f>
        <v>2567.55553156194</v>
      </c>
      <c r="S30" s="72" t="n">
        <f aca="false">SUM(S25:S29)</f>
        <v>2936.76381470369</v>
      </c>
      <c r="T30" s="72" t="n">
        <f aca="false">SUM(T25:T29)</f>
        <v>3085.3618983604</v>
      </c>
      <c r="U30" s="72" t="n">
        <f aca="false">SUM(U25:U29)</f>
        <v>3305.56644825647</v>
      </c>
      <c r="V30" s="72" t="n">
        <f aca="false">SUM(V25:V29)</f>
        <v>3257.91743539754</v>
      </c>
      <c r="W30" s="72" t="n">
        <f aca="false">SUM(W25:W29)</f>
        <v>3138.01944643632</v>
      </c>
      <c r="X30" s="72" t="n">
        <f aca="false">SUM(X25:X29)</f>
        <v>3119.55355555556</v>
      </c>
      <c r="Y30" s="72" t="n">
        <f aca="false">SUM(Y25:Y29)</f>
        <v>3568.13782111757</v>
      </c>
      <c r="Z30" s="72" t="n">
        <f aca="false">SUM(Z25:Z29)</f>
        <v>4104.12993122502</v>
      </c>
      <c r="AA30" s="72" t="n">
        <f aca="false">SUM(AA25:AA29)</f>
        <v>5886.49552693111</v>
      </c>
      <c r="AB30" s="72" t="n">
        <f aca="false">SUM(AB25:AB29)</f>
        <v>5227.27646827931</v>
      </c>
    </row>
    <row r="31" customFormat="false" ht="15" hidden="false" customHeight="true" outlineLevel="0" collapsed="false">
      <c r="A31" s="28" t="s">
        <v>1141</v>
      </c>
      <c r="B31" s="55" t="s">
        <v>641</v>
      </c>
      <c r="C31" s="129" t="n">
        <f aca="false">INDEX(Inputs_Actuals!$E$32:$AB$32,Assumptions!$C$10)</f>
        <v>120.32</v>
      </c>
    </row>
    <row r="32" customFormat="false" ht="15" hidden="false" customHeight="true" outlineLevel="0" collapsed="false">
      <c r="A32" s="28" t="s">
        <v>1142</v>
      </c>
      <c r="B32" s="55" t="s">
        <v>641</v>
      </c>
      <c r="C32" s="129" t="n">
        <f aca="false">INDEX(Inputs_Actuals!$E$33:$AB$33,Assumptions!$C$10)</f>
        <v>73.1</v>
      </c>
    </row>
    <row r="33" customFormat="false" ht="15" hidden="false" customHeight="true" outlineLevel="0" collapsed="false">
      <c r="A33" s="28" t="s">
        <v>1143</v>
      </c>
      <c r="B33" s="55" t="s">
        <v>641</v>
      </c>
      <c r="C33" s="129" t="n">
        <f aca="false">INDEX(Inputs_Actuals!$E$34:$AB$34,Assumptions!$C$10)</f>
        <v>45.48</v>
      </c>
    </row>
    <row r="34" customFormat="false" ht="15" hidden="false" customHeight="true" outlineLevel="0" collapsed="false">
      <c r="A34" s="28" t="s">
        <v>1144</v>
      </c>
      <c r="B34" s="55" t="s">
        <v>641</v>
      </c>
      <c r="C34" s="129" t="n">
        <f aca="false">INDEX(Inputs_Actuals!$E$35:$AB$35,Assumptions!$C$10)</f>
        <v>37.83</v>
      </c>
    </row>
    <row r="35" customFormat="false" ht="15" hidden="false" customHeight="true" outlineLevel="0" collapsed="false">
      <c r="A35" s="28" t="s">
        <v>1145</v>
      </c>
      <c r="B35" s="55" t="s">
        <v>641</v>
      </c>
      <c r="C35" s="129" t="n">
        <f aca="false">INDEX(Inputs_Actuals!$E$36:$AB$36,Assumptions!$C$10)</f>
        <v>29.29</v>
      </c>
    </row>
    <row r="36" customFormat="false" ht="15" hidden="false" customHeight="true" outlineLevel="0" collapsed="false">
      <c r="A36" s="28" t="s">
        <v>1146</v>
      </c>
      <c r="B36" s="55" t="s">
        <v>1147</v>
      </c>
      <c r="C36" s="61" t="n">
        <f aca="false">AVERAGE(E36:P36)</f>
        <v>119.073728605582</v>
      </c>
      <c r="D36" s="61" t="n">
        <f aca="false">AVERAGE(Q36:AB36)</f>
        <v>123.477007444973</v>
      </c>
      <c r="E36" s="65" t="n">
        <f aca="false">IF(E$5="A",Inputs_Actuals!E32,Volume_Price!$C$31*(1+Assumptions!$F$81)^(Assumptions!E$68/12))</f>
        <v>118.53</v>
      </c>
      <c r="F36" s="65" t="n">
        <f aca="false">IF(F$5="A",Inputs_Actuals!F32,Volume_Price!$C$31*(1+Assumptions!$F$81)^(Assumptions!F$68/12))</f>
        <v>119.7</v>
      </c>
      <c r="G36" s="65" t="n">
        <f aca="false">IF(G$5="A",Inputs_Actuals!G32,Volume_Price!$C$31*(1+Assumptions!$F$81)^(Assumptions!G$68/12))</f>
        <v>116.56</v>
      </c>
      <c r="H36" s="65" t="n">
        <f aca="false">IF(H$5="A",Inputs_Actuals!H32,Volume_Price!$C$31*(1+Assumptions!$F$81)^(Assumptions!H$68/12))</f>
        <v>119.15</v>
      </c>
      <c r="I36" s="65" t="n">
        <f aca="false">IF(I$5="A",Inputs_Actuals!I32,Volume_Price!$C$31*(1+Assumptions!$F$81)^(Assumptions!I$68/12))</f>
        <v>118.83</v>
      </c>
      <c r="J36" s="65" t="n">
        <f aca="false">IF(J$5="A",Inputs_Actuals!J32,Volume_Price!$C$31*(1+Assumptions!$F$81)^(Assumptions!J$68/12))</f>
        <v>114.96</v>
      </c>
      <c r="K36" s="65" t="n">
        <f aca="false">IF(K$5="A",Inputs_Actuals!K32,Volume_Price!$C$31*(1+Assumptions!$F$81)^(Assumptions!K$68/12))</f>
        <v>116.58</v>
      </c>
      <c r="L36" s="65" t="n">
        <f aca="false">IF(L$5="A",Inputs_Actuals!L32,Volume_Price!$C$31*(1+Assumptions!$F$81)^(Assumptions!L$68/12))</f>
        <v>120.32</v>
      </c>
      <c r="M36" s="65" t="n">
        <f aca="false">IF(M$5="A",Inputs_Actuals!M32,Volume_Price!$C$31*(1+Assumptions!$F$81)^(Assumptions!M$68/12))</f>
        <v>120.616741579004</v>
      </c>
      <c r="N36" s="65" t="n">
        <f aca="false">IF(N$5="A",Inputs_Actuals!N32,Volume_Price!$C$31*(1+Assumptions!$F$81)^(Assumptions!N$68/12))</f>
        <v>120.914215002794</v>
      </c>
      <c r="O36" s="65" t="n">
        <f aca="false">IF(O$5="A",Inputs_Actuals!O32,Volume_Price!$C$31*(1+Assumptions!$F$81)^(Assumptions!O$68/12))</f>
        <v>121.212422076297</v>
      </c>
      <c r="P36" s="65" t="n">
        <f aca="false">IF(P$5="A",Inputs_Actuals!P32,Volume_Price!$C$31*(1+Assumptions!$F$81)^(Assumptions!P$68/12))</f>
        <v>121.511364608891</v>
      </c>
      <c r="Q36" s="65" t="n">
        <f aca="false">IF(Q$5="A",Inputs_Actuals!Q32,Volume_Price!$C$31*(1+Assumptions!$F$81)^(Assumptions!Q$68/12))</f>
        <v>121.811044414418</v>
      </c>
      <c r="R36" s="65" t="n">
        <f aca="false">IF(R$5="A",Inputs_Actuals!R32,Volume_Price!$C$31*(1+Assumptions!$F$81)^(Assumptions!R$68/12))</f>
        <v>122.11146331119</v>
      </c>
      <c r="S36" s="65" t="n">
        <f aca="false">IF(S$5="A",Inputs_Actuals!S32,Volume_Price!$C$31*(1+Assumptions!$F$81)^(Assumptions!S$68/12))</f>
        <v>122.412623122006</v>
      </c>
      <c r="T36" s="65" t="n">
        <f aca="false">IF(T$5="A",Inputs_Actuals!T32,Volume_Price!$C$31*(1+Assumptions!$F$81)^(Assumptions!T$68/12))</f>
        <v>122.71452567416</v>
      </c>
      <c r="U36" s="65" t="n">
        <f aca="false">IF(U$5="A",Inputs_Actuals!U32,Volume_Price!$C$31*(1+Assumptions!$F$81)^(Assumptions!U$68/12))</f>
        <v>123.017172799453</v>
      </c>
      <c r="V36" s="65" t="n">
        <f aca="false">IF(V$5="A",Inputs_Actuals!V32,Volume_Price!$C$31*(1+Assumptions!$F$81)^(Assumptions!V$68/12))</f>
        <v>123.320566334202</v>
      </c>
      <c r="W36" s="65" t="n">
        <f aca="false">IF(W$5="A",Inputs_Actuals!W32,Volume_Price!$C$31*(1+Assumptions!$F$81)^(Assumptions!W$68/12))</f>
        <v>123.624708119256</v>
      </c>
      <c r="X36" s="65" t="n">
        <f aca="false">IF(X$5="A",Inputs_Actuals!X32,Volume_Price!$C$31*(1+Assumptions!$F$81)^(Assumptions!X$68/12))</f>
        <v>123.9296</v>
      </c>
      <c r="Y36" s="65" t="n">
        <f aca="false">IF(Y$5="A",Inputs_Actuals!Y32,Volume_Price!$C$31*(1+Assumptions!$F$81)^(Assumptions!Y$68/12))</f>
        <v>124.235243826374</v>
      </c>
      <c r="Z36" s="65" t="n">
        <f aca="false">IF(Z$5="A",Inputs_Actuals!Z32,Volume_Price!$C$31*(1+Assumptions!$F$81)^(Assumptions!Z$68/12))</f>
        <v>124.541641452877</v>
      </c>
      <c r="AA36" s="65" t="n">
        <f aca="false">IF(AA$5="A",Inputs_Actuals!AA32,Volume_Price!$C$31*(1+Assumptions!$F$81)^(Assumptions!AA$68/12))</f>
        <v>124.848794738586</v>
      </c>
      <c r="AB36" s="65" t="n">
        <f aca="false">IF(AB$5="A",Inputs_Actuals!AB32,Volume_Price!$C$31*(1+Assumptions!$F$81)^(Assumptions!AB$68/12))</f>
        <v>125.156705547158</v>
      </c>
    </row>
    <row r="37" customFormat="false" ht="15" hidden="false" customHeight="true" outlineLevel="0" collapsed="false">
      <c r="A37" s="28" t="s">
        <v>1148</v>
      </c>
      <c r="B37" s="55" t="s">
        <v>1147</v>
      </c>
      <c r="C37" s="61" t="n">
        <f aca="false">AVERAGE(E37:P37)</f>
        <v>72.5297745822367</v>
      </c>
      <c r="D37" s="61" t="n">
        <f aca="false">AVERAGE(Q37:AB37)</f>
        <v>75.0180289580081</v>
      </c>
      <c r="E37" s="65" t="n">
        <f aca="false">IF(E$5="A",Inputs_Actuals!E33,Volume_Price!$C$32*(1+Assumptions!$F$81)^(Assumptions!E$68/12))</f>
        <v>71.3</v>
      </c>
      <c r="F37" s="65" t="n">
        <f aca="false">IF(F$5="A",Inputs_Actuals!F33,Volume_Price!$C$32*(1+Assumptions!$F$81)^(Assumptions!F$68/12))</f>
        <v>71.43</v>
      </c>
      <c r="G37" s="65" t="n">
        <f aca="false">IF(G$5="A",Inputs_Actuals!G33,Volume_Price!$C$32*(1+Assumptions!$F$81)^(Assumptions!G$68/12))</f>
        <v>72.25</v>
      </c>
      <c r="H37" s="65" t="n">
        <f aca="false">IF(H$5="A",Inputs_Actuals!H33,Volume_Price!$C$32*(1+Assumptions!$F$81)^(Assumptions!H$68/12))</f>
        <v>71.68</v>
      </c>
      <c r="I37" s="65" t="n">
        <f aca="false">IF(I$5="A",Inputs_Actuals!I33,Volume_Price!$C$32*(1+Assumptions!$F$81)^(Assumptions!I$68/12))</f>
        <v>73.46</v>
      </c>
      <c r="J37" s="65" t="n">
        <f aca="false">IF(J$5="A",Inputs_Actuals!J33,Volume_Price!$C$32*(1+Assumptions!$F$81)^(Assumptions!J$68/12))</f>
        <v>71.4</v>
      </c>
      <c r="K37" s="65" t="n">
        <f aca="false">IF(K$5="A",Inputs_Actuals!K33,Volume_Price!$C$32*(1+Assumptions!$F$81)^(Assumptions!K$68/12))</f>
        <v>71.53</v>
      </c>
      <c r="L37" s="65" t="n">
        <f aca="false">IF(L$5="A",Inputs_Actuals!L33,Volume_Price!$C$32*(1+Assumptions!$F$81)^(Assumptions!L$68/12))</f>
        <v>73.1</v>
      </c>
      <c r="M37" s="65" t="n">
        <f aca="false">IF(M$5="A",Inputs_Actuals!M33,Volume_Price!$C$32*(1+Assumptions!$F$81)^(Assumptions!M$68/12))</f>
        <v>73.2802843203554</v>
      </c>
      <c r="N37" s="65" t="n">
        <f aca="false">IF(N$5="A",Inputs_Actuals!N33,Volume_Price!$C$32*(1+Assumptions!$F$81)^(Assumptions!N$68/12))</f>
        <v>73.4610132704805</v>
      </c>
      <c r="O37" s="65" t="n">
        <f aca="false">IF(O$5="A",Inputs_Actuals!O33,Volume_Price!$C$32*(1+Assumptions!$F$81)^(Assumptions!O$68/12))</f>
        <v>73.6421879469523</v>
      </c>
      <c r="P37" s="65" t="n">
        <f aca="false">IF(P$5="A",Inputs_Actuals!P33,Volume_Price!$C$32*(1+Assumptions!$F$81)^(Assumptions!P$68/12))</f>
        <v>73.8238094490521</v>
      </c>
      <c r="Q37" s="65" t="n">
        <f aca="false">IF(Q$5="A",Inputs_Actuals!Q33,Volume_Price!$C$32*(1+Assumptions!$F$81)^(Assumptions!Q$68/12))</f>
        <v>74.0058788787726</v>
      </c>
      <c r="R37" s="65" t="n">
        <f aca="false">IF(R$5="A",Inputs_Actuals!R33,Volume_Price!$C$32*(1+Assumptions!$F$81)^(Assumptions!R$68/12))</f>
        <v>74.1883973408241</v>
      </c>
      <c r="S37" s="65" t="n">
        <f aca="false">IF(S$5="A",Inputs_Actuals!S33,Volume_Price!$C$32*(1+Assumptions!$F$81)^(Assumptions!S$68/12))</f>
        <v>74.3713659426414</v>
      </c>
      <c r="T37" s="65" t="n">
        <f aca="false">IF(T$5="A",Inputs_Actuals!T33,Volume_Price!$C$32*(1+Assumptions!$F$81)^(Assumptions!T$68/12))</f>
        <v>74.5547857943907</v>
      </c>
      <c r="U37" s="65" t="n">
        <f aca="false">IF(U$5="A",Inputs_Actuals!U33,Volume_Price!$C$32*(1+Assumptions!$F$81)^(Assumptions!U$68/12))</f>
        <v>74.738658008976</v>
      </c>
      <c r="V37" s="65" t="n">
        <f aca="false">IF(V$5="A",Inputs_Actuals!V33,Volume_Price!$C$32*(1+Assumptions!$F$81)^(Assumptions!V$68/12))</f>
        <v>74.9229837020461</v>
      </c>
      <c r="W37" s="65" t="n">
        <f aca="false">IF(W$5="A",Inputs_Actuals!W33,Volume_Price!$C$32*(1+Assumptions!$F$81)^(Assumptions!W$68/12))</f>
        <v>75.1077639920012</v>
      </c>
      <c r="X37" s="65" t="n">
        <f aca="false">IF(X$5="A",Inputs_Actuals!X33,Volume_Price!$C$32*(1+Assumptions!$F$81)^(Assumptions!X$68/12))</f>
        <v>75.293</v>
      </c>
      <c r="Y37" s="65" t="n">
        <f aca="false">IF(Y$5="A",Inputs_Actuals!Y33,Volume_Price!$C$32*(1+Assumptions!$F$81)^(Assumptions!Y$68/12))</f>
        <v>75.4786928499661</v>
      </c>
      <c r="Z37" s="65" t="n">
        <f aca="false">IF(Z$5="A",Inputs_Actuals!Z33,Volume_Price!$C$32*(1+Assumptions!$F$81)^(Assumptions!Z$68/12))</f>
        <v>75.6648436685949</v>
      </c>
      <c r="AA37" s="65" t="n">
        <f aca="false">IF(AA$5="A",Inputs_Actuals!AA33,Volume_Price!$C$32*(1+Assumptions!$F$81)^(Assumptions!AA$68/12))</f>
        <v>75.8514535853608</v>
      </c>
      <c r="AB37" s="65" t="n">
        <f aca="false">IF(AB$5="A",Inputs_Actuals!AB33,Volume_Price!$C$32*(1+Assumptions!$F$81)^(Assumptions!AB$68/12))</f>
        <v>76.0385237325237</v>
      </c>
    </row>
    <row r="38" customFormat="false" ht="15" hidden="false" customHeight="true" outlineLevel="0" collapsed="false">
      <c r="A38" s="28" t="s">
        <v>1149</v>
      </c>
      <c r="B38" s="55" t="s">
        <v>1147</v>
      </c>
      <c r="C38" s="61" t="n">
        <f aca="false">AVERAGE(E38:P38)</f>
        <v>46.0720357683556</v>
      </c>
      <c r="D38" s="61" t="n">
        <f aca="false">AVERAGE(Q38:AB38)</f>
        <v>46.6733236253107</v>
      </c>
      <c r="E38" s="65" t="n">
        <f aca="false">IF(E$5="A",Inputs_Actuals!E34,Volume_Price!$C$33*(1+Assumptions!$F$81)^(Assumptions!E$68/12))</f>
        <v>45.84</v>
      </c>
      <c r="F38" s="65" t="n">
        <f aca="false">IF(F$5="A",Inputs_Actuals!F34,Volume_Price!$C$33*(1+Assumptions!$F$81)^(Assumptions!F$68/12))</f>
        <v>46.37</v>
      </c>
      <c r="G38" s="65" t="n">
        <f aca="false">IF(G$5="A",Inputs_Actuals!G34,Volume_Price!$C$33*(1+Assumptions!$F$81)^(Assumptions!G$68/12))</f>
        <v>46.55</v>
      </c>
      <c r="H38" s="65" t="n">
        <f aca="false">IF(H$5="A",Inputs_Actuals!H34,Volume_Price!$C$33*(1+Assumptions!$F$81)^(Assumptions!H$68/12))</f>
        <v>45.86</v>
      </c>
      <c r="I38" s="65" t="n">
        <f aca="false">IF(I$5="A",Inputs_Actuals!I34,Volume_Price!$C$33*(1+Assumptions!$F$81)^(Assumptions!I$68/12))</f>
        <v>46.29</v>
      </c>
      <c r="J38" s="65" t="n">
        <f aca="false">IF(J$5="A",Inputs_Actuals!J34,Volume_Price!$C$33*(1+Assumptions!$F$81)^(Assumptions!J$68/12))</f>
        <v>46.3</v>
      </c>
      <c r="K38" s="65" t="n">
        <f aca="false">IF(K$5="A",Inputs_Actuals!K34,Volume_Price!$C$33*(1+Assumptions!$F$81)^(Assumptions!K$68/12))</f>
        <v>47.13</v>
      </c>
      <c r="L38" s="65" t="n">
        <f aca="false">IF(L$5="A",Inputs_Actuals!L34,Volume_Price!$C$33*(1+Assumptions!$F$81)^(Assumptions!L$68/12))</f>
        <v>45.48</v>
      </c>
      <c r="M38" s="65" t="n">
        <f aca="false">IF(M$5="A",Inputs_Actuals!M34,Volume_Price!$C$33*(1+Assumptions!$F$81)^(Assumptions!M$68/12))</f>
        <v>45.5921659492444</v>
      </c>
      <c r="N38" s="65" t="n">
        <f aca="false">IF(N$5="A",Inputs_Actuals!N34,Volume_Price!$C$33*(1+Assumptions!$F$81)^(Assumptions!N$68/12))</f>
        <v>45.7046085299788</v>
      </c>
      <c r="O38" s="65" t="n">
        <f aca="false">IF(O$5="A",Inputs_Actuals!O34,Volume_Price!$C$33*(1+Assumptions!$F$81)^(Assumptions!O$68/12))</f>
        <v>45.8173284244513</v>
      </c>
      <c r="P38" s="65" t="n">
        <f aca="false">IF(P$5="A",Inputs_Actuals!P34,Volume_Price!$C$33*(1+Assumptions!$F$81)^(Assumptions!P$68/12))</f>
        <v>45.9303263165922</v>
      </c>
      <c r="Q38" s="65" t="n">
        <f aca="false">IF(Q$5="A",Inputs_Actuals!Q34,Volume_Price!$C$33*(1+Assumptions!$F$81)^(Assumptions!Q$68/12))</f>
        <v>46.0436028920189</v>
      </c>
      <c r="R38" s="65" t="n">
        <f aca="false">IF(R$5="A",Inputs_Actuals!R34,Volume_Price!$C$33*(1+Assumptions!$F$81)^(Assumptions!R$68/12))</f>
        <v>46.1571588380394</v>
      </c>
      <c r="S38" s="65" t="n">
        <f aca="false">IF(S$5="A",Inputs_Actuals!S34,Volume_Price!$C$33*(1+Assumptions!$F$81)^(Assumptions!S$68/12))</f>
        <v>46.2709948436571</v>
      </c>
      <c r="T38" s="65" t="n">
        <f aca="false">IF(T$5="A",Inputs_Actuals!T34,Volume_Price!$C$33*(1+Assumptions!$F$81)^(Assumptions!T$68/12))</f>
        <v>46.3851115995744</v>
      </c>
      <c r="U38" s="65" t="n">
        <f aca="false">IF(U$5="A",Inputs_Actuals!U34,Volume_Price!$C$33*(1+Assumptions!$F$81)^(Assumptions!U$68/12))</f>
        <v>46.4995097981974</v>
      </c>
      <c r="V38" s="65" t="n">
        <f aca="false">IF(V$5="A",Inputs_Actuals!V34,Volume_Price!$C$33*(1+Assumptions!$F$81)^(Assumptions!V$68/12))</f>
        <v>46.6141901336396</v>
      </c>
      <c r="W38" s="65" t="n">
        <f aca="false">IF(W$5="A",Inputs_Actuals!W34,Volume_Price!$C$33*(1+Assumptions!$F$81)^(Assumptions!W$68/12))</f>
        <v>46.7291533017266</v>
      </c>
      <c r="X38" s="65" t="n">
        <f aca="false">IF(X$5="A",Inputs_Actuals!X34,Volume_Price!$C$33*(1+Assumptions!$F$81)^(Assumptions!X$68/12))</f>
        <v>46.8444</v>
      </c>
      <c r="Y38" s="65" t="n">
        <f aca="false">IF(Y$5="A",Inputs_Actuals!Y34,Volume_Price!$C$33*(1+Assumptions!$F$81)^(Assumptions!Y$68/12))</f>
        <v>46.9599309277217</v>
      </c>
      <c r="Z38" s="65" t="n">
        <f aca="false">IF(Z$5="A",Inputs_Actuals!Z34,Volume_Price!$C$33*(1+Assumptions!$F$81)^(Assumptions!Z$68/12))</f>
        <v>47.0757467858782</v>
      </c>
      <c r="AA38" s="65" t="n">
        <f aca="false">IF(AA$5="A",Inputs_Actuals!AA34,Volume_Price!$C$33*(1+Assumptions!$F$81)^(Assumptions!AA$68/12))</f>
        <v>47.1918482771848</v>
      </c>
      <c r="AB38" s="65" t="n">
        <f aca="false">IF(AB$5="A",Inputs_Actuals!AB34,Volume_Price!$C$33*(1+Assumptions!$F$81)^(Assumptions!AB$68/12))</f>
        <v>47.30823610609</v>
      </c>
    </row>
    <row r="39" customFormat="false" ht="15" hidden="false" customHeight="true" outlineLevel="0" collapsed="false">
      <c r="A39" s="28" t="s">
        <v>1150</v>
      </c>
      <c r="B39" s="55" t="s">
        <v>1147</v>
      </c>
      <c r="C39" s="61" t="n">
        <f aca="false">AVERAGE(E39:P39)</f>
        <v>37.879607808199</v>
      </c>
      <c r="D39" s="61" t="n">
        <f aca="false">AVERAGE(Q39:AB39)</f>
        <v>38.8225996645889</v>
      </c>
      <c r="E39" s="65" t="n">
        <f aca="false">IF(E$5="A",Inputs_Actuals!E35,Volume_Price!$C$34*(1+Assumptions!$F$81)^(Assumptions!E$68/12))</f>
        <v>37.58</v>
      </c>
      <c r="F39" s="65" t="n">
        <f aca="false">IF(F$5="A",Inputs_Actuals!F35,Volume_Price!$C$34*(1+Assumptions!$F$81)^(Assumptions!F$68/12))</f>
        <v>38.06</v>
      </c>
      <c r="G39" s="65" t="n">
        <f aca="false">IF(G$5="A",Inputs_Actuals!G35,Volume_Price!$C$34*(1+Assumptions!$F$81)^(Assumptions!G$68/12))</f>
        <v>37.9</v>
      </c>
      <c r="H39" s="65" t="n">
        <f aca="false">IF(H$5="A",Inputs_Actuals!H35,Volume_Price!$C$34*(1+Assumptions!$F$81)^(Assumptions!H$68/12))</f>
        <v>38.44</v>
      </c>
      <c r="I39" s="65" t="n">
        <f aca="false">IF(I$5="A",Inputs_Actuals!I35,Volume_Price!$C$34*(1+Assumptions!$F$81)^(Assumptions!I$68/12))</f>
        <v>36.97</v>
      </c>
      <c r="J39" s="65" t="n">
        <f aca="false">IF(J$5="A",Inputs_Actuals!J35,Volume_Price!$C$34*(1+Assumptions!$F$81)^(Assumptions!J$68/12))</f>
        <v>37.49</v>
      </c>
      <c r="K39" s="65" t="n">
        <f aca="false">IF(K$5="A",Inputs_Actuals!K35,Volume_Price!$C$34*(1+Assumptions!$F$81)^(Assumptions!K$68/12))</f>
        <v>38.03</v>
      </c>
      <c r="L39" s="65" t="n">
        <f aca="false">IF(L$5="A",Inputs_Actuals!L35,Volume_Price!$C$34*(1+Assumptions!$F$81)^(Assumptions!L$68/12))</f>
        <v>37.83</v>
      </c>
      <c r="M39" s="65" t="n">
        <f aca="false">IF(M$5="A",Inputs_Actuals!M35,Volume_Price!$C$34*(1+Assumptions!$F$81)^(Assumptions!M$68/12))</f>
        <v>37.9232989854863</v>
      </c>
      <c r="N39" s="65" t="n">
        <f aca="false">IF(N$5="A",Inputs_Actuals!N35,Volume_Price!$C$34*(1+Assumptions!$F$81)^(Assumptions!N$68/12))</f>
        <v>38.0168280714402</v>
      </c>
      <c r="O39" s="65" t="n">
        <f aca="false">IF(O$5="A",Inputs_Actuals!O35,Volume_Price!$C$34*(1+Assumptions!$F$81)^(Assumptions!O$68/12))</f>
        <v>38.1105878253516</v>
      </c>
      <c r="P39" s="65" t="n">
        <f aca="false">IF(P$5="A",Inputs_Actuals!P35,Volume_Price!$C$34*(1+Assumptions!$F$81)^(Assumptions!P$68/12))</f>
        <v>38.20457881611</v>
      </c>
      <c r="Q39" s="65" t="n">
        <f aca="false">IF(Q$5="A",Inputs_Actuals!Q35,Volume_Price!$C$34*(1+Assumptions!$F$81)^(Assumptions!Q$68/12))</f>
        <v>38.2988016140078</v>
      </c>
      <c r="R39" s="65" t="n">
        <f aca="false">IF(R$5="A",Inputs_Actuals!R35,Volume_Price!$C$34*(1+Assumptions!$F$81)^(Assumptions!R$68/12))</f>
        <v>38.3932567907439</v>
      </c>
      <c r="S39" s="65" t="n">
        <f aca="false">IF(S$5="A",Inputs_Actuals!S35,Volume_Price!$C$34*(1+Assumptions!$F$81)^(Assumptions!S$68/12))</f>
        <v>38.4879449194272</v>
      </c>
      <c r="T39" s="65" t="n">
        <f aca="false">IF(T$5="A",Inputs_Actuals!T35,Volume_Price!$C$34*(1+Assumptions!$F$81)^(Assumptions!T$68/12))</f>
        <v>38.58286657458</v>
      </c>
      <c r="U39" s="65" t="n">
        <f aca="false">IF(U$5="A",Inputs_Actuals!U35,Volume_Price!$C$34*(1+Assumptions!$F$81)^(Assumptions!U$68/12))</f>
        <v>38.6780223321417</v>
      </c>
      <c r="V39" s="65" t="n">
        <f aca="false">IF(V$5="A",Inputs_Actuals!V35,Volume_Price!$C$34*(1+Assumptions!$F$81)^(Assumptions!V$68/12))</f>
        <v>38.773412769472</v>
      </c>
      <c r="W39" s="65" t="n">
        <f aca="false">IF(W$5="A",Inputs_Actuals!W35,Volume_Price!$C$34*(1+Assumptions!$F$81)^(Assumptions!W$68/12))</f>
        <v>38.8690384653544</v>
      </c>
      <c r="X39" s="65" t="n">
        <f aca="false">IF(X$5="A",Inputs_Actuals!X35,Volume_Price!$C$34*(1+Assumptions!$F$81)^(Assumptions!X$68/12))</f>
        <v>38.9649</v>
      </c>
      <c r="Y39" s="65" t="n">
        <f aca="false">IF(Y$5="A",Inputs_Actuals!Y35,Volume_Price!$C$34*(1+Assumptions!$F$81)^(Assumptions!Y$68/12))</f>
        <v>39.0609979550508</v>
      </c>
      <c r="Z39" s="65" t="n">
        <f aca="false">IF(Z$5="A",Inputs_Actuals!Z35,Volume_Price!$C$34*(1+Assumptions!$F$81)^(Assumptions!Z$68/12))</f>
        <v>39.1573329135834</v>
      </c>
      <c r="AA39" s="65" t="n">
        <f aca="false">IF(AA$5="A",Inputs_Actuals!AA35,Volume_Price!$C$34*(1+Assumptions!$F$81)^(Assumptions!AA$68/12))</f>
        <v>39.2539054601122</v>
      </c>
      <c r="AB39" s="65" t="n">
        <f aca="false">IF(AB$5="A",Inputs_Actuals!AB35,Volume_Price!$C$34*(1+Assumptions!$F$81)^(Assumptions!AB$68/12))</f>
        <v>39.3507161805933</v>
      </c>
    </row>
    <row r="40" customFormat="false" ht="15" hidden="false" customHeight="true" outlineLevel="0" collapsed="false">
      <c r="A40" s="28" t="s">
        <v>1151</v>
      </c>
      <c r="B40" s="55" t="s">
        <v>1147</v>
      </c>
      <c r="C40" s="61" t="n">
        <f aca="false">AVERAGE(E40:P40)</f>
        <v>29.2445128478848</v>
      </c>
      <c r="D40" s="61" t="n">
        <f aca="false">AVERAGE(Q40:AB40)</f>
        <v>30.0585235045152</v>
      </c>
      <c r="E40" s="65" t="n">
        <f aca="false">IF(E$5="A",Inputs_Actuals!E36,Volume_Price!$C$35*(1+Assumptions!$F$81)^(Assumptions!E$68/12))</f>
        <v>29.08</v>
      </c>
      <c r="F40" s="65" t="n">
        <f aca="false">IF(F$5="A",Inputs_Actuals!F36,Volume_Price!$C$35*(1+Assumptions!$F$81)^(Assumptions!F$68/12))</f>
        <v>29.37</v>
      </c>
      <c r="G40" s="65" t="n">
        <f aca="false">IF(G$5="A",Inputs_Actuals!G36,Volume_Price!$C$35*(1+Assumptions!$F$81)^(Assumptions!G$68/12))</f>
        <v>29.16</v>
      </c>
      <c r="H40" s="65" t="n">
        <f aca="false">IF(H$5="A",Inputs_Actuals!H36,Volume_Price!$C$35*(1+Assumptions!$F$81)^(Assumptions!H$68/12))</f>
        <v>29.38</v>
      </c>
      <c r="I40" s="65" t="n">
        <f aca="false">IF(I$5="A",Inputs_Actuals!I36,Volume_Price!$C$35*(1+Assumptions!$F$81)^(Assumptions!I$68/12))</f>
        <v>28.63</v>
      </c>
      <c r="J40" s="65" t="n">
        <f aca="false">IF(J$5="A",Inputs_Actuals!J36,Volume_Price!$C$35*(1+Assumptions!$F$81)^(Assumptions!J$68/12))</f>
        <v>28.73</v>
      </c>
      <c r="K40" s="65" t="n">
        <f aca="false">IF(K$5="A",Inputs_Actuals!K36,Volume_Price!$C$35*(1+Assumptions!$F$81)^(Assumptions!K$68/12))</f>
        <v>29.41</v>
      </c>
      <c r="L40" s="65" t="n">
        <f aca="false">IF(L$5="A",Inputs_Actuals!L36,Volume_Price!$C$35*(1+Assumptions!$F$81)^(Assumptions!L$68/12))</f>
        <v>29.29</v>
      </c>
      <c r="M40" s="65" t="n">
        <f aca="false">IF(M$5="A",Inputs_Actuals!M36,Volume_Price!$C$35*(1+Assumptions!$F$81)^(Assumptions!M$68/12))</f>
        <v>29.3622370416308</v>
      </c>
      <c r="N40" s="65" t="n">
        <f aca="false">IF(N$5="A",Inputs_Actuals!N36,Volume_Price!$C$35*(1+Assumptions!$F$81)^(Assumptions!N$68/12))</f>
        <v>29.4346522392938</v>
      </c>
      <c r="O40" s="65" t="n">
        <f aca="false">IF(O$5="A",Inputs_Actuals!O36,Volume_Price!$C$35*(1+Assumptions!$F$81)^(Assumptions!O$68/12))</f>
        <v>29.5072460323698</v>
      </c>
      <c r="P40" s="65" t="n">
        <f aca="false">IF(P$5="A",Inputs_Actuals!P36,Volume_Price!$C$35*(1+Assumptions!$F$81)^(Assumptions!P$68/12))</f>
        <v>29.5800188613234</v>
      </c>
      <c r="Q40" s="65" t="n">
        <f aca="false">IF(Q$5="A",Inputs_Actuals!Q36,Volume_Price!$C$35*(1+Assumptions!$F$81)^(Assumptions!Q$68/12))</f>
        <v>29.6529711677052</v>
      </c>
      <c r="R40" s="65" t="n">
        <f aca="false">IF(R$5="A",Inputs_Actuals!R36,Volume_Price!$C$35*(1+Assumptions!$F$81)^(Assumptions!R$68/12))</f>
        <v>29.7261033941551</v>
      </c>
      <c r="S40" s="65" t="n">
        <f aca="false">IF(S$5="A",Inputs_Actuals!S36,Volume_Price!$C$35*(1+Assumptions!$F$81)^(Assumptions!S$68/12))</f>
        <v>29.7994159844045</v>
      </c>
      <c r="T40" s="65" t="n">
        <f aca="false">IF(T$5="A",Inputs_Actuals!T36,Volume_Price!$C$35*(1+Assumptions!$F$81)^(Assumptions!T$68/12))</f>
        <v>29.8729093832791</v>
      </c>
      <c r="U40" s="65" t="n">
        <f aca="false">IF(U$5="A",Inputs_Actuals!U36,Volume_Price!$C$35*(1+Assumptions!$F$81)^(Assumptions!U$68/12))</f>
        <v>29.9465840367019</v>
      </c>
      <c r="V40" s="65" t="n">
        <f aca="false">IF(V$5="A",Inputs_Actuals!V36,Volume_Price!$C$35*(1+Assumptions!$F$81)^(Assumptions!V$68/12))</f>
        <v>30.0204403916953</v>
      </c>
      <c r="W40" s="65" t="n">
        <f aca="false">IF(W$5="A",Inputs_Actuals!W36,Volume_Price!$C$35*(1+Assumptions!$F$81)^(Assumptions!W$68/12))</f>
        <v>30.0944788963846</v>
      </c>
      <c r="X40" s="65" t="n">
        <f aca="false">IF(X$5="A",Inputs_Actuals!X36,Volume_Price!$C$35*(1+Assumptions!$F$81)^(Assumptions!X$68/12))</f>
        <v>30.1687</v>
      </c>
      <c r="Y40" s="65" t="n">
        <f aca="false">IF(Y$5="A",Inputs_Actuals!Y36,Volume_Price!$C$35*(1+Assumptions!$F$81)^(Assumptions!Y$68/12))</f>
        <v>30.2431041528797</v>
      </c>
      <c r="Z40" s="65" t="n">
        <f aca="false">IF(Z$5="A",Inputs_Actuals!Z36,Volume_Price!$C$35*(1+Assumptions!$F$81)^(Assumptions!Z$68/12))</f>
        <v>30.3176918064726</v>
      </c>
      <c r="AA40" s="65" t="n">
        <f aca="false">IF(AA$5="A",Inputs_Actuals!AA36,Volume_Price!$C$35*(1+Assumptions!$F$81)^(Assumptions!AA$68/12))</f>
        <v>30.3924634133409</v>
      </c>
      <c r="AB40" s="65" t="n">
        <f aca="false">IF(AB$5="A",Inputs_Actuals!AB36,Volume_Price!$C$35*(1+Assumptions!$F$81)^(Assumptions!AB$68/12))</f>
        <v>30.4674194271631</v>
      </c>
    </row>
    <row r="41" customFormat="false" ht="15" hidden="false" customHeight="true" outlineLevel="0" collapsed="false">
      <c r="A41" s="28" t="s">
        <v>1152</v>
      </c>
      <c r="B41" s="55" t="s">
        <v>1153</v>
      </c>
      <c r="C41" s="56" t="n">
        <f aca="false">SUM(E41:P41)</f>
        <v>958112.575126889</v>
      </c>
      <c r="D41" s="56" t="n">
        <f aca="false">SUM(Q41:AB41)</f>
        <v>1168378.64240318</v>
      </c>
      <c r="E41" s="69" t="n">
        <f aca="false">E25*E36</f>
        <v>59502.06</v>
      </c>
      <c r="F41" s="69" t="n">
        <f aca="false">F25*F36</f>
        <v>62244</v>
      </c>
      <c r="G41" s="69" t="n">
        <f aca="false">G25*G36</f>
        <v>66555.76</v>
      </c>
      <c r="H41" s="69" t="n">
        <f aca="false">H25*H36</f>
        <v>67438.9</v>
      </c>
      <c r="I41" s="69" t="n">
        <f aca="false">I25*I36</f>
        <v>81755.04</v>
      </c>
      <c r="J41" s="69" t="n">
        <f aca="false">J25*J36</f>
        <v>73114.56</v>
      </c>
      <c r="K41" s="69" t="n">
        <f aca="false">K25*K36</f>
        <v>67383.24</v>
      </c>
      <c r="L41" s="69" t="n">
        <f aca="false">L25*L36</f>
        <v>69665.28</v>
      </c>
      <c r="M41" s="69" t="n">
        <f aca="false">M25*M36</f>
        <v>77637.5738606384</v>
      </c>
      <c r="N41" s="69" t="n">
        <f aca="false">N25*N36</f>
        <v>89520.2331828926</v>
      </c>
      <c r="O41" s="69" t="n">
        <f aca="false">O25*O36</f>
        <v>128714.267746809</v>
      </c>
      <c r="P41" s="69" t="n">
        <f aca="false">P25*P36</f>
        <v>114581.660336549</v>
      </c>
      <c r="Q41" s="69" t="n">
        <f aca="false">Q25*Q36</f>
        <v>72778.1308032345</v>
      </c>
      <c r="R41" s="69" t="n">
        <f aca="false">R25*R36</f>
        <v>69001.5512241978</v>
      </c>
      <c r="S41" s="69" t="n">
        <f aca="false">S25*S36</f>
        <v>79118.4550081585</v>
      </c>
      <c r="T41" s="69" t="n">
        <f aca="false">T25*T36</f>
        <v>83326.7912543915</v>
      </c>
      <c r="U41" s="69" t="n">
        <f aca="false">U25*U36</f>
        <v>89494.0591708205</v>
      </c>
      <c r="V41" s="69" t="n">
        <f aca="false">V25*V36</f>
        <v>88421.5569170872</v>
      </c>
      <c r="W41" s="69" t="n">
        <f aca="false">W25*W36</f>
        <v>85377.5096945945</v>
      </c>
      <c r="X41" s="69" t="n">
        <f aca="false">X25*X36</f>
        <v>85084.4247702479</v>
      </c>
      <c r="Y41" s="69" t="n">
        <f aca="false">Y25*Y36</f>
        <v>97559.3753132782</v>
      </c>
      <c r="Z41" s="69" t="n">
        <f aca="false">Z25*Z36</f>
        <v>112491.125017623</v>
      </c>
      <c r="AA41" s="69" t="n">
        <f aca="false">AA25*AA36</f>
        <v>161742.34885064</v>
      </c>
      <c r="AB41" s="69" t="n">
        <f aca="false">AB25*AB36</f>
        <v>143983.314378908</v>
      </c>
    </row>
    <row r="42" customFormat="false" ht="15" hidden="false" customHeight="true" outlineLevel="0" collapsed="false">
      <c r="A42" s="28" t="s">
        <v>1154</v>
      </c>
      <c r="B42" s="55" t="s">
        <v>1153</v>
      </c>
      <c r="C42" s="56" t="n">
        <f aca="false">SUM(E42:P42)</f>
        <v>377264.547832284</v>
      </c>
      <c r="D42" s="56" t="n">
        <f aca="false">SUM(Q42:AB42)</f>
        <v>463596.094684376</v>
      </c>
      <c r="E42" s="69" t="n">
        <f aca="false">E26*E37</f>
        <v>24669.8</v>
      </c>
      <c r="F42" s="69" t="n">
        <f aca="false">F26*F37</f>
        <v>22571.88</v>
      </c>
      <c r="G42" s="69" t="n">
        <f aca="false">G26*G37</f>
        <v>26660.25</v>
      </c>
      <c r="H42" s="69" t="n">
        <f aca="false">H26*H37</f>
        <v>27166.72</v>
      </c>
      <c r="I42" s="69" t="n">
        <f aca="false">I26*I37</f>
        <v>29016.7</v>
      </c>
      <c r="J42" s="69" t="n">
        <f aca="false">J26*J37</f>
        <v>29559.6</v>
      </c>
      <c r="K42" s="69" t="n">
        <f aca="false">K26*K37</f>
        <v>26394.57</v>
      </c>
      <c r="L42" s="69" t="n">
        <f aca="false">L26*L37</f>
        <v>28362.8</v>
      </c>
      <c r="M42" s="69" t="n">
        <f aca="false">M26*M37</f>
        <v>30805.4895359355</v>
      </c>
      <c r="N42" s="69" t="n">
        <f aca="false">N26*N37</f>
        <v>35520.3604316678</v>
      </c>
      <c r="O42" s="69" t="n">
        <f aca="false">O26*O37</f>
        <v>51071.9981450915</v>
      </c>
      <c r="P42" s="69" t="n">
        <f aca="false">P26*P37</f>
        <v>45464.3797195888</v>
      </c>
      <c r="Q42" s="69" t="n">
        <f aca="false">Q26*Q37</f>
        <v>28877.3313670051</v>
      </c>
      <c r="R42" s="69" t="n">
        <f aca="false">R26*R37</f>
        <v>27378.8380870312</v>
      </c>
      <c r="S42" s="69" t="n">
        <f aca="false">S26*S37</f>
        <v>31393.0821979085</v>
      </c>
      <c r="T42" s="69" t="n">
        <f aca="false">T26*T37</f>
        <v>33062.890407394</v>
      </c>
      <c r="U42" s="69" t="n">
        <f aca="false">U26*U37</f>
        <v>35509.9749544446</v>
      </c>
      <c r="V42" s="69" t="n">
        <f aca="false">V26*V37</f>
        <v>35084.4212526512</v>
      </c>
      <c r="W42" s="69" t="n">
        <f aca="false">W26*W37</f>
        <v>33876.586435096</v>
      </c>
      <c r="X42" s="69" t="n">
        <f aca="false">X26*X37</f>
        <v>33760.2944887981</v>
      </c>
      <c r="Y42" s="69" t="n">
        <f aca="false">Y26*Y37</f>
        <v>38710.1781508566</v>
      </c>
      <c r="Z42" s="69" t="n">
        <f aca="false">Z26*Z37</f>
        <v>44634.8849184338</v>
      </c>
      <c r="AA42" s="69" t="n">
        <f aca="false">AA26*AA37</f>
        <v>64177.072869122</v>
      </c>
      <c r="AB42" s="69" t="n">
        <f aca="false">AB26*AB37</f>
        <v>57130.5395556353</v>
      </c>
    </row>
    <row r="43" customFormat="false" ht="15" hidden="false" customHeight="true" outlineLevel="0" collapsed="false">
      <c r="A43" s="28" t="s">
        <v>1155</v>
      </c>
      <c r="B43" s="55" t="s">
        <v>1153</v>
      </c>
      <c r="C43" s="56" t="n">
        <f aca="false">SUM(E43:P43)</f>
        <v>460328.294029518</v>
      </c>
      <c r="D43" s="56" t="n">
        <f aca="false">SUM(Q43:AB43)</f>
        <v>549522.555601145</v>
      </c>
      <c r="E43" s="69" t="n">
        <f aca="false">E27*E38</f>
        <v>28879.2</v>
      </c>
      <c r="F43" s="69" t="n">
        <f aca="false">F27*F38</f>
        <v>28888.51</v>
      </c>
      <c r="G43" s="69" t="n">
        <f aca="false">G27*G38</f>
        <v>34959.05</v>
      </c>
      <c r="H43" s="69" t="n">
        <f aca="false">H27*H38</f>
        <v>34440.86</v>
      </c>
      <c r="I43" s="69" t="n">
        <f aca="false">I27*I38</f>
        <v>36800.55</v>
      </c>
      <c r="J43" s="69" t="n">
        <f aca="false">J27*J38</f>
        <v>34910.2</v>
      </c>
      <c r="K43" s="69" t="n">
        <f aca="false">K27*K38</f>
        <v>35064.72</v>
      </c>
      <c r="L43" s="69" t="n">
        <f aca="false">L27*L38</f>
        <v>33336.84</v>
      </c>
      <c r="M43" s="69" t="n">
        <f aca="false">M27*M38</f>
        <v>36515.2155732819</v>
      </c>
      <c r="N43" s="69" t="n">
        <f aca="false">N27*N38</f>
        <v>42103.9768541901</v>
      </c>
      <c r="O43" s="69" t="n">
        <f aca="false">O27*O38</f>
        <v>60538.0745483951</v>
      </c>
      <c r="P43" s="69" t="n">
        <f aca="false">P27*P38</f>
        <v>53891.097053651</v>
      </c>
      <c r="Q43" s="69" t="n">
        <f aca="false">Q27*Q38</f>
        <v>34229.6777597781</v>
      </c>
      <c r="R43" s="69" t="n">
        <f aca="false">R27*R38</f>
        <v>32453.4422258635</v>
      </c>
      <c r="S43" s="69" t="n">
        <f aca="false">S27*S38</f>
        <v>37211.7171723295</v>
      </c>
      <c r="T43" s="69" t="n">
        <f aca="false">T27*T38</f>
        <v>39191.0204606045</v>
      </c>
      <c r="U43" s="69" t="n">
        <f aca="false">U27*U38</f>
        <v>42091.6664528508</v>
      </c>
      <c r="V43" s="69" t="n">
        <f aca="false">V27*V38</f>
        <v>41587.2373594302</v>
      </c>
      <c r="W43" s="69" t="n">
        <f aca="false">W27*W38</f>
        <v>40155.5331598103</v>
      </c>
      <c r="X43" s="69" t="n">
        <f aca="false">X27*X38</f>
        <v>40017.6867709857</v>
      </c>
      <c r="Y43" s="69" t="n">
        <f aca="false">Y27*Y38</f>
        <v>45885.0198893861</v>
      </c>
      <c r="Z43" s="69" t="n">
        <f aca="false">Z27*Z38</f>
        <v>52907.8573149753</v>
      </c>
      <c r="AA43" s="69" t="n">
        <f aca="false">AA27*AA38</f>
        <v>76072.1444775133</v>
      </c>
      <c r="AB43" s="69" t="n">
        <f aca="false">AB27*AB38</f>
        <v>67719.5525576178</v>
      </c>
    </row>
    <row r="44" customFormat="false" ht="15" hidden="false" customHeight="true" outlineLevel="0" collapsed="false">
      <c r="A44" s="28" t="s">
        <v>1156</v>
      </c>
      <c r="B44" s="55" t="s">
        <v>1153</v>
      </c>
      <c r="C44" s="56" t="n">
        <f aca="false">SUM(E44:P44)</f>
        <v>270025.033898804</v>
      </c>
      <c r="D44" s="56" t="n">
        <f aca="false">SUM(Q44:AB44)</f>
        <v>328629.239686678</v>
      </c>
      <c r="E44" s="69" t="n">
        <f aca="false">E28*E39</f>
        <v>16873.42</v>
      </c>
      <c r="F44" s="69" t="n">
        <f aca="false">F28*F39</f>
        <v>17050.88</v>
      </c>
      <c r="G44" s="69" t="n">
        <f aca="false">G28*G39</f>
        <v>19935.4</v>
      </c>
      <c r="H44" s="69" t="n">
        <f aca="false">H28*H39</f>
        <v>18566.52</v>
      </c>
      <c r="I44" s="69" t="n">
        <f aca="false">I28*I39</f>
        <v>21553.51</v>
      </c>
      <c r="J44" s="69" t="n">
        <f aca="false">J28*J39</f>
        <v>20544.52</v>
      </c>
      <c r="K44" s="69" t="n">
        <f aca="false">K28*K39</f>
        <v>19813.63</v>
      </c>
      <c r="L44" s="69" t="n">
        <f aca="false">L28*L39</f>
        <v>20239.05</v>
      </c>
      <c r="M44" s="69" t="n">
        <f aca="false">M28*M39</f>
        <v>21837.0791308384</v>
      </c>
      <c r="N44" s="69" t="n">
        <f aca="false">N28*N39</f>
        <v>25179.3084020756</v>
      </c>
      <c r="O44" s="69" t="n">
        <f aca="false">O28*O39</f>
        <v>36203.3936699305</v>
      </c>
      <c r="P44" s="69" t="n">
        <f aca="false">P28*P39</f>
        <v>32228.3226959599</v>
      </c>
      <c r="Q44" s="69" t="n">
        <f aca="false">Q28*Q39</f>
        <v>20470.2661651627</v>
      </c>
      <c r="R44" s="69" t="n">
        <f aca="false">R28*R39</f>
        <v>19408.0296344415</v>
      </c>
      <c r="S44" s="69" t="n">
        <f aca="false">S28*S39</f>
        <v>22253.6057840259</v>
      </c>
      <c r="T44" s="69" t="n">
        <f aca="false">T28*T39</f>
        <v>23437.2822830253</v>
      </c>
      <c r="U44" s="69" t="n">
        <f aca="false">U28*U39</f>
        <v>25171.9464516131</v>
      </c>
      <c r="V44" s="69" t="n">
        <f aca="false">V28*V39</f>
        <v>24870.2843128037</v>
      </c>
      <c r="W44" s="69" t="n">
        <f aca="false">W28*W39</f>
        <v>24014.0867686235</v>
      </c>
      <c r="X44" s="69" t="n">
        <f aca="false">X28*X39</f>
        <v>23931.6509277445</v>
      </c>
      <c r="Y44" s="69" t="n">
        <f aca="false">Y28*Y39</f>
        <v>27440.4736358116</v>
      </c>
      <c r="Z44" s="69" t="n">
        <f aca="false">Z28*Z39</f>
        <v>31640.3189380482</v>
      </c>
      <c r="AA44" s="69" t="n">
        <f aca="false">AA28*AA39</f>
        <v>45493.1844856346</v>
      </c>
      <c r="AB44" s="69" t="n">
        <f aca="false">AB28*AB39</f>
        <v>40498.1102997432</v>
      </c>
    </row>
    <row r="45" customFormat="false" ht="15" hidden="false" customHeight="true" outlineLevel="0" collapsed="false">
      <c r="A45" s="28" t="s">
        <v>1157</v>
      </c>
      <c r="B45" s="55" t="s">
        <v>1153</v>
      </c>
      <c r="C45" s="56" t="n">
        <f aca="false">SUM(E45:P45)</f>
        <v>175032.052622986</v>
      </c>
      <c r="D45" s="56" t="n">
        <f aca="false">SUM(Q45:AB45)</f>
        <v>213833.015600866</v>
      </c>
      <c r="E45" s="69" t="n">
        <f aca="false">E29*E40</f>
        <v>10730.52</v>
      </c>
      <c r="F45" s="69" t="n">
        <f aca="false">F29*F40</f>
        <v>10661.31</v>
      </c>
      <c r="G45" s="69" t="n">
        <f aca="false">G29*G40</f>
        <v>12597.12</v>
      </c>
      <c r="H45" s="69" t="n">
        <f aca="false">H29*H40</f>
        <v>13250.38</v>
      </c>
      <c r="I45" s="69" t="n">
        <f aca="false">I29*I40</f>
        <v>13398.84</v>
      </c>
      <c r="J45" s="69" t="n">
        <f aca="false">J29*J40</f>
        <v>13474.37</v>
      </c>
      <c r="K45" s="69" t="n">
        <f aca="false">K29*K40</f>
        <v>13146.27</v>
      </c>
      <c r="L45" s="69" t="n">
        <f aca="false">L29*L40</f>
        <v>12653.28</v>
      </c>
      <c r="M45" s="69" t="n">
        <f aca="false">M29*M40</f>
        <v>14208.9866589897</v>
      </c>
      <c r="N45" s="69" t="n">
        <f aca="false">N29*N40</f>
        <v>16383.7139126555</v>
      </c>
      <c r="O45" s="69" t="n">
        <f aca="false">O29*O40</f>
        <v>23556.8838938599</v>
      </c>
      <c r="P45" s="69" t="n">
        <f aca="false">P29*P40</f>
        <v>20970.3781574805</v>
      </c>
      <c r="Q45" s="69" t="n">
        <f aca="false">Q29*Q40</f>
        <v>13319.6265445596</v>
      </c>
      <c r="R45" s="69" t="n">
        <f aca="false">R29*R40</f>
        <v>12628.4487270833</v>
      </c>
      <c r="S45" s="69" t="n">
        <f aca="false">S29*S40</f>
        <v>14480.0129085532</v>
      </c>
      <c r="T45" s="69" t="n">
        <f aca="false">T29*T40</f>
        <v>15250.2094848476</v>
      </c>
      <c r="U45" s="69" t="n">
        <f aca="false">U29*U40</f>
        <v>16378.9236265885</v>
      </c>
      <c r="V45" s="69" t="n">
        <f aca="false">V29*V40</f>
        <v>16182.6376086562</v>
      </c>
      <c r="W45" s="69" t="n">
        <f aca="false">W29*W40</f>
        <v>15625.5255787082</v>
      </c>
      <c r="X45" s="69" t="n">
        <f aca="false">X29*X40</f>
        <v>15571.8860898253</v>
      </c>
      <c r="Y45" s="69" t="n">
        <f aca="false">Y29*Y40</f>
        <v>17855.0126356864</v>
      </c>
      <c r="Z45" s="69" t="n">
        <f aca="false">Z29*Z40</f>
        <v>20587.774902643</v>
      </c>
      <c r="AA45" s="69" t="n">
        <f aca="false">AA29*AA40</f>
        <v>29601.5803010244</v>
      </c>
      <c r="AB45" s="69" t="n">
        <f aca="false">AB29*AB40</f>
        <v>26351.37719269</v>
      </c>
    </row>
    <row r="46" customFormat="false" ht="15" hidden="false" customHeight="true" outlineLevel="0" collapsed="false">
      <c r="A46" s="70" t="s">
        <v>1158</v>
      </c>
      <c r="B46" s="71" t="s">
        <v>310</v>
      </c>
      <c r="C46" s="72" t="n">
        <f aca="false">SUM(E46:P46)</f>
        <v>2240762.50351048</v>
      </c>
      <c r="D46" s="72" t="n">
        <f aca="false">SUM(Q46:AB46)</f>
        <v>2723959.54797625</v>
      </c>
      <c r="E46" s="72" t="n">
        <f aca="false">SUM(E41:E45)</f>
        <v>140655</v>
      </c>
      <c r="F46" s="72" t="n">
        <f aca="false">SUM(F41:F45)</f>
        <v>141416.58</v>
      </c>
      <c r="G46" s="72" t="n">
        <f aca="false">SUM(G41:G45)</f>
        <v>160707.58</v>
      </c>
      <c r="H46" s="72" t="n">
        <f aca="false">SUM(H41:H45)</f>
        <v>160863.38</v>
      </c>
      <c r="I46" s="72" t="n">
        <f aca="false">SUM(I41:I45)</f>
        <v>182524.64</v>
      </c>
      <c r="J46" s="72" t="n">
        <f aca="false">SUM(J41:J45)</f>
        <v>171603.25</v>
      </c>
      <c r="K46" s="72" t="n">
        <f aca="false">SUM(K41:K45)</f>
        <v>161802.43</v>
      </c>
      <c r="L46" s="72" t="n">
        <f aca="false">SUM(L41:L45)</f>
        <v>164257.25</v>
      </c>
      <c r="M46" s="72" t="n">
        <f aca="false">SUM(M41:M45)</f>
        <v>181004.344759684</v>
      </c>
      <c r="N46" s="72" t="n">
        <f aca="false">SUM(N41:N45)</f>
        <v>208707.592783482</v>
      </c>
      <c r="O46" s="72" t="n">
        <f aca="false">SUM(O41:O45)</f>
        <v>300084.618004086</v>
      </c>
      <c r="P46" s="72" t="n">
        <f aca="false">SUM(P41:P45)</f>
        <v>267135.837963229</v>
      </c>
      <c r="Q46" s="72" t="n">
        <f aca="false">SUM(Q41:Q45)</f>
        <v>169675.03263974</v>
      </c>
      <c r="R46" s="72" t="n">
        <f aca="false">SUM(R41:R45)</f>
        <v>160870.309898617</v>
      </c>
      <c r="S46" s="72" t="n">
        <f aca="false">SUM(S41:S45)</f>
        <v>184456.873070975</v>
      </c>
      <c r="T46" s="72" t="n">
        <f aca="false">SUM(T41:T45)</f>
        <v>194268.193890263</v>
      </c>
      <c r="U46" s="72" t="n">
        <f aca="false">SUM(U41:U45)</f>
        <v>208646.570656317</v>
      </c>
      <c r="V46" s="72" t="n">
        <f aca="false">SUM(V41:V45)</f>
        <v>206146.137450628</v>
      </c>
      <c r="W46" s="72" t="n">
        <f aca="false">SUM(W41:W45)</f>
        <v>199049.241636833</v>
      </c>
      <c r="X46" s="72" t="n">
        <f aca="false">SUM(X41:X45)</f>
        <v>198365.943047602</v>
      </c>
      <c r="Y46" s="72" t="n">
        <f aca="false">SUM(Y41:Y45)</f>
        <v>227450.059625019</v>
      </c>
      <c r="Z46" s="72" t="n">
        <f aca="false">SUM(Z41:Z45)</f>
        <v>262261.961091723</v>
      </c>
      <c r="AA46" s="72" t="n">
        <f aca="false">SUM(AA41:AA45)</f>
        <v>377086.330983934</v>
      </c>
      <c r="AB46" s="72" t="n">
        <f aca="false">SUM(AB41:AB45)</f>
        <v>335682.893984594</v>
      </c>
    </row>
    <row r="47" customFormat="false" ht="15" hidden="false" customHeight="true" outlineLevel="0" collapsed="false">
      <c r="A47" s="28" t="s">
        <v>1152</v>
      </c>
      <c r="B47" s="55" t="s">
        <v>1159</v>
      </c>
      <c r="C47" s="56" t="n">
        <f aca="false">SUM(E47:P47)</f>
        <v>958112.575126889</v>
      </c>
      <c r="D47" s="56" t="n">
        <f aca="false">SUM(Q47:AB47)</f>
        <v>1168378.64240318</v>
      </c>
      <c r="E47" s="69" t="n">
        <f aca="false">E41</f>
        <v>59502.06</v>
      </c>
      <c r="F47" s="69" t="n">
        <f aca="false">F41</f>
        <v>62244</v>
      </c>
      <c r="G47" s="69" t="n">
        <f aca="false">G41</f>
        <v>66555.76</v>
      </c>
      <c r="H47" s="69" t="n">
        <f aca="false">H41</f>
        <v>67438.9</v>
      </c>
      <c r="I47" s="69" t="n">
        <f aca="false">I41</f>
        <v>81755.04</v>
      </c>
      <c r="J47" s="69" t="n">
        <f aca="false">J41</f>
        <v>73114.56</v>
      </c>
      <c r="K47" s="69" t="n">
        <f aca="false">K41</f>
        <v>67383.24</v>
      </c>
      <c r="L47" s="69" t="n">
        <f aca="false">L41</f>
        <v>69665.28</v>
      </c>
      <c r="M47" s="69" t="n">
        <f aca="false">M41</f>
        <v>77637.5738606384</v>
      </c>
      <c r="N47" s="69" t="n">
        <f aca="false">N41</f>
        <v>89520.2331828926</v>
      </c>
      <c r="O47" s="69" t="n">
        <f aca="false">O41</f>
        <v>128714.267746809</v>
      </c>
      <c r="P47" s="69" t="n">
        <f aca="false">P41</f>
        <v>114581.660336549</v>
      </c>
      <c r="Q47" s="69" t="n">
        <f aca="false">Q41</f>
        <v>72778.1308032345</v>
      </c>
      <c r="R47" s="69" t="n">
        <f aca="false">R41</f>
        <v>69001.5512241978</v>
      </c>
      <c r="S47" s="69" t="n">
        <f aca="false">S41</f>
        <v>79118.4550081585</v>
      </c>
      <c r="T47" s="69" t="n">
        <f aca="false">T41</f>
        <v>83326.7912543915</v>
      </c>
      <c r="U47" s="69" t="n">
        <f aca="false">U41</f>
        <v>89494.0591708205</v>
      </c>
      <c r="V47" s="69" t="n">
        <f aca="false">V41</f>
        <v>88421.5569170872</v>
      </c>
      <c r="W47" s="69" t="n">
        <f aca="false">W41</f>
        <v>85377.5096945945</v>
      </c>
      <c r="X47" s="69" t="n">
        <f aca="false">X41</f>
        <v>85084.4247702479</v>
      </c>
      <c r="Y47" s="69" t="n">
        <f aca="false">Y41</f>
        <v>97559.3753132782</v>
      </c>
      <c r="Z47" s="69" t="n">
        <f aca="false">Z41</f>
        <v>112491.125017623</v>
      </c>
      <c r="AA47" s="69" t="n">
        <f aca="false">AA41</f>
        <v>161742.34885064</v>
      </c>
      <c r="AB47" s="69" t="n">
        <f aca="false">AB41</f>
        <v>143983.314378908</v>
      </c>
    </row>
    <row r="48" customFormat="false" ht="15" hidden="false" customHeight="true" outlineLevel="0" collapsed="false">
      <c r="A48" s="28" t="s">
        <v>1154</v>
      </c>
      <c r="B48" s="55" t="s">
        <v>1159</v>
      </c>
      <c r="C48" s="56" t="n">
        <f aca="false">SUM(E48:P48)</f>
        <v>377264.547832284</v>
      </c>
      <c r="D48" s="56" t="n">
        <f aca="false">SUM(Q48:AB48)</f>
        <v>463596.094684376</v>
      </c>
      <c r="E48" s="69" t="n">
        <f aca="false">E42</f>
        <v>24669.8</v>
      </c>
      <c r="F48" s="69" t="n">
        <f aca="false">F42</f>
        <v>22571.88</v>
      </c>
      <c r="G48" s="69" t="n">
        <f aca="false">G42</f>
        <v>26660.25</v>
      </c>
      <c r="H48" s="69" t="n">
        <f aca="false">H42</f>
        <v>27166.72</v>
      </c>
      <c r="I48" s="69" t="n">
        <f aca="false">I42</f>
        <v>29016.7</v>
      </c>
      <c r="J48" s="69" t="n">
        <f aca="false">J42</f>
        <v>29559.6</v>
      </c>
      <c r="K48" s="69" t="n">
        <f aca="false">K42</f>
        <v>26394.57</v>
      </c>
      <c r="L48" s="69" t="n">
        <f aca="false">L42</f>
        <v>28362.8</v>
      </c>
      <c r="M48" s="69" t="n">
        <f aca="false">M42</f>
        <v>30805.4895359355</v>
      </c>
      <c r="N48" s="69" t="n">
        <f aca="false">N42</f>
        <v>35520.3604316678</v>
      </c>
      <c r="O48" s="69" t="n">
        <f aca="false">O42</f>
        <v>51071.9981450915</v>
      </c>
      <c r="P48" s="69" t="n">
        <f aca="false">P42</f>
        <v>45464.3797195888</v>
      </c>
      <c r="Q48" s="69" t="n">
        <f aca="false">Q42</f>
        <v>28877.3313670051</v>
      </c>
      <c r="R48" s="69" t="n">
        <f aca="false">R42</f>
        <v>27378.8380870312</v>
      </c>
      <c r="S48" s="69" t="n">
        <f aca="false">S42</f>
        <v>31393.0821979085</v>
      </c>
      <c r="T48" s="69" t="n">
        <f aca="false">T42</f>
        <v>33062.890407394</v>
      </c>
      <c r="U48" s="69" t="n">
        <f aca="false">U42</f>
        <v>35509.9749544446</v>
      </c>
      <c r="V48" s="69" t="n">
        <f aca="false">V42</f>
        <v>35084.4212526512</v>
      </c>
      <c r="W48" s="69" t="n">
        <f aca="false">W42</f>
        <v>33876.586435096</v>
      </c>
      <c r="X48" s="69" t="n">
        <f aca="false">X42</f>
        <v>33760.2944887981</v>
      </c>
      <c r="Y48" s="69" t="n">
        <f aca="false">Y42</f>
        <v>38710.1781508566</v>
      </c>
      <c r="Z48" s="69" t="n">
        <f aca="false">Z42</f>
        <v>44634.8849184338</v>
      </c>
      <c r="AA48" s="69" t="n">
        <f aca="false">AA42</f>
        <v>64177.072869122</v>
      </c>
      <c r="AB48" s="69" t="n">
        <f aca="false">AB42</f>
        <v>57130.5395556353</v>
      </c>
    </row>
    <row r="49" customFormat="false" ht="15" hidden="false" customHeight="true" outlineLevel="0" collapsed="false">
      <c r="A49" s="28" t="s">
        <v>1155</v>
      </c>
      <c r="B49" s="55" t="s">
        <v>1159</v>
      </c>
      <c r="C49" s="56" t="n">
        <f aca="false">SUM(E49:P49)</f>
        <v>460328.294029518</v>
      </c>
      <c r="D49" s="56" t="n">
        <f aca="false">SUM(Q49:AB49)</f>
        <v>549522.555601145</v>
      </c>
      <c r="E49" s="69" t="n">
        <f aca="false">E43</f>
        <v>28879.2</v>
      </c>
      <c r="F49" s="69" t="n">
        <f aca="false">F43</f>
        <v>28888.51</v>
      </c>
      <c r="G49" s="69" t="n">
        <f aca="false">G43</f>
        <v>34959.05</v>
      </c>
      <c r="H49" s="69" t="n">
        <f aca="false">H43</f>
        <v>34440.86</v>
      </c>
      <c r="I49" s="69" t="n">
        <f aca="false">I43</f>
        <v>36800.55</v>
      </c>
      <c r="J49" s="69" t="n">
        <f aca="false">J43</f>
        <v>34910.2</v>
      </c>
      <c r="K49" s="69" t="n">
        <f aca="false">K43</f>
        <v>35064.72</v>
      </c>
      <c r="L49" s="69" t="n">
        <f aca="false">L43</f>
        <v>33336.84</v>
      </c>
      <c r="M49" s="69" t="n">
        <f aca="false">M43</f>
        <v>36515.2155732819</v>
      </c>
      <c r="N49" s="69" t="n">
        <f aca="false">N43</f>
        <v>42103.9768541901</v>
      </c>
      <c r="O49" s="69" t="n">
        <f aca="false">O43</f>
        <v>60538.0745483951</v>
      </c>
      <c r="P49" s="69" t="n">
        <f aca="false">P43</f>
        <v>53891.097053651</v>
      </c>
      <c r="Q49" s="69" t="n">
        <f aca="false">Q43</f>
        <v>34229.6777597781</v>
      </c>
      <c r="R49" s="69" t="n">
        <f aca="false">R43</f>
        <v>32453.4422258635</v>
      </c>
      <c r="S49" s="69" t="n">
        <f aca="false">S43</f>
        <v>37211.7171723295</v>
      </c>
      <c r="T49" s="69" t="n">
        <f aca="false">T43</f>
        <v>39191.0204606045</v>
      </c>
      <c r="U49" s="69" t="n">
        <f aca="false">U43</f>
        <v>42091.6664528508</v>
      </c>
      <c r="V49" s="69" t="n">
        <f aca="false">V43</f>
        <v>41587.2373594302</v>
      </c>
      <c r="W49" s="69" t="n">
        <f aca="false">W43</f>
        <v>40155.5331598103</v>
      </c>
      <c r="X49" s="69" t="n">
        <f aca="false">X43</f>
        <v>40017.6867709857</v>
      </c>
      <c r="Y49" s="69" t="n">
        <f aca="false">Y43</f>
        <v>45885.0198893861</v>
      </c>
      <c r="Z49" s="69" t="n">
        <f aca="false">Z43</f>
        <v>52907.8573149753</v>
      </c>
      <c r="AA49" s="69" t="n">
        <f aca="false">AA43</f>
        <v>76072.1444775133</v>
      </c>
      <c r="AB49" s="69" t="n">
        <f aca="false">AB43</f>
        <v>67719.5525576178</v>
      </c>
    </row>
    <row r="50" customFormat="false" ht="15" hidden="false" customHeight="true" outlineLevel="0" collapsed="false">
      <c r="A50" s="28" t="s">
        <v>1156</v>
      </c>
      <c r="B50" s="55" t="s">
        <v>1159</v>
      </c>
      <c r="C50" s="56" t="n">
        <f aca="false">SUM(E50:P50)</f>
        <v>270025.033898804</v>
      </c>
      <c r="D50" s="56" t="n">
        <f aca="false">SUM(Q50:AB50)</f>
        <v>328629.239686678</v>
      </c>
      <c r="E50" s="69" t="n">
        <f aca="false">E44</f>
        <v>16873.42</v>
      </c>
      <c r="F50" s="69" t="n">
        <f aca="false">F44</f>
        <v>17050.88</v>
      </c>
      <c r="G50" s="69" t="n">
        <f aca="false">G44</f>
        <v>19935.4</v>
      </c>
      <c r="H50" s="69" t="n">
        <f aca="false">H44</f>
        <v>18566.52</v>
      </c>
      <c r="I50" s="69" t="n">
        <f aca="false">I44</f>
        <v>21553.51</v>
      </c>
      <c r="J50" s="69" t="n">
        <f aca="false">J44</f>
        <v>20544.52</v>
      </c>
      <c r="K50" s="69" t="n">
        <f aca="false">K44</f>
        <v>19813.63</v>
      </c>
      <c r="L50" s="69" t="n">
        <f aca="false">L44</f>
        <v>20239.05</v>
      </c>
      <c r="M50" s="69" t="n">
        <f aca="false">M44</f>
        <v>21837.0791308384</v>
      </c>
      <c r="N50" s="69" t="n">
        <f aca="false">N44</f>
        <v>25179.3084020756</v>
      </c>
      <c r="O50" s="69" t="n">
        <f aca="false">O44</f>
        <v>36203.3936699305</v>
      </c>
      <c r="P50" s="69" t="n">
        <f aca="false">P44</f>
        <v>32228.3226959599</v>
      </c>
      <c r="Q50" s="69" t="n">
        <f aca="false">Q44</f>
        <v>20470.2661651627</v>
      </c>
      <c r="R50" s="69" t="n">
        <f aca="false">R44</f>
        <v>19408.0296344415</v>
      </c>
      <c r="S50" s="69" t="n">
        <f aca="false">S44</f>
        <v>22253.6057840259</v>
      </c>
      <c r="T50" s="69" t="n">
        <f aca="false">T44</f>
        <v>23437.2822830253</v>
      </c>
      <c r="U50" s="69" t="n">
        <f aca="false">U44</f>
        <v>25171.9464516131</v>
      </c>
      <c r="V50" s="69" t="n">
        <f aca="false">V44</f>
        <v>24870.2843128037</v>
      </c>
      <c r="W50" s="69" t="n">
        <f aca="false">W44</f>
        <v>24014.0867686235</v>
      </c>
      <c r="X50" s="69" t="n">
        <f aca="false">X44</f>
        <v>23931.6509277445</v>
      </c>
      <c r="Y50" s="69" t="n">
        <f aca="false">Y44</f>
        <v>27440.4736358116</v>
      </c>
      <c r="Z50" s="69" t="n">
        <f aca="false">Z44</f>
        <v>31640.3189380482</v>
      </c>
      <c r="AA50" s="69" t="n">
        <f aca="false">AA44</f>
        <v>45493.1844856346</v>
      </c>
      <c r="AB50" s="69" t="n">
        <f aca="false">AB44</f>
        <v>40498.1102997432</v>
      </c>
    </row>
    <row r="51" customFormat="false" ht="15" hidden="false" customHeight="true" outlineLevel="0" collapsed="false">
      <c r="A51" s="28" t="s">
        <v>1157</v>
      </c>
      <c r="B51" s="55" t="s">
        <v>1159</v>
      </c>
      <c r="C51" s="56" t="n">
        <f aca="false">SUM(E51:P51)</f>
        <v>175032.052622986</v>
      </c>
      <c r="D51" s="56" t="n">
        <f aca="false">SUM(Q51:AB51)</f>
        <v>213833.015600866</v>
      </c>
      <c r="E51" s="69" t="n">
        <f aca="false">E45</f>
        <v>10730.52</v>
      </c>
      <c r="F51" s="69" t="n">
        <f aca="false">F45</f>
        <v>10661.31</v>
      </c>
      <c r="G51" s="69" t="n">
        <f aca="false">G45</f>
        <v>12597.12</v>
      </c>
      <c r="H51" s="69" t="n">
        <f aca="false">H45</f>
        <v>13250.38</v>
      </c>
      <c r="I51" s="69" t="n">
        <f aca="false">I45</f>
        <v>13398.84</v>
      </c>
      <c r="J51" s="69" t="n">
        <f aca="false">J45</f>
        <v>13474.37</v>
      </c>
      <c r="K51" s="69" t="n">
        <f aca="false">K45</f>
        <v>13146.27</v>
      </c>
      <c r="L51" s="69" t="n">
        <f aca="false">L45</f>
        <v>12653.28</v>
      </c>
      <c r="M51" s="69" t="n">
        <f aca="false">M45</f>
        <v>14208.9866589897</v>
      </c>
      <c r="N51" s="69" t="n">
        <f aca="false">N45</f>
        <v>16383.7139126555</v>
      </c>
      <c r="O51" s="69" t="n">
        <f aca="false">O45</f>
        <v>23556.8838938599</v>
      </c>
      <c r="P51" s="69" t="n">
        <f aca="false">P45</f>
        <v>20970.3781574805</v>
      </c>
      <c r="Q51" s="69" t="n">
        <f aca="false">Q45</f>
        <v>13319.6265445596</v>
      </c>
      <c r="R51" s="69" t="n">
        <f aca="false">R45</f>
        <v>12628.4487270833</v>
      </c>
      <c r="S51" s="69" t="n">
        <f aca="false">S45</f>
        <v>14480.0129085532</v>
      </c>
      <c r="T51" s="69" t="n">
        <f aca="false">T45</f>
        <v>15250.2094848476</v>
      </c>
      <c r="U51" s="69" t="n">
        <f aca="false">U45</f>
        <v>16378.9236265885</v>
      </c>
      <c r="V51" s="69" t="n">
        <f aca="false">V45</f>
        <v>16182.6376086562</v>
      </c>
      <c r="W51" s="69" t="n">
        <f aca="false">W45</f>
        <v>15625.5255787082</v>
      </c>
      <c r="X51" s="69" t="n">
        <f aca="false">X45</f>
        <v>15571.8860898253</v>
      </c>
      <c r="Y51" s="69" t="n">
        <f aca="false">Y45</f>
        <v>17855.0126356864</v>
      </c>
      <c r="Z51" s="69" t="n">
        <f aca="false">Z45</f>
        <v>20587.774902643</v>
      </c>
      <c r="AA51" s="69" t="n">
        <f aca="false">AA45</f>
        <v>29601.5803010244</v>
      </c>
      <c r="AB51" s="69" t="n">
        <f aca="false">AB45</f>
        <v>26351.37719269</v>
      </c>
    </row>
    <row r="52" customFormat="false" ht="15" hidden="false" customHeight="true" outlineLevel="0" collapsed="false">
      <c r="A52" s="70" t="s">
        <v>1158</v>
      </c>
      <c r="B52" s="71" t="s">
        <v>310</v>
      </c>
      <c r="C52" s="72" t="n">
        <f aca="false">SUM(E52:P52)</f>
        <v>2240762.50351048</v>
      </c>
      <c r="D52" s="72" t="n">
        <f aca="false">SUM(Q52:AB52)</f>
        <v>2723959.54797625</v>
      </c>
      <c r="E52" s="72" t="n">
        <f aca="false">E46</f>
        <v>140655</v>
      </c>
      <c r="F52" s="72" t="n">
        <f aca="false">F46</f>
        <v>141416.58</v>
      </c>
      <c r="G52" s="72" t="n">
        <f aca="false">G46</f>
        <v>160707.58</v>
      </c>
      <c r="H52" s="72" t="n">
        <f aca="false">H46</f>
        <v>160863.38</v>
      </c>
      <c r="I52" s="72" t="n">
        <f aca="false">I46</f>
        <v>182524.64</v>
      </c>
      <c r="J52" s="72" t="n">
        <f aca="false">J46</f>
        <v>171603.25</v>
      </c>
      <c r="K52" s="72" t="n">
        <f aca="false">K46</f>
        <v>161802.43</v>
      </c>
      <c r="L52" s="72" t="n">
        <f aca="false">L46</f>
        <v>164257.25</v>
      </c>
      <c r="M52" s="72" t="n">
        <f aca="false">M46</f>
        <v>181004.344759684</v>
      </c>
      <c r="N52" s="72" t="n">
        <f aca="false">N46</f>
        <v>208707.592783482</v>
      </c>
      <c r="O52" s="72" t="n">
        <f aca="false">O46</f>
        <v>300084.618004086</v>
      </c>
      <c r="P52" s="72" t="n">
        <f aca="false">P46</f>
        <v>267135.837963229</v>
      </c>
      <c r="Q52" s="72" t="n">
        <f aca="false">Q46</f>
        <v>169675.03263974</v>
      </c>
      <c r="R52" s="72" t="n">
        <f aca="false">R46</f>
        <v>160870.309898617</v>
      </c>
      <c r="S52" s="72" t="n">
        <f aca="false">S46</f>
        <v>184456.873070975</v>
      </c>
      <c r="T52" s="72" t="n">
        <f aca="false">T46</f>
        <v>194268.193890263</v>
      </c>
      <c r="U52" s="72" t="n">
        <f aca="false">U46</f>
        <v>208646.570656317</v>
      </c>
      <c r="V52" s="72" t="n">
        <f aca="false">V46</f>
        <v>206146.137450628</v>
      </c>
      <c r="W52" s="72" t="n">
        <f aca="false">W46</f>
        <v>199049.241636833</v>
      </c>
      <c r="X52" s="72" t="n">
        <f aca="false">X46</f>
        <v>198365.943047602</v>
      </c>
      <c r="Y52" s="72" t="n">
        <f aca="false">Y46</f>
        <v>227450.059625019</v>
      </c>
      <c r="Z52" s="72" t="n">
        <f aca="false">Z46</f>
        <v>262261.961091723</v>
      </c>
      <c r="AA52" s="72" t="n">
        <f aca="false">AA46</f>
        <v>377086.330983934</v>
      </c>
      <c r="AB52" s="72" t="n">
        <f aca="false">AB46</f>
        <v>335682.893984594</v>
      </c>
    </row>
    <row r="53" customFormat="false" ht="15" hidden="false" customHeight="true" outlineLevel="0" collapsed="false">
      <c r="A53" s="28" t="s">
        <v>1160</v>
      </c>
      <c r="B53" s="55" t="s">
        <v>1161</v>
      </c>
      <c r="C53" s="56" t="n">
        <f aca="false">SUM(E53:P53)</f>
        <v>329744.347941297</v>
      </c>
      <c r="D53" s="56" t="n">
        <f aca="false">SUM(Q53:AB53)</f>
        <v>401533.052388394</v>
      </c>
      <c r="E53" s="69" t="n">
        <f aca="false">E25*E14</f>
        <v>20029.8</v>
      </c>
      <c r="F53" s="69" t="n">
        <f aca="false">F25*F14</f>
        <v>20893.6</v>
      </c>
      <c r="G53" s="69" t="n">
        <f aca="false">G25*G14</f>
        <v>23045.56</v>
      </c>
      <c r="H53" s="69" t="n">
        <f aca="false">H25*H14</f>
        <v>23013.56</v>
      </c>
      <c r="I53" s="69" t="n">
        <f aca="false">I25*I14</f>
        <v>28249.28</v>
      </c>
      <c r="J53" s="69" t="n">
        <f aca="false">J25*J14</f>
        <v>25923.36</v>
      </c>
      <c r="K53" s="69" t="n">
        <f aca="false">K25*K14</f>
        <v>23588.18</v>
      </c>
      <c r="L53" s="69" t="n">
        <f aca="false">L25*L14</f>
        <v>23941.65</v>
      </c>
      <c r="M53" s="69" t="n">
        <f aca="false">M25*M14</f>
        <v>26681.4634236818</v>
      </c>
      <c r="N53" s="69" t="n">
        <f aca="false">N25*N14</f>
        <v>30765.1399776646</v>
      </c>
      <c r="O53" s="69" t="n">
        <f aca="false">O25*O14</f>
        <v>44234.831876085</v>
      </c>
      <c r="P53" s="69" t="n">
        <f aca="false">P25*P14</f>
        <v>39377.9226638656</v>
      </c>
      <c r="Q53" s="69" t="n">
        <f aca="false">Q25*Q14</f>
        <v>25011.4337492831</v>
      </c>
      <c r="R53" s="69" t="n">
        <f aca="false">R25*R14</f>
        <v>23713.5483969463</v>
      </c>
      <c r="S53" s="69" t="n">
        <f aca="false">S25*S14</f>
        <v>27190.393239589</v>
      </c>
      <c r="T53" s="69" t="n">
        <f aca="false">T25*T14</f>
        <v>28636.6590622431</v>
      </c>
      <c r="U53" s="69" t="n">
        <f aca="false">U25*U14</f>
        <v>30756.1448363816</v>
      </c>
      <c r="V53" s="69" t="n">
        <f aca="false">V25*V14</f>
        <v>30387.5613241486</v>
      </c>
      <c r="W53" s="69" t="n">
        <f aca="false">W25*W14</f>
        <v>29341.4230873627</v>
      </c>
      <c r="X53" s="69" t="n">
        <f aca="false">X25*X14</f>
        <v>29240.6995034055</v>
      </c>
      <c r="Y53" s="69" t="n">
        <f aca="false">Y25*Y14</f>
        <v>33527.9269381986</v>
      </c>
      <c r="Z53" s="69" t="n">
        <f aca="false">Z25*Z14</f>
        <v>38659.4748959334</v>
      </c>
      <c r="AA53" s="69" t="n">
        <f aca="false">AA25*AA14</f>
        <v>55585.4897354884</v>
      </c>
      <c r="AB53" s="69" t="n">
        <f aca="false">AB25*AB14</f>
        <v>49482.2976194135</v>
      </c>
    </row>
    <row r="54" customFormat="false" ht="15" hidden="false" customHeight="true" outlineLevel="0" collapsed="false">
      <c r="A54" s="28" t="s">
        <v>1162</v>
      </c>
      <c r="B54" s="55" t="s">
        <v>1161</v>
      </c>
      <c r="C54" s="56" t="n">
        <f aca="false">SUM(E54:P54)</f>
        <v>111463.970866517</v>
      </c>
      <c r="D54" s="56" t="n">
        <f aca="false">SUM(Q54:AB54)</f>
        <v>136795.72862301</v>
      </c>
      <c r="E54" s="69" t="n">
        <f aca="false">E26*E15</f>
        <v>7224.48</v>
      </c>
      <c r="F54" s="69" t="n">
        <f aca="false">F26*F15</f>
        <v>6677.08</v>
      </c>
      <c r="G54" s="69" t="n">
        <f aca="false">G26*G15</f>
        <v>7867.08</v>
      </c>
      <c r="H54" s="69" t="n">
        <f aca="false">H26*H15</f>
        <v>8031.01</v>
      </c>
      <c r="I54" s="69" t="n">
        <f aca="false">I26*I15</f>
        <v>8449.05</v>
      </c>
      <c r="J54" s="69" t="n">
        <f aca="false">J26*J15</f>
        <v>8826.48</v>
      </c>
      <c r="K54" s="69" t="n">
        <f aca="false">K26*K15</f>
        <v>7963.02</v>
      </c>
      <c r="L54" s="69" t="n">
        <f aca="false">L26*L15</f>
        <v>8369.16</v>
      </c>
      <c r="M54" s="69" t="n">
        <f aca="false">M26*M15</f>
        <v>9089.93719959138</v>
      </c>
      <c r="N54" s="69" t="n">
        <f aca="false">N26*N15</f>
        <v>10481.1788578806</v>
      </c>
      <c r="O54" s="69" t="n">
        <f aca="false">O26*O15</f>
        <v>15070.0820792014</v>
      </c>
      <c r="P54" s="69" t="n">
        <f aca="false">P26*P15</f>
        <v>13415.4127298431</v>
      </c>
      <c r="Q54" s="69" t="n">
        <f aca="false">Q26*Q15</f>
        <v>8520.98546629686</v>
      </c>
      <c r="R54" s="69" t="n">
        <f aca="false">R26*R15</f>
        <v>8078.81720297215</v>
      </c>
      <c r="S54" s="69" t="n">
        <f aca="false">S26*S15</f>
        <v>9263.3212449916</v>
      </c>
      <c r="T54" s="69" t="n">
        <f aca="false">T26*T15</f>
        <v>9756.04030215442</v>
      </c>
      <c r="U54" s="69" t="n">
        <f aca="false">U26*U15</f>
        <v>10478.1143607027</v>
      </c>
      <c r="V54" s="69" t="n">
        <f aca="false">V26*V15</f>
        <v>10352.5440002693</v>
      </c>
      <c r="W54" s="69" t="n">
        <f aca="false">W26*W15</f>
        <v>9996.14185232587</v>
      </c>
      <c r="X54" s="69" t="n">
        <f aca="false">X26*X15</f>
        <v>9961.82697843196</v>
      </c>
      <c r="Y54" s="69" t="n">
        <f aca="false">Y26*Y15</f>
        <v>11422.4150850065</v>
      </c>
      <c r="Z54" s="69" t="n">
        <f aca="false">Z26*Z15</f>
        <v>13170.6493528128</v>
      </c>
      <c r="AA54" s="69" t="n">
        <f aca="false">AA26*AA15</f>
        <v>18937.0651407245</v>
      </c>
      <c r="AB54" s="69" t="n">
        <f aca="false">AB26*AB15</f>
        <v>16857.8076363208</v>
      </c>
    </row>
    <row r="55" customFormat="false" ht="15" hidden="false" customHeight="true" outlineLevel="0" collapsed="false">
      <c r="A55" s="28" t="s">
        <v>1163</v>
      </c>
      <c r="B55" s="55" t="s">
        <v>1161</v>
      </c>
      <c r="C55" s="56" t="n">
        <f aca="false">SUM(E55:P55)</f>
        <v>148609.94354004</v>
      </c>
      <c r="D55" s="56" t="n">
        <f aca="false">SUM(Q55:AB55)</f>
        <v>180515.984623595</v>
      </c>
      <c r="E55" s="69" t="n">
        <f aca="false">E27*E16</f>
        <v>9242.1</v>
      </c>
      <c r="F55" s="69" t="n">
        <f aca="false">F27*F16</f>
        <v>9102.03</v>
      </c>
      <c r="G55" s="69" t="n">
        <f aca="false">G27*G16</f>
        <v>11009.66</v>
      </c>
      <c r="H55" s="69" t="n">
        <f aca="false">H27*H16</f>
        <v>11032.19</v>
      </c>
      <c r="I55" s="69" t="n">
        <f aca="false">I27*I16</f>
        <v>11702.4</v>
      </c>
      <c r="J55" s="69" t="n">
        <f aca="false">J27*J16</f>
        <v>11113.96</v>
      </c>
      <c r="K55" s="69" t="n">
        <f aca="false">K27*K16</f>
        <v>11040.96</v>
      </c>
      <c r="L55" s="69" t="n">
        <f aca="false">L27*L16</f>
        <v>10951.02</v>
      </c>
      <c r="M55" s="69" t="n">
        <f aca="false">M27*M16</f>
        <v>11995.1037965003</v>
      </c>
      <c r="N55" s="69" t="n">
        <f aca="false">N27*N16</f>
        <v>13830.9897581706</v>
      </c>
      <c r="O55" s="69" t="n">
        <f aca="false">O27*O16</f>
        <v>19886.5178925467</v>
      </c>
      <c r="P55" s="69" t="n">
        <f aca="false">P27*P16</f>
        <v>17703.012092822</v>
      </c>
      <c r="Q55" s="69" t="n">
        <f aca="false">Q27*Q16</f>
        <v>11244.3136704284</v>
      </c>
      <c r="R55" s="69" t="n">
        <f aca="false">R27*R16</f>
        <v>10660.8273274934</v>
      </c>
      <c r="S55" s="69" t="n">
        <f aca="false">S27*S16</f>
        <v>12223.9018151847</v>
      </c>
      <c r="T55" s="69" t="n">
        <f aca="false">T27*T16</f>
        <v>12874.0951117289</v>
      </c>
      <c r="U55" s="69" t="n">
        <f aca="false">U27*U16</f>
        <v>13826.9458400526</v>
      </c>
      <c r="V55" s="69" t="n">
        <f aca="false">V27*V16</f>
        <v>13661.2428792851</v>
      </c>
      <c r="W55" s="69" t="n">
        <f aca="false">W27*W16</f>
        <v>13190.9337160854</v>
      </c>
      <c r="X55" s="69" t="n">
        <f aca="false">X27*X16</f>
        <v>13145.6517229227</v>
      </c>
      <c r="Y55" s="69" t="n">
        <f aca="false">Y27*Y16</f>
        <v>15073.0474306822</v>
      </c>
      <c r="Z55" s="69" t="n">
        <f aca="false">Z27*Z16</f>
        <v>17380.0217301172</v>
      </c>
      <c r="AA55" s="69" t="n">
        <f aca="false">AA27*AA16</f>
        <v>24989.3983837742</v>
      </c>
      <c r="AB55" s="69" t="n">
        <f aca="false">AB27*AB16</f>
        <v>22245.6049958402</v>
      </c>
    </row>
    <row r="56" customFormat="false" ht="15" hidden="false" customHeight="true" outlineLevel="0" collapsed="false">
      <c r="A56" s="28" t="s">
        <v>1164</v>
      </c>
      <c r="B56" s="55" t="s">
        <v>1161</v>
      </c>
      <c r="C56" s="56" t="n">
        <f aca="false">SUM(E56:P56)</f>
        <v>95045.8997880774</v>
      </c>
      <c r="D56" s="56" t="n">
        <f aca="false">SUM(Q56:AB56)</f>
        <v>116492.68052335</v>
      </c>
      <c r="E56" s="69" t="n">
        <f aca="false">E28*E17</f>
        <v>5805.57</v>
      </c>
      <c r="F56" s="69" t="n">
        <f aca="false">F28*F17</f>
        <v>5877.76</v>
      </c>
      <c r="G56" s="69" t="n">
        <f aca="false">G28*G17</f>
        <v>6911.64</v>
      </c>
      <c r="H56" s="69" t="n">
        <f aca="false">H28*H17</f>
        <v>6361.11</v>
      </c>
      <c r="I56" s="69" t="n">
        <f aca="false">I28*I17</f>
        <v>7753.9</v>
      </c>
      <c r="J56" s="69" t="n">
        <f aca="false">J28*J17</f>
        <v>7266.48</v>
      </c>
      <c r="K56" s="69" t="n">
        <f aca="false">K28*K17</f>
        <v>6970.98</v>
      </c>
      <c r="L56" s="69" t="n">
        <f aca="false">L28*L17</f>
        <v>7174.35</v>
      </c>
      <c r="M56" s="69" t="n">
        <f aca="false">M28*M17</f>
        <v>7740.82027873496</v>
      </c>
      <c r="N56" s="69" t="n">
        <f aca="false">N28*N17</f>
        <v>8925.57561913385</v>
      </c>
      <c r="O56" s="69" t="n">
        <f aca="false">O28*O17</f>
        <v>12833.3996593647</v>
      </c>
      <c r="P56" s="69" t="n">
        <f aca="false">P28*P17</f>
        <v>11424.3142308438</v>
      </c>
      <c r="Q56" s="69" t="n">
        <f aca="false">Q28*Q17</f>
        <v>7256.31163824561</v>
      </c>
      <c r="R56" s="69" t="n">
        <f aca="false">R28*R17</f>
        <v>6879.76942632463</v>
      </c>
      <c r="S56" s="69" t="n">
        <f aca="false">S28*S17</f>
        <v>7888.47088458332</v>
      </c>
      <c r="T56" s="69" t="n">
        <f aca="false">T28*T17</f>
        <v>8308.0612057988</v>
      </c>
      <c r="U56" s="69" t="n">
        <f aca="false">U28*U17</f>
        <v>8922.96595073042</v>
      </c>
      <c r="V56" s="69" t="n">
        <f aca="false">V28*V17</f>
        <v>8816.03258352358</v>
      </c>
      <c r="W56" s="69" t="n">
        <f aca="false">W28*W17</f>
        <v>8512.52718919485</v>
      </c>
      <c r="X56" s="69" t="n">
        <f aca="false">X28*X17</f>
        <v>8483.30528525121</v>
      </c>
      <c r="Y56" s="69" t="n">
        <f aca="false">Y28*Y17</f>
        <v>9727.11476225835</v>
      </c>
      <c r="Z56" s="69" t="n">
        <f aca="false">Z28*Z17</f>
        <v>11215.8783230036</v>
      </c>
      <c r="AA56" s="69" t="n">
        <f aca="false">AA28*AA17</f>
        <v>16126.4500119577</v>
      </c>
      <c r="AB56" s="69" t="n">
        <f aca="false">AB28*AB17</f>
        <v>14355.7932624784</v>
      </c>
    </row>
    <row r="57" customFormat="false" ht="15" hidden="false" customHeight="true" outlineLevel="0" collapsed="false">
      <c r="A57" s="28" t="s">
        <v>1165</v>
      </c>
      <c r="B57" s="55" t="s">
        <v>1161</v>
      </c>
      <c r="C57" s="56" t="n">
        <f aca="false">SUM(E57:P57)</f>
        <v>64336.8969197919</v>
      </c>
      <c r="D57" s="56" t="n">
        <f aca="false">SUM(Q57:AB57)</f>
        <v>78991.9163127814</v>
      </c>
      <c r="E57" s="69" t="n">
        <f aca="false">E29*E18</f>
        <v>3881.88</v>
      </c>
      <c r="F57" s="69" t="n">
        <f aca="false">F29*F18</f>
        <v>3844.17</v>
      </c>
      <c r="G57" s="69" t="n">
        <f aca="false">G29*G18</f>
        <v>4557.6</v>
      </c>
      <c r="H57" s="69" t="n">
        <f aca="false">H29*H18</f>
        <v>4803.15</v>
      </c>
      <c r="I57" s="69" t="n">
        <f aca="false">I29*I18</f>
        <v>4988.88</v>
      </c>
      <c r="J57" s="69" t="n">
        <f aca="false">J29*J18</f>
        <v>5018.3</v>
      </c>
      <c r="K57" s="69" t="n">
        <f aca="false">K29*K18</f>
        <v>4818.66</v>
      </c>
      <c r="L57" s="69" t="n">
        <f aca="false">L29*L18</f>
        <v>4674.24</v>
      </c>
      <c r="M57" s="69" t="n">
        <f aca="false">M29*M18</f>
        <v>5248.93259304432</v>
      </c>
      <c r="N57" s="69" t="n">
        <f aca="false">N29*N18</f>
        <v>6052.29718453168</v>
      </c>
      <c r="O57" s="69" t="n">
        <f aca="false">O29*O18</f>
        <v>8702.13327864678</v>
      </c>
      <c r="P57" s="69" t="n">
        <f aca="false">P29*P18</f>
        <v>7746.6538635691</v>
      </c>
      <c r="Q57" s="69" t="n">
        <f aca="false">Q29*Q18</f>
        <v>4920.39464705137</v>
      </c>
      <c r="R57" s="69" t="n">
        <f aca="false">R29*R18</f>
        <v>4665.06709549477</v>
      </c>
      <c r="S57" s="69" t="n">
        <f aca="false">S29*S18</f>
        <v>5349.0522250101</v>
      </c>
      <c r="T57" s="69" t="n">
        <f aca="false">T29*T18</f>
        <v>5633.57004527317</v>
      </c>
      <c r="U57" s="69" t="n">
        <f aca="false">U29*U18</f>
        <v>6050.52760804669</v>
      </c>
      <c r="V57" s="69" t="n">
        <f aca="false">V29*V18</f>
        <v>5978.01771682006</v>
      </c>
      <c r="W57" s="69" t="n">
        <f aca="false">W29*W18</f>
        <v>5772.21532132547</v>
      </c>
      <c r="X57" s="69" t="n">
        <f aca="false">X29*X18</f>
        <v>5752.40039234927</v>
      </c>
      <c r="Y57" s="69" t="n">
        <f aca="false">Y29*Y18</f>
        <v>6595.80869641949</v>
      </c>
      <c r="Z57" s="69" t="n">
        <f aca="false">Z29*Z18</f>
        <v>7605.31664208252</v>
      </c>
      <c r="AA57" s="69" t="n">
        <f aca="false">AA29*AA18</f>
        <v>10935.1006779475</v>
      </c>
      <c r="AB57" s="69" t="n">
        <f aca="false">AB29*AB18</f>
        <v>9734.44524496093</v>
      </c>
    </row>
    <row r="58" customFormat="false" ht="15" hidden="false" customHeight="true" outlineLevel="0" collapsed="false">
      <c r="A58" s="70" t="s">
        <v>1166</v>
      </c>
      <c r="B58" s="71" t="s">
        <v>310</v>
      </c>
      <c r="C58" s="72" t="n">
        <f aca="false">SUM(E58:P58)</f>
        <v>749201.059055722</v>
      </c>
      <c r="D58" s="72" t="n">
        <f aca="false">SUM(Q58:AB58)</f>
        <v>914329.36247113</v>
      </c>
      <c r="E58" s="72" t="n">
        <f aca="false">SUM(E53:E57)</f>
        <v>46183.83</v>
      </c>
      <c r="F58" s="72" t="n">
        <f aca="false">SUM(F53:F57)</f>
        <v>46394.64</v>
      </c>
      <c r="G58" s="72" t="n">
        <f aca="false">SUM(G53:G57)</f>
        <v>53391.54</v>
      </c>
      <c r="H58" s="72" t="n">
        <f aca="false">SUM(H53:H57)</f>
        <v>53241.02</v>
      </c>
      <c r="I58" s="72" t="n">
        <f aca="false">SUM(I53:I57)</f>
        <v>61143.51</v>
      </c>
      <c r="J58" s="72" t="n">
        <f aca="false">SUM(J53:J57)</f>
        <v>58148.58</v>
      </c>
      <c r="K58" s="72" t="n">
        <f aca="false">SUM(K53:K57)</f>
        <v>54381.8</v>
      </c>
      <c r="L58" s="72" t="n">
        <f aca="false">SUM(L53:L57)</f>
        <v>55110.42</v>
      </c>
      <c r="M58" s="72" t="n">
        <f aca="false">SUM(M53:M57)</f>
        <v>60756.2572915527</v>
      </c>
      <c r="N58" s="72" t="n">
        <f aca="false">SUM(N53:N57)</f>
        <v>70055.1813973814</v>
      </c>
      <c r="O58" s="72" t="n">
        <f aca="false">SUM(O53:O57)</f>
        <v>100726.964785845</v>
      </c>
      <c r="P58" s="72" t="n">
        <f aca="false">SUM(P53:P57)</f>
        <v>89667.3155809436</v>
      </c>
      <c r="Q58" s="72" t="n">
        <f aca="false">SUM(Q53:Q57)</f>
        <v>56953.4391713054</v>
      </c>
      <c r="R58" s="72" t="n">
        <f aca="false">SUM(R53:R57)</f>
        <v>53998.0294492313</v>
      </c>
      <c r="S58" s="72" t="n">
        <f aca="false">SUM(S53:S57)</f>
        <v>61915.1394093588</v>
      </c>
      <c r="T58" s="72" t="n">
        <f aca="false">SUM(T53:T57)</f>
        <v>65208.4257271984</v>
      </c>
      <c r="U58" s="72" t="n">
        <f aca="false">SUM(U53:U57)</f>
        <v>70034.698595914</v>
      </c>
      <c r="V58" s="72" t="n">
        <f aca="false">SUM(V53:V57)</f>
        <v>69195.3985040466</v>
      </c>
      <c r="W58" s="72" t="n">
        <f aca="false">SUM(W53:W57)</f>
        <v>66813.2411662944</v>
      </c>
      <c r="X58" s="72" t="n">
        <f aca="false">SUM(X53:X57)</f>
        <v>66583.8838823607</v>
      </c>
      <c r="Y58" s="72" t="n">
        <f aca="false">SUM(Y53:Y57)</f>
        <v>76346.3129125652</v>
      </c>
      <c r="Z58" s="72" t="n">
        <f aca="false">SUM(Z53:Z57)</f>
        <v>88031.3409439495</v>
      </c>
      <c r="AA58" s="72" t="n">
        <f aca="false">SUM(AA53:AA57)</f>
        <v>126573.503949892</v>
      </c>
      <c r="AB58" s="72" t="n">
        <f aca="false">SUM(AB53:AB57)</f>
        <v>112675.948759014</v>
      </c>
    </row>
    <row r="59" customFormat="false" ht="15" hidden="false" customHeight="true" outlineLevel="0" collapsed="false">
      <c r="A59" s="22" t="s">
        <v>1167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row>
    <row r="60" customFormat="false" ht="15" hidden="false" customHeight="true" outlineLevel="0" collapsed="false">
      <c r="A60" s="28" t="s">
        <v>1129</v>
      </c>
      <c r="B60" s="55" t="s">
        <v>641</v>
      </c>
      <c r="C60" s="117" t="n">
        <f aca="false">IFERROR(SUMIFS(Inputs_Actuals!$E$17:$AB$17,Assumptions!$E$62:$AB$62,"&gt;"&amp;(Assumptions!$C$10-Assumptions!$C$30),Assumptions!$E$62:$AB$62,"&lt;="&amp;Assumptions!$C$10)/SUMIFS(Inputs_Actuals!$E$22:$AB$22,Assumptions!$E$62:$AB$62,"&gt;"&amp;(Assumptions!$C$10-Assumptions!$C$30),Assumptions!$E$62:$AB$62,"&lt;="&amp;Assumptions!$C$10),0)</f>
        <v>0.175753049539457</v>
      </c>
    </row>
    <row r="61" customFormat="false" ht="15" hidden="false" customHeight="true" outlineLevel="0" collapsed="false">
      <c r="A61" s="28" t="s">
        <v>1130</v>
      </c>
      <c r="B61" s="55" t="s">
        <v>641</v>
      </c>
      <c r="C61" s="117" t="n">
        <f aca="false">IFERROR(SUMIFS(Inputs_Actuals!$E$18:$AB$18,Assumptions!$E$62:$AB$62,"&gt;"&amp;(Assumptions!$C$10-Assumptions!$C$30),Assumptions!$E$62:$AB$62,"&lt;="&amp;Assumptions!$C$10)/SUMIFS(Inputs_Actuals!$E$22:$AB$22,Assumptions!$E$62:$AB$62,"&gt;"&amp;(Assumptions!$C$10-Assumptions!$C$30),Assumptions!$E$62:$AB$62,"&lt;="&amp;Assumptions!$C$10),0)</f>
        <v>0.200273836196166</v>
      </c>
    </row>
    <row r="62" customFormat="false" ht="15" hidden="false" customHeight="true" outlineLevel="0" collapsed="false">
      <c r="A62" s="28" t="s">
        <v>1131</v>
      </c>
      <c r="B62" s="55" t="s">
        <v>641</v>
      </c>
      <c r="C62" s="117" t="n">
        <f aca="false">IFERROR(SUMIFS(Inputs_Actuals!$E$19:$AB$19,Assumptions!$E$62:$AB$62,"&gt;"&amp;(Assumptions!$C$10-Assumptions!$C$30),Assumptions!$E$62:$AB$62,"&lt;="&amp;Assumptions!$C$10)/SUMIFS(Inputs_Actuals!$E$22:$AB$22,Assumptions!$E$62:$AB$62,"&gt;"&amp;(Assumptions!$C$10-Assumptions!$C$30),Assumptions!$E$62:$AB$62,"&lt;="&amp;Assumptions!$C$10),0)</f>
        <v>0.212720936021907</v>
      </c>
    </row>
    <row r="63" customFormat="false" ht="15" hidden="false" customHeight="true" outlineLevel="0" collapsed="false">
      <c r="A63" s="28" t="s">
        <v>1132</v>
      </c>
      <c r="B63" s="55" t="s">
        <v>641</v>
      </c>
      <c r="C63" s="117" t="n">
        <f aca="false">IFERROR(SUMIFS(Inputs_Actuals!$E$20:$AB$20,Assumptions!$E$62:$AB$62,"&gt;"&amp;(Assumptions!$C$10-Assumptions!$C$30),Assumptions!$E$62:$AB$62,"&lt;="&amp;Assumptions!$C$10)/SUMIFS(Inputs_Actuals!$E$22:$AB$22,Assumptions!$E$62:$AB$62,"&gt;"&amp;(Assumptions!$C$10-Assumptions!$C$30),Assumptions!$E$62:$AB$62,"&lt;="&amp;Assumptions!$C$10),0)</f>
        <v>0.248693054518297</v>
      </c>
    </row>
    <row r="64" customFormat="false" ht="15" hidden="false" customHeight="true" outlineLevel="0" collapsed="false">
      <c r="A64" s="28" t="s">
        <v>1133</v>
      </c>
      <c r="B64" s="55" t="s">
        <v>641</v>
      </c>
      <c r="C64" s="117" t="n">
        <f aca="false">IFERROR(SUMIFS(Inputs_Actuals!$E$21:$AB$21,Assumptions!$E$62:$AB$62,"&gt;"&amp;(Assumptions!$C$10-Assumptions!$C$30),Assumptions!$E$62:$AB$62,"&lt;="&amp;Assumptions!$C$10)/SUMIFS(Inputs_Actuals!$E$22:$AB$22,Assumptions!$E$62:$AB$62,"&gt;"&amp;(Assumptions!$C$10-Assumptions!$C$30),Assumptions!$E$62:$AB$62,"&lt;="&amp;Assumptions!$C$10),0)</f>
        <v>0.162559123724172</v>
      </c>
    </row>
    <row r="65" customFormat="false" ht="15" hidden="false" customHeight="true" outlineLevel="0" collapsed="false">
      <c r="A65" s="28" t="s">
        <v>1134</v>
      </c>
      <c r="B65" s="55" t="s">
        <v>1135</v>
      </c>
      <c r="C65" s="56" t="n">
        <f aca="false">SUM(E65:P65)</f>
        <v>6656.06432367389</v>
      </c>
      <c r="D65" s="56" t="n">
        <f aca="false">SUM(Q65:AB65)</f>
        <v>8131.95150892305</v>
      </c>
      <c r="E65" s="57" t="n">
        <f aca="false">IF(E$5="A",Inputs_Actuals!E17,Channel_PL!E48*Volume_Price!$C$60)</f>
        <v>470</v>
      </c>
      <c r="F65" s="57" t="n">
        <f aca="false">IF(F$5="A",Inputs_Actuals!F17,Channel_PL!F48*Volume_Price!$C$60)</f>
        <v>405</v>
      </c>
      <c r="G65" s="57" t="n">
        <f aca="false">IF(G$5="A",Inputs_Actuals!G17,Channel_PL!G48*Volume_Price!$C$60)</f>
        <v>495</v>
      </c>
      <c r="H65" s="57" t="n">
        <f aca="false">IF(H$5="A",Inputs_Actuals!H17,Channel_PL!H48*Volume_Price!$C$60)</f>
        <v>505</v>
      </c>
      <c r="I65" s="57" t="n">
        <f aca="false">IF(I$5="A",Inputs_Actuals!I17,Channel_PL!I48*Volume_Price!$C$60)</f>
        <v>550</v>
      </c>
      <c r="J65" s="57" t="n">
        <f aca="false">IF(J$5="A",Inputs_Actuals!J17,Channel_PL!J48*Volume_Price!$C$60)</f>
        <v>537</v>
      </c>
      <c r="K65" s="57" t="n">
        <f aca="false">IF(K$5="A",Inputs_Actuals!K17,Channel_PL!K48*Volume_Price!$C$60)</f>
        <v>441</v>
      </c>
      <c r="L65" s="57" t="n">
        <f aca="false">IF(L$5="A",Inputs_Actuals!L17,Channel_PL!L48*Volume_Price!$C$60)</f>
        <v>434</v>
      </c>
      <c r="M65" s="57" t="n">
        <f aca="false">IF(M$5="A",Inputs_Actuals!M17,Channel_PL!M48*Volume_Price!$C$60)</f>
        <v>531.849172838095</v>
      </c>
      <c r="N65" s="57" t="n">
        <f aca="false">IF(N$5="A",Inputs_Actuals!N17,Channel_PL!N48*Volume_Price!$C$60)</f>
        <v>614.193873850554</v>
      </c>
      <c r="O65" s="57" t="n">
        <f aca="false">IF(O$5="A",Inputs_Actuals!O17,Channel_PL!O48*Volume_Price!$C$60)</f>
        <v>884.461043105674</v>
      </c>
      <c r="P65" s="57" t="n">
        <f aca="false">IF(P$5="A",Inputs_Actuals!P17,Channel_PL!P48*Volume_Price!$C$60)</f>
        <v>788.560233879562</v>
      </c>
      <c r="Q65" s="57" t="n">
        <f aca="false">IF(Q$5="A",Inputs_Actuals!Q17,Channel_PL!Q48*Volume_Price!$C$60)</f>
        <v>501.635659452894</v>
      </c>
      <c r="R65" s="57" t="n">
        <f aca="false">IF(R$5="A",Inputs_Actuals!R17,Channel_PL!R48*Volume_Price!$C$60)</f>
        <v>476.336763195604</v>
      </c>
      <c r="S65" s="57" t="n">
        <f aca="false">IF(S$5="A",Inputs_Actuals!S17,Channel_PL!S48*Volume_Price!$C$60)</f>
        <v>547.016955174216</v>
      </c>
      <c r="T65" s="57" t="n">
        <f aca="false">IF(T$5="A",Inputs_Actuals!T17,Channel_PL!T48*Volume_Price!$C$60)</f>
        <v>576.999439202221</v>
      </c>
      <c r="U65" s="57" t="n">
        <f aca="false">IF(U$5="A",Inputs_Actuals!U17,Channel_PL!U48*Volume_Price!$C$60)</f>
        <v>620.658464050473</v>
      </c>
      <c r="V65" s="57" t="n">
        <f aca="false">IF(V$5="A",Inputs_Actuals!V17,Channel_PL!V48*Volume_Price!$C$60)</f>
        <v>614.164028188723</v>
      </c>
      <c r="W65" s="57" t="n">
        <f aca="false">IF(W$5="A",Inputs_Actuals!W17,Channel_PL!W48*Volume_Price!$C$60)</f>
        <v>593.932983880399</v>
      </c>
      <c r="X65" s="57" t="n">
        <f aca="false">IF(X$5="A",Inputs_Actuals!X17,Channel_PL!X48*Volume_Price!$C$60)</f>
        <v>592.804881475949</v>
      </c>
      <c r="Y65" s="57" t="n">
        <f aca="false">IF(Y$5="A",Inputs_Actuals!Y17,Channel_PL!Y48*Volume_Price!$C$60)</f>
        <v>680.766941232762</v>
      </c>
      <c r="Z65" s="57" t="n">
        <f aca="false">IF(Z$5="A",Inputs_Actuals!Z17,Channel_PL!Z48*Volume_Price!$C$60)</f>
        <v>786.168158528709</v>
      </c>
      <c r="AA65" s="57" t="n">
        <f aca="false">IF(AA$5="A",Inputs_Actuals!AA17,Channel_PL!AA48*Volume_Price!$C$60)</f>
        <v>1132.11013517526</v>
      </c>
      <c r="AB65" s="57" t="n">
        <f aca="false">IF(AB$5="A",Inputs_Actuals!AB17,Channel_PL!AB48*Volume_Price!$C$60)</f>
        <v>1009.35709936584</v>
      </c>
    </row>
    <row r="66" customFormat="false" ht="15" hidden="false" customHeight="true" outlineLevel="0" collapsed="false">
      <c r="A66" s="28" t="s">
        <v>1136</v>
      </c>
      <c r="B66" s="55" t="s">
        <v>1135</v>
      </c>
      <c r="C66" s="56" t="n">
        <f aca="false">SUM(E66:P66)</f>
        <v>7519.37570594283</v>
      </c>
      <c r="D66" s="56" t="n">
        <f aca="false">SUM(Q66:AB66)</f>
        <v>9266.50848290169</v>
      </c>
      <c r="E66" s="57" t="n">
        <f aca="false">IF(E$5="A",Inputs_Actuals!E18,Channel_PL!E48*Volume_Price!$C$61)</f>
        <v>515</v>
      </c>
      <c r="F66" s="57" t="n">
        <f aca="false">IF(F$5="A",Inputs_Actuals!F18,Channel_PL!F48*Volume_Price!$C$61)</f>
        <v>451</v>
      </c>
      <c r="G66" s="57" t="n">
        <f aca="false">IF(G$5="A",Inputs_Actuals!G18,Channel_PL!G48*Volume_Price!$C$61)</f>
        <v>506</v>
      </c>
      <c r="H66" s="57" t="n">
        <f aca="false">IF(H$5="A",Inputs_Actuals!H18,Channel_PL!H48*Volume_Price!$C$61)</f>
        <v>590</v>
      </c>
      <c r="I66" s="57" t="n">
        <f aca="false">IF(I$5="A",Inputs_Actuals!I18,Channel_PL!I48*Volume_Price!$C$61)</f>
        <v>636</v>
      </c>
      <c r="J66" s="57" t="n">
        <f aca="false">IF(J$5="A",Inputs_Actuals!J18,Channel_PL!J48*Volume_Price!$C$61)</f>
        <v>580</v>
      </c>
      <c r="K66" s="57" t="n">
        <f aca="false">IF(K$5="A",Inputs_Actuals!K18,Channel_PL!K48*Volume_Price!$C$61)</f>
        <v>526</v>
      </c>
      <c r="L66" s="57" t="n">
        <f aca="false">IF(L$5="A",Inputs_Actuals!L18,Channel_PL!L48*Volume_Price!$C$61)</f>
        <v>503</v>
      </c>
      <c r="M66" s="57" t="n">
        <f aca="false">IF(M$5="A",Inputs_Actuals!M18,Channel_PL!M48*Volume_Price!$C$61)</f>
        <v>606.051925705733</v>
      </c>
      <c r="N66" s="57" t="n">
        <f aca="false">IF(N$5="A",Inputs_Actuals!N18,Channel_PL!N48*Volume_Price!$C$61)</f>
        <v>699.88522877163</v>
      </c>
      <c r="O66" s="57" t="n">
        <f aca="false">IF(O$5="A",Inputs_Actuals!O18,Channel_PL!O48*Volume_Price!$C$61)</f>
        <v>1007.85964472877</v>
      </c>
      <c r="P66" s="57" t="n">
        <f aca="false">IF(P$5="A",Inputs_Actuals!P18,Channel_PL!P48*Volume_Price!$C$61)</f>
        <v>898.578906736696</v>
      </c>
      <c r="Q66" s="57" t="n">
        <f aca="false">IF(Q$5="A",Inputs_Actuals!Q18,Channel_PL!Q48*Volume_Price!$C$61)</f>
        <v>571.623070863815</v>
      </c>
      <c r="R66" s="57" t="n">
        <f aca="false">IF(R$5="A",Inputs_Actuals!R18,Channel_PL!R48*Volume_Price!$C$61)</f>
        <v>542.794512734934</v>
      </c>
      <c r="S66" s="57" t="n">
        <f aca="false">IF(S$5="A",Inputs_Actuals!S18,Channel_PL!S48*Volume_Price!$C$61)</f>
        <v>623.335892971185</v>
      </c>
      <c r="T66" s="57" t="n">
        <f aca="false">IF(T$5="A",Inputs_Actuals!T18,Channel_PL!T48*Volume_Price!$C$61)</f>
        <v>657.501485606496</v>
      </c>
      <c r="U66" s="57" t="n">
        <f aca="false">IF(U$5="A",Inputs_Actuals!U18,Channel_PL!U48*Volume_Price!$C$61)</f>
        <v>707.251748340801</v>
      </c>
      <c r="V66" s="57" t="n">
        <f aca="false">IF(V$5="A",Inputs_Actuals!V18,Channel_PL!V48*Volume_Price!$C$61)</f>
        <v>699.851219090408</v>
      </c>
      <c r="W66" s="57" t="n">
        <f aca="false">IF(W$5="A",Inputs_Actuals!W18,Channel_PL!W48*Volume_Price!$C$61)</f>
        <v>676.797571574761</v>
      </c>
      <c r="X66" s="57" t="n">
        <f aca="false">IF(X$5="A",Inputs_Actuals!X18,Channel_PL!X48*Volume_Price!$C$61)</f>
        <v>675.512078112466</v>
      </c>
      <c r="Y66" s="57" t="n">
        <f aca="false">IF(Y$5="A",Inputs_Actuals!Y18,Channel_PL!Y48*Volume_Price!$C$61)</f>
        <v>775.746464903339</v>
      </c>
      <c r="Z66" s="57" t="n">
        <f aca="false">IF(Z$5="A",Inputs_Actuals!Z18,Channel_PL!Z48*Volume_Price!$C$61)</f>
        <v>895.853092827686</v>
      </c>
      <c r="AA66" s="57" t="n">
        <f aca="false">IF(AA$5="A",Inputs_Actuals!AA18,Channel_PL!AA48*Volume_Price!$C$61)</f>
        <v>1290.06034525283</v>
      </c>
      <c r="AB66" s="57" t="n">
        <f aca="false">IF(AB$5="A",Inputs_Actuals!AB18,Channel_PL!AB48*Volume_Price!$C$61)</f>
        <v>1150.18100062297</v>
      </c>
    </row>
    <row r="67" customFormat="false" ht="15" hidden="false" customHeight="true" outlineLevel="0" collapsed="false">
      <c r="A67" s="28" t="s">
        <v>1137</v>
      </c>
      <c r="B67" s="55" t="s">
        <v>1135</v>
      </c>
      <c r="C67" s="56" t="n">
        <f aca="false">SUM(E67:P67)</f>
        <v>8136.02615379509</v>
      </c>
      <c r="D67" s="56" t="n">
        <f aca="false">SUM(Q67:AB67)</f>
        <v>9842.42572857613</v>
      </c>
      <c r="E67" s="57" t="n">
        <f aca="false">IF(E$5="A",Inputs_Actuals!E19,Channel_PL!E48*Volume_Price!$C$62)</f>
        <v>574</v>
      </c>
      <c r="F67" s="57" t="n">
        <f aca="false">IF(F$5="A",Inputs_Actuals!F19,Channel_PL!F48*Volume_Price!$C$62)</f>
        <v>489</v>
      </c>
      <c r="G67" s="57" t="n">
        <f aca="false">IF(G$5="A",Inputs_Actuals!G19,Channel_PL!G48*Volume_Price!$C$62)</f>
        <v>600</v>
      </c>
      <c r="H67" s="57" t="n">
        <f aca="false">IF(H$5="A",Inputs_Actuals!H19,Channel_PL!H48*Volume_Price!$C$62)</f>
        <v>662</v>
      </c>
      <c r="I67" s="57" t="n">
        <f aca="false">IF(I$5="A",Inputs_Actuals!I19,Channel_PL!I48*Volume_Price!$C$62)</f>
        <v>690</v>
      </c>
      <c r="J67" s="57" t="n">
        <f aca="false">IF(J$5="A",Inputs_Actuals!J19,Channel_PL!J48*Volume_Price!$C$62)</f>
        <v>571</v>
      </c>
      <c r="K67" s="57" t="n">
        <f aca="false">IF(K$5="A",Inputs_Actuals!K19,Channel_PL!K48*Volume_Price!$C$62)</f>
        <v>554</v>
      </c>
      <c r="L67" s="57" t="n">
        <f aca="false">IF(L$5="A",Inputs_Actuals!L19,Channel_PL!L48*Volume_Price!$C$62)</f>
        <v>584</v>
      </c>
      <c r="M67" s="57" t="n">
        <f aca="false">IF(M$5="A",Inputs_Actuals!M19,Channel_PL!M48*Volume_Price!$C$62)</f>
        <v>643.718297719763</v>
      </c>
      <c r="N67" s="57" t="n">
        <f aca="false">IF(N$5="A",Inputs_Actuals!N19,Channel_PL!N48*Volume_Price!$C$62)</f>
        <v>743.38337847776</v>
      </c>
      <c r="O67" s="57" t="n">
        <f aca="false">IF(O$5="A",Inputs_Actuals!O19,Channel_PL!O48*Volume_Price!$C$62)</f>
        <v>1070.49852880141</v>
      </c>
      <c r="P67" s="57" t="n">
        <f aca="false">IF(P$5="A",Inputs_Actuals!P19,Channel_PL!P48*Volume_Price!$C$62)</f>
        <v>954.425948796155</v>
      </c>
      <c r="Q67" s="57" t="n">
        <f aca="false">IF(Q$5="A",Inputs_Actuals!Q19,Channel_PL!Q48*Volume_Price!$C$62)</f>
        <v>607.149675640932</v>
      </c>
      <c r="R67" s="57" t="n">
        <f aca="false">IF(R$5="A",Inputs_Actuals!R19,Channel_PL!R48*Volume_Price!$C$62)</f>
        <v>576.529410978249</v>
      </c>
      <c r="S67" s="57" t="n">
        <f aca="false">IF(S$5="A",Inputs_Actuals!S19,Channel_PL!S48*Volume_Price!$C$62)</f>
        <v>662.076470533098</v>
      </c>
      <c r="T67" s="57" t="n">
        <f aca="false">IF(T$5="A",Inputs_Actuals!T19,Channel_PL!T48*Volume_Price!$C$62)</f>
        <v>698.365468552829</v>
      </c>
      <c r="U67" s="57" t="n">
        <f aca="false">IF(U$5="A",Inputs_Actuals!U19,Channel_PL!U48*Volume_Price!$C$62)</f>
        <v>751.207730214064</v>
      </c>
      <c r="V67" s="57" t="n">
        <f aca="false">IF(V$5="A",Inputs_Actuals!V19,Channel_PL!V48*Volume_Price!$C$62)</f>
        <v>743.347255081111</v>
      </c>
      <c r="W67" s="57" t="n">
        <f aca="false">IF(W$5="A",Inputs_Actuals!W19,Channel_PL!W48*Volume_Price!$C$62)</f>
        <v>718.860814059208</v>
      </c>
      <c r="X67" s="57" t="n">
        <f aca="false">IF(X$5="A",Inputs_Actuals!X19,Channel_PL!X48*Volume_Price!$C$62)</f>
        <v>717.495426658922</v>
      </c>
      <c r="Y67" s="57" t="n">
        <f aca="false">IF(Y$5="A",Inputs_Actuals!Y19,Channel_PL!Y48*Volume_Price!$C$62)</f>
        <v>823.959421081296</v>
      </c>
      <c r="Z67" s="57" t="n">
        <f aca="false">IF(Z$5="A",Inputs_Actuals!Z19,Channel_PL!Z48*Volume_Price!$C$62)</f>
        <v>951.530724451533</v>
      </c>
      <c r="AA67" s="57" t="n">
        <f aca="false">IF(AA$5="A",Inputs_Actuals!AA19,Channel_PL!AA48*Volume_Price!$C$62)</f>
        <v>1370.23811686581</v>
      </c>
      <c r="AB67" s="57" t="n">
        <f aca="false">IF(AB$5="A",Inputs_Actuals!AB19,Channel_PL!AB48*Volume_Price!$C$62)</f>
        <v>1221.66521445908</v>
      </c>
    </row>
    <row r="68" customFormat="false" ht="15" hidden="false" customHeight="true" outlineLevel="0" collapsed="false">
      <c r="A68" s="28" t="s">
        <v>1138</v>
      </c>
      <c r="B68" s="55" t="s">
        <v>1135</v>
      </c>
      <c r="C68" s="56" t="n">
        <f aca="false">SUM(E68:P68)</f>
        <v>9207.01594808812</v>
      </c>
      <c r="D68" s="56" t="n">
        <f aca="false">SUM(Q68:AB68)</f>
        <v>11506.8265685753</v>
      </c>
      <c r="E68" s="57" t="n">
        <f aca="false">IF(E$5="A",Inputs_Actuals!E20,Channel_PL!E48*Volume_Price!$C$63)</f>
        <v>614</v>
      </c>
      <c r="F68" s="57" t="n">
        <f aca="false">IF(F$5="A",Inputs_Actuals!F20,Channel_PL!F48*Volume_Price!$C$63)</f>
        <v>542</v>
      </c>
      <c r="G68" s="57" t="n">
        <f aca="false">IF(G$5="A",Inputs_Actuals!G20,Channel_PL!G48*Volume_Price!$C$63)</f>
        <v>618</v>
      </c>
      <c r="H68" s="57" t="n">
        <f aca="false">IF(H$5="A",Inputs_Actuals!H20,Channel_PL!H48*Volume_Price!$C$63)</f>
        <v>685</v>
      </c>
      <c r="I68" s="57" t="n">
        <f aca="false">IF(I$5="A",Inputs_Actuals!I20,Channel_PL!I48*Volume_Price!$C$63)</f>
        <v>761</v>
      </c>
      <c r="J68" s="57" t="n">
        <f aca="false">IF(J$5="A",Inputs_Actuals!J20,Channel_PL!J48*Volume_Price!$C$63)</f>
        <v>685</v>
      </c>
      <c r="K68" s="57" t="n">
        <f aca="false">IF(K$5="A",Inputs_Actuals!K20,Channel_PL!K48*Volume_Price!$C$63)</f>
        <v>679</v>
      </c>
      <c r="L68" s="57" t="n">
        <f aca="false">IF(L$5="A",Inputs_Actuals!L20,Channel_PL!L48*Volume_Price!$C$63)</f>
        <v>634</v>
      </c>
      <c r="M68" s="57" t="n">
        <f aca="false">IF(M$5="A",Inputs_Actuals!M20,Channel_PL!M48*Volume_Price!$C$63)</f>
        <v>752.574112840308</v>
      </c>
      <c r="N68" s="57" t="n">
        <f aca="false">IF(N$5="A",Inputs_Actuals!N20,Channel_PL!N48*Volume_Price!$C$63)</f>
        <v>869.093031128475</v>
      </c>
      <c r="O68" s="57" t="n">
        <f aca="false">IF(O$5="A",Inputs_Actuals!O20,Channel_PL!O48*Volume_Price!$C$63)</f>
        <v>1251.52490377134</v>
      </c>
      <c r="P68" s="57" t="n">
        <f aca="false">IF(P$5="A",Inputs_Actuals!P20,Channel_PL!P48*Volume_Price!$C$63)</f>
        <v>1115.82390034799</v>
      </c>
      <c r="Q68" s="57" t="n">
        <f aca="false">IF(Q$5="A",Inputs_Actuals!Q20,Channel_PL!Q48*Volume_Price!$C$63)</f>
        <v>709.821563446801</v>
      </c>
      <c r="R68" s="57" t="n">
        <f aca="false">IF(R$5="A",Inputs_Actuals!R20,Channel_PL!R48*Volume_Price!$C$63)</f>
        <v>674.023266901428</v>
      </c>
      <c r="S68" s="57" t="n">
        <f aca="false">IF(S$5="A",Inputs_Actuals!S20,Channel_PL!S48*Volume_Price!$C$63)</f>
        <v>774.036739687028</v>
      </c>
      <c r="T68" s="57" t="n">
        <f aca="false">IF(T$5="A",Inputs_Actuals!T20,Channel_PL!T48*Volume_Price!$C$63)</f>
        <v>816.462379267731</v>
      </c>
      <c r="U68" s="57" t="n">
        <f aca="false">IF(U$5="A",Inputs_Actuals!U20,Channel_PL!U48*Volume_Price!$C$63)</f>
        <v>878.240517827794</v>
      </c>
      <c r="V68" s="57" t="n">
        <f aca="false">IF(V$5="A",Inputs_Actuals!V20,Channel_PL!V48*Volume_Price!$C$63)</f>
        <v>869.050799094242</v>
      </c>
      <c r="W68" s="57" t="n">
        <f aca="false">IF(W$5="A",Inputs_Actuals!W20,Channel_PL!W48*Volume_Price!$C$63)</f>
        <v>840.423584839262</v>
      </c>
      <c r="X68" s="57" t="n">
        <f aca="false">IF(X$5="A",Inputs_Actuals!X20,Channel_PL!X48*Volume_Price!$C$63)</f>
        <v>838.827303958178</v>
      </c>
      <c r="Y68" s="57" t="n">
        <f aca="false">IF(Y$5="A",Inputs_Actuals!Y20,Channel_PL!Y48*Volume_Price!$C$63)</f>
        <v>963.294864435594</v>
      </c>
      <c r="Z68" s="57" t="n">
        <f aca="false">IF(Z$5="A",Inputs_Actuals!Z20,Channel_PL!Z48*Volume_Price!$C$63)</f>
        <v>1112.43907984445</v>
      </c>
      <c r="AA68" s="57" t="n">
        <f aca="false">IF(AA$5="A",Inputs_Actuals!AA20,Channel_PL!AA48*Volume_Price!$C$63)</f>
        <v>1601.95187682732</v>
      </c>
      <c r="AB68" s="57" t="n">
        <f aca="false">IF(AB$5="A",Inputs_Actuals!AB20,Channel_PL!AB48*Volume_Price!$C$63)</f>
        <v>1428.25459244543</v>
      </c>
    </row>
    <row r="69" customFormat="false" ht="15" hidden="false" customHeight="true" outlineLevel="0" collapsed="false">
      <c r="A69" s="28" t="s">
        <v>1139</v>
      </c>
      <c r="B69" s="55" t="s">
        <v>1135</v>
      </c>
      <c r="C69" s="56" t="n">
        <f aca="false">SUM(E69:P69)</f>
        <v>6081.43484895049</v>
      </c>
      <c r="D69" s="56" t="n">
        <f aca="false">SUM(Q69:AB69)</f>
        <v>7521.47922850815</v>
      </c>
      <c r="E69" s="57" t="n">
        <f aca="false">IF(E$5="A",Inputs_Actuals!E21,Channel_PL!E48*Volume_Price!$C$64)</f>
        <v>444</v>
      </c>
      <c r="F69" s="57" t="n">
        <f aca="false">IF(F$5="A",Inputs_Actuals!F21,Channel_PL!F48*Volume_Price!$C$64)</f>
        <v>369</v>
      </c>
      <c r="G69" s="57" t="n">
        <f aca="false">IF(G$5="A",Inputs_Actuals!G21,Channel_PL!G48*Volume_Price!$C$64)</f>
        <v>432</v>
      </c>
      <c r="H69" s="57" t="n">
        <f aca="false">IF(H$5="A",Inputs_Actuals!H21,Channel_PL!H48*Volume_Price!$C$64)</f>
        <v>434</v>
      </c>
      <c r="I69" s="57" t="n">
        <f aca="false">IF(I$5="A",Inputs_Actuals!I21,Channel_PL!I48*Volume_Price!$C$64)</f>
        <v>489</v>
      </c>
      <c r="J69" s="57" t="n">
        <f aca="false">IF(J$5="A",Inputs_Actuals!J21,Channel_PL!J48*Volume_Price!$C$64)</f>
        <v>485</v>
      </c>
      <c r="K69" s="57" t="n">
        <f aca="false">IF(K$5="A",Inputs_Actuals!K21,Channel_PL!K48*Volume_Price!$C$64)</f>
        <v>403</v>
      </c>
      <c r="L69" s="57" t="n">
        <f aca="false">IF(L$5="A",Inputs_Actuals!L21,Channel_PL!L48*Volume_Price!$C$64)</f>
        <v>418</v>
      </c>
      <c r="M69" s="57" t="n">
        <f aca="false">IF(M$5="A",Inputs_Actuals!M21,Channel_PL!M48*Volume_Price!$C$64)</f>
        <v>491.922818503224</v>
      </c>
      <c r="N69" s="57" t="n">
        <f aca="false">IF(N$5="A",Inputs_Actuals!N21,Channel_PL!N48*Volume_Price!$C$64)</f>
        <v>568.085835162057</v>
      </c>
      <c r="O69" s="57" t="n">
        <f aca="false">IF(O$5="A",Inputs_Actuals!O21,Channel_PL!O48*Volume_Price!$C$64)</f>
        <v>818.063825988676</v>
      </c>
      <c r="P69" s="57" t="n">
        <f aca="false">IF(P$5="A",Inputs_Actuals!P21,Channel_PL!P48*Volume_Price!$C$64)</f>
        <v>729.362369296535</v>
      </c>
      <c r="Q69" s="57" t="n">
        <f aca="false">IF(Q$5="A",Inputs_Actuals!Q21,Channel_PL!Q48*Volume_Price!$C$64)</f>
        <v>463.97745838915</v>
      </c>
      <c r="R69" s="57" t="n">
        <f aca="false">IF(R$5="A",Inputs_Actuals!R21,Channel_PL!R48*Volume_Price!$C$64)</f>
        <v>440.57777105769</v>
      </c>
      <c r="S69" s="57" t="n">
        <f aca="false">IF(S$5="A",Inputs_Actuals!S21,Channel_PL!S48*Volume_Price!$C$64)</f>
        <v>505.951942958588</v>
      </c>
      <c r="T69" s="57" t="n">
        <f aca="false">IF(T$5="A",Inputs_Actuals!T21,Channel_PL!T48*Volume_Price!$C$64)</f>
        <v>533.683617279108</v>
      </c>
      <c r="U69" s="57" t="n">
        <f aca="false">IF(U$5="A",Inputs_Actuals!U21,Channel_PL!U48*Volume_Price!$C$64)</f>
        <v>574.065123264814</v>
      </c>
      <c r="V69" s="57" t="n">
        <f aca="false">IF(V$5="A",Inputs_Actuals!V21,Channel_PL!V48*Volume_Price!$C$64)</f>
        <v>568.058230038578</v>
      </c>
      <c r="W69" s="57" t="n">
        <f aca="false">IF(W$5="A",Inputs_Actuals!W21,Channel_PL!W48*Volume_Price!$C$64)</f>
        <v>549.345946846885</v>
      </c>
      <c r="X69" s="57" t="n">
        <f aca="false">IF(X$5="A",Inputs_Actuals!X21,Channel_PL!X48*Volume_Price!$C$64)</f>
        <v>548.302532016707</v>
      </c>
      <c r="Y69" s="57" t="n">
        <f aca="false">IF(Y$5="A",Inputs_Actuals!Y21,Channel_PL!Y48*Volume_Price!$C$64)</f>
        <v>629.661207684127</v>
      </c>
      <c r="Z69" s="57" t="n">
        <f aca="false">IF(Z$5="A",Inputs_Actuals!Z21,Channel_PL!Z48*Volume_Price!$C$64)</f>
        <v>727.149869007432</v>
      </c>
      <c r="AA69" s="57" t="n">
        <f aca="false">IF(AA$5="A",Inputs_Actuals!AA21,Channel_PL!AA48*Volume_Price!$C$64)</f>
        <v>1047.1216972655</v>
      </c>
      <c r="AB69" s="57" t="n">
        <f aca="false">IF(AB$5="A",Inputs_Actuals!AB21,Channel_PL!AB48*Volume_Price!$C$64)</f>
        <v>933.583832699565</v>
      </c>
    </row>
    <row r="70" customFormat="false" ht="15" hidden="false" customHeight="true" outlineLevel="0" collapsed="false">
      <c r="A70" s="70" t="s">
        <v>1140</v>
      </c>
      <c r="B70" s="71" t="s">
        <v>310</v>
      </c>
      <c r="C70" s="72" t="n">
        <f aca="false">SUM(E70:P70)</f>
        <v>37599.9169804504</v>
      </c>
      <c r="D70" s="72" t="n">
        <f aca="false">SUM(Q70:AB70)</f>
        <v>46269.1915174843</v>
      </c>
      <c r="E70" s="72" t="n">
        <f aca="false">SUM(E65:E69)</f>
        <v>2617</v>
      </c>
      <c r="F70" s="72" t="n">
        <f aca="false">SUM(F65:F69)</f>
        <v>2256</v>
      </c>
      <c r="G70" s="72" t="n">
        <f aca="false">SUM(G65:G69)</f>
        <v>2651</v>
      </c>
      <c r="H70" s="72" t="n">
        <f aca="false">SUM(H65:H69)</f>
        <v>2876</v>
      </c>
      <c r="I70" s="72" t="n">
        <f aca="false">SUM(I65:I69)</f>
        <v>3126</v>
      </c>
      <c r="J70" s="72" t="n">
        <f aca="false">SUM(J65:J69)</f>
        <v>2858</v>
      </c>
      <c r="K70" s="72" t="n">
        <f aca="false">SUM(K65:K69)</f>
        <v>2603</v>
      </c>
      <c r="L70" s="72" t="n">
        <f aca="false">SUM(L65:L69)</f>
        <v>2573</v>
      </c>
      <c r="M70" s="72" t="n">
        <f aca="false">SUM(M65:M69)</f>
        <v>3026.11632760712</v>
      </c>
      <c r="N70" s="72" t="n">
        <f aca="false">SUM(N65:N69)</f>
        <v>3494.64134739048</v>
      </c>
      <c r="O70" s="72" t="n">
        <f aca="false">SUM(O65:O69)</f>
        <v>5032.40794639588</v>
      </c>
      <c r="P70" s="72" t="n">
        <f aca="false">SUM(P65:P69)</f>
        <v>4486.75135905694</v>
      </c>
      <c r="Q70" s="72" t="n">
        <f aca="false">SUM(Q65:Q69)</f>
        <v>2854.20742779359</v>
      </c>
      <c r="R70" s="72" t="n">
        <f aca="false">SUM(R65:R69)</f>
        <v>2710.26172486791</v>
      </c>
      <c r="S70" s="72" t="n">
        <f aca="false">SUM(S65:S69)</f>
        <v>3112.41800132412</v>
      </c>
      <c r="T70" s="72" t="n">
        <f aca="false">SUM(T65:T69)</f>
        <v>3283.01238990839</v>
      </c>
      <c r="U70" s="72" t="n">
        <f aca="false">SUM(U65:U69)</f>
        <v>3531.42358369795</v>
      </c>
      <c r="V70" s="72" t="n">
        <f aca="false">SUM(V65:V69)</f>
        <v>3494.47153149306</v>
      </c>
      <c r="W70" s="72" t="n">
        <f aca="false">SUM(W65:W69)</f>
        <v>3379.36090120052</v>
      </c>
      <c r="X70" s="72" t="n">
        <f aca="false">SUM(X65:X69)</f>
        <v>3372.94222222222</v>
      </c>
      <c r="Y70" s="72" t="n">
        <f aca="false">SUM(Y65:Y69)</f>
        <v>3873.42889933712</v>
      </c>
      <c r="Z70" s="72" t="n">
        <f aca="false">SUM(Z65:Z69)</f>
        <v>4473.14092465981</v>
      </c>
      <c r="AA70" s="72" t="n">
        <f aca="false">SUM(AA65:AA69)</f>
        <v>6441.48217138673</v>
      </c>
      <c r="AB70" s="72" t="n">
        <f aca="false">SUM(AB65:AB69)</f>
        <v>5743.04173959288</v>
      </c>
    </row>
    <row r="71" customFormat="false" ht="15" hidden="false" customHeight="true" outlineLevel="0" collapsed="false">
      <c r="A71" s="28" t="s">
        <v>1141</v>
      </c>
      <c r="B71" s="55" t="s">
        <v>641</v>
      </c>
      <c r="C71" s="129" t="n">
        <f aca="false">INDEX(Inputs_Actuals!$E$37:$AB$37,Assumptions!$C$10)</f>
        <v>109.13</v>
      </c>
    </row>
    <row r="72" customFormat="false" ht="15" hidden="false" customHeight="true" outlineLevel="0" collapsed="false">
      <c r="A72" s="28" t="s">
        <v>1142</v>
      </c>
      <c r="B72" s="55" t="s">
        <v>641</v>
      </c>
      <c r="C72" s="129" t="n">
        <f aca="false">INDEX(Inputs_Actuals!$E$38:$AB$38,Assumptions!$C$10)</f>
        <v>66.66</v>
      </c>
    </row>
    <row r="73" customFormat="false" ht="15" hidden="false" customHeight="true" outlineLevel="0" collapsed="false">
      <c r="A73" s="28" t="s">
        <v>1143</v>
      </c>
      <c r="B73" s="55" t="s">
        <v>641</v>
      </c>
      <c r="C73" s="129" t="n">
        <f aca="false">INDEX(Inputs_Actuals!$E$39:$AB$39,Assumptions!$C$10)</f>
        <v>42.16</v>
      </c>
    </row>
    <row r="74" customFormat="false" ht="15" hidden="false" customHeight="true" outlineLevel="0" collapsed="false">
      <c r="A74" s="28" t="s">
        <v>1144</v>
      </c>
      <c r="B74" s="55" t="s">
        <v>641</v>
      </c>
      <c r="C74" s="129" t="n">
        <f aca="false">INDEX(Inputs_Actuals!$E$40:$AB$40,Assumptions!$C$10)</f>
        <v>35.18</v>
      </c>
    </row>
    <row r="75" customFormat="false" ht="15" hidden="false" customHeight="true" outlineLevel="0" collapsed="false">
      <c r="A75" s="28" t="s">
        <v>1145</v>
      </c>
      <c r="B75" s="55" t="s">
        <v>641</v>
      </c>
      <c r="C75" s="129" t="n">
        <f aca="false">INDEX(Inputs_Actuals!$E$41:$AB$41,Assumptions!$C$10)</f>
        <v>26.55</v>
      </c>
    </row>
    <row r="76" customFormat="false" ht="15" hidden="false" customHeight="true" outlineLevel="0" collapsed="false">
      <c r="A76" s="28" t="s">
        <v>1146</v>
      </c>
      <c r="B76" s="55" t="s">
        <v>1147</v>
      </c>
      <c r="C76" s="61" t="n">
        <f aca="false">AVERAGE(E76:P76)</f>
        <v>109.347945824624</v>
      </c>
      <c r="D76" s="61" t="n">
        <f aca="false">AVERAGE(Q76:AB76)</f>
        <v>111.039207184447</v>
      </c>
      <c r="E76" s="65" t="n">
        <f aca="false">IF(E$5="A",Inputs_Actuals!E37,Volume_Price!$C$71*(1+Assumptions!$F$82)^(Assumptions!E$68/12))</f>
        <v>108.02</v>
      </c>
      <c r="F76" s="65" t="n">
        <f aca="false">IF(F$5="A",Inputs_Actuals!F37,Volume_Price!$C$71*(1+Assumptions!$F$82)^(Assumptions!F$68/12))</f>
        <v>110.39</v>
      </c>
      <c r="G76" s="65" t="n">
        <f aca="false">IF(G$5="A",Inputs_Actuals!G37,Volume_Price!$C$71*(1+Assumptions!$F$82)^(Assumptions!G$68/12))</f>
        <v>109.04</v>
      </c>
      <c r="H76" s="65" t="n">
        <f aca="false">IF(H$5="A",Inputs_Actuals!H37,Volume_Price!$C$71*(1+Assumptions!$F$82)^(Assumptions!H$68/12))</f>
        <v>108.35</v>
      </c>
      <c r="I76" s="65" t="n">
        <f aca="false">IF(I$5="A",Inputs_Actuals!I37,Volume_Price!$C$71*(1+Assumptions!$F$82)^(Assumptions!I$68/12))</f>
        <v>111.4</v>
      </c>
      <c r="J76" s="65" t="n">
        <f aca="false">IF(J$5="A",Inputs_Actuals!J37,Volume_Price!$C$71*(1+Assumptions!$F$82)^(Assumptions!J$68/12))</f>
        <v>109.46</v>
      </c>
      <c r="K76" s="65" t="n">
        <f aca="false">IF(K$5="A",Inputs_Actuals!K37,Volume_Price!$C$71*(1+Assumptions!$F$82)^(Assumptions!K$68/12))</f>
        <v>108.06</v>
      </c>
      <c r="L76" s="65" t="n">
        <f aca="false">IF(L$5="A",Inputs_Actuals!L37,Volume_Price!$C$71*(1+Assumptions!$F$82)^(Assumptions!L$68/12))</f>
        <v>109.13</v>
      </c>
      <c r="M76" s="65" t="n">
        <f aca="false">IF(M$5="A",Inputs_Actuals!M37,Volume_Price!$C$71*(1+Assumptions!$F$82)^(Assumptions!M$68/12))</f>
        <v>109.310237067479</v>
      </c>
      <c r="N76" s="65" t="n">
        <f aca="false">IF(N$5="A",Inputs_Actuals!N37,Volume_Price!$C$71*(1+Assumptions!$F$82)^(Assumptions!N$68/12))</f>
        <v>109.490771811128</v>
      </c>
      <c r="O76" s="65" t="n">
        <f aca="false">IF(O$5="A",Inputs_Actuals!O37,Volume_Price!$C$71*(1+Assumptions!$F$82)^(Assumptions!O$68/12))</f>
        <v>109.671604722584</v>
      </c>
      <c r="P76" s="65" t="n">
        <f aca="false">IF(P$5="A",Inputs_Actuals!P37,Volume_Price!$C$71*(1+Assumptions!$F$82)^(Assumptions!P$68/12))</f>
        <v>109.852736294295</v>
      </c>
      <c r="Q76" s="65" t="n">
        <f aca="false">IF(Q$5="A",Inputs_Actuals!Q37,Volume_Price!$C$71*(1+Assumptions!$F$82)^(Assumptions!Q$68/12))</f>
        <v>110.034167019524</v>
      </c>
      <c r="R76" s="65" t="n">
        <f aca="false">IF(R$5="A",Inputs_Actuals!R37,Volume_Price!$C$71*(1+Assumptions!$F$82)^(Assumptions!R$68/12))</f>
        <v>110.215897392345</v>
      </c>
      <c r="S76" s="65" t="n">
        <f aca="false">IF(S$5="A",Inputs_Actuals!S37,Volume_Price!$C$71*(1+Assumptions!$F$82)^(Assumptions!S$68/12))</f>
        <v>110.397927907653</v>
      </c>
      <c r="T76" s="65" t="n">
        <f aca="false">IF(T$5="A",Inputs_Actuals!T37,Volume_Price!$C$71*(1+Assumptions!$F$82)^(Assumptions!T$68/12))</f>
        <v>110.580259061156</v>
      </c>
      <c r="U76" s="65" t="n">
        <f aca="false">IF(U$5="A",Inputs_Actuals!U37,Volume_Price!$C$71*(1+Assumptions!$F$82)^(Assumptions!U$68/12))</f>
        <v>110.762891349383</v>
      </c>
      <c r="V76" s="65" t="n">
        <f aca="false">IF(V$5="A",Inputs_Actuals!V37,Volume_Price!$C$71*(1+Assumptions!$F$82)^(Assumptions!V$68/12))</f>
        <v>110.945825269682</v>
      </c>
      <c r="W76" s="65" t="n">
        <f aca="false">IF(W$5="A",Inputs_Actuals!W37,Volume_Price!$C$71*(1+Assumptions!$F$82)^(Assumptions!W$68/12))</f>
        <v>111.129061320224</v>
      </c>
      <c r="X76" s="65" t="n">
        <f aca="false">IF(X$5="A",Inputs_Actuals!X37,Volume_Price!$C$71*(1+Assumptions!$F$82)^(Assumptions!X$68/12))</f>
        <v>111.3126</v>
      </c>
      <c r="Y76" s="65" t="n">
        <f aca="false">IF(Y$5="A",Inputs_Actuals!Y37,Volume_Price!$C$71*(1+Assumptions!$F$82)^(Assumptions!Y$68/12))</f>
        <v>111.496441808828</v>
      </c>
      <c r="Z76" s="65" t="n">
        <f aca="false">IF(Z$5="A",Inputs_Actuals!Z37,Volume_Price!$C$71*(1+Assumptions!$F$82)^(Assumptions!Z$68/12))</f>
        <v>111.68058724735</v>
      </c>
      <c r="AA76" s="65" t="n">
        <f aca="false">IF(AA$5="A",Inputs_Actuals!AA37,Volume_Price!$C$71*(1+Assumptions!$F$82)^(Assumptions!AA$68/12))</f>
        <v>111.865036817035</v>
      </c>
      <c r="AB76" s="65" t="n">
        <f aca="false">IF(AB$5="A",Inputs_Actuals!AB37,Volume_Price!$C$71*(1+Assumptions!$F$82)^(Assumptions!AB$68/12))</f>
        <v>112.049791020181</v>
      </c>
    </row>
    <row r="77" customFormat="false" ht="15" hidden="false" customHeight="true" outlineLevel="0" collapsed="false">
      <c r="A77" s="28" t="s">
        <v>1148</v>
      </c>
      <c r="B77" s="55" t="s">
        <v>1147</v>
      </c>
      <c r="C77" s="61" t="n">
        <f aca="false">AVERAGE(E77:P77)</f>
        <v>66.1443969913811</v>
      </c>
      <c r="D77" s="61" t="n">
        <f aca="false">AVERAGE(Q77:AB77)</f>
        <v>67.8262031605903</v>
      </c>
      <c r="E77" s="65" t="n">
        <f aca="false">IF(E$5="A",Inputs_Actuals!E38,Volume_Price!$C$72*(1+Assumptions!$F$82)^(Assumptions!E$68/12))</f>
        <v>65.67</v>
      </c>
      <c r="F77" s="65" t="n">
        <f aca="false">IF(F$5="A",Inputs_Actuals!F38,Volume_Price!$C$72*(1+Assumptions!$F$82)^(Assumptions!F$68/12))</f>
        <v>65.86</v>
      </c>
      <c r="G77" s="65" t="n">
        <f aca="false">IF(G$5="A",Inputs_Actuals!G38,Volume_Price!$C$72*(1+Assumptions!$F$82)^(Assumptions!G$68/12))</f>
        <v>65.27</v>
      </c>
      <c r="H77" s="65" t="n">
        <f aca="false">IF(H$5="A",Inputs_Actuals!H38,Volume_Price!$C$72*(1+Assumptions!$F$82)^(Assumptions!H$68/12))</f>
        <v>65.58</v>
      </c>
      <c r="I77" s="65" t="n">
        <f aca="false">IF(I$5="A",Inputs_Actuals!I38,Volume_Price!$C$72*(1+Assumptions!$F$82)^(Assumptions!I$68/12))</f>
        <v>65.69</v>
      </c>
      <c r="J77" s="65" t="n">
        <f aca="false">IF(J$5="A",Inputs_Actuals!J38,Volume_Price!$C$72*(1+Assumptions!$F$82)^(Assumptions!J$68/12))</f>
        <v>65</v>
      </c>
      <c r="K77" s="65" t="n">
        <f aca="false">IF(K$5="A",Inputs_Actuals!K38,Volume_Price!$C$72*(1+Assumptions!$F$82)^(Assumptions!K$68/12))</f>
        <v>66.26</v>
      </c>
      <c r="L77" s="65" t="n">
        <f aca="false">IF(L$5="A",Inputs_Actuals!L38,Volume_Price!$C$72*(1+Assumptions!$F$82)^(Assumptions!L$68/12))</f>
        <v>66.66</v>
      </c>
      <c r="M77" s="65" t="n">
        <f aca="false">IF(M$5="A",Inputs_Actuals!M38,Volume_Price!$C$72*(1+Assumptions!$F$82)^(Assumptions!M$68/12))</f>
        <v>66.770094409586</v>
      </c>
      <c r="N77" s="65" t="n">
        <f aca="false">IF(N$5="A",Inputs_Actuals!N38,Volume_Price!$C$72*(1+Assumptions!$F$82)^(Assumptions!N$68/12))</f>
        <v>66.8803706490403</v>
      </c>
      <c r="O77" s="65" t="n">
        <f aca="false">IF(O$5="A",Inputs_Actuals!O38,Volume_Price!$C$72*(1+Assumptions!$F$82)^(Assumptions!O$68/12))</f>
        <v>66.9908290186698</v>
      </c>
      <c r="P77" s="65" t="n">
        <f aca="false">IF(P$5="A",Inputs_Actuals!P38,Volume_Price!$C$72*(1+Assumptions!$F$82)^(Assumptions!P$68/12))</f>
        <v>67.1014698192771</v>
      </c>
      <c r="Q77" s="65" t="n">
        <f aca="false">IF(Q$5="A",Inputs_Actuals!Q38,Volume_Price!$C$72*(1+Assumptions!$F$82)^(Assumptions!Q$68/12))</f>
        <v>67.212293352162</v>
      </c>
      <c r="R77" s="65" t="n">
        <f aca="false">IF(R$5="A",Inputs_Actuals!R38,Volume_Price!$C$72*(1+Assumptions!$F$82)^(Assumptions!R$68/12))</f>
        <v>67.3232999191216</v>
      </c>
      <c r="S77" s="65" t="n">
        <f aca="false">IF(S$5="A",Inputs_Actuals!S38,Volume_Price!$C$72*(1+Assumptions!$F$82)^(Assumptions!S$68/12))</f>
        <v>67.4344898224516</v>
      </c>
      <c r="T77" s="65" t="n">
        <f aca="false">IF(T$5="A",Inputs_Actuals!T38,Volume_Price!$C$72*(1+Assumptions!$F$82)^(Assumptions!T$68/12))</f>
        <v>67.5458633649469</v>
      </c>
      <c r="U77" s="65" t="n">
        <f aca="false">IF(U$5="A",Inputs_Actuals!U38,Volume_Price!$C$72*(1+Assumptions!$F$82)^(Assumptions!U$68/12))</f>
        <v>67.6574208499025</v>
      </c>
      <c r="V77" s="65" t="n">
        <f aca="false">IF(V$5="A",Inputs_Actuals!V38,Volume_Price!$C$72*(1+Assumptions!$F$82)^(Assumptions!V$68/12))</f>
        <v>67.7691625811143</v>
      </c>
      <c r="W77" s="65" t="n">
        <f aca="false">IF(W$5="A",Inputs_Actuals!W38,Volume_Price!$C$72*(1+Assumptions!$F$82)^(Assumptions!W$68/12))</f>
        <v>67.8810888628801</v>
      </c>
      <c r="X77" s="65" t="n">
        <f aca="false">IF(X$5="A",Inputs_Actuals!X38,Volume_Price!$C$72*(1+Assumptions!$F$82)^(Assumptions!X$68/12))</f>
        <v>67.9932</v>
      </c>
      <c r="Y77" s="65" t="n">
        <f aca="false">IF(Y$5="A",Inputs_Actuals!Y38,Volume_Price!$C$72*(1+Assumptions!$F$82)^(Assumptions!Y$68/12))</f>
        <v>68.1054962977777</v>
      </c>
      <c r="Z77" s="65" t="n">
        <f aca="false">IF(Z$5="A",Inputs_Actuals!Z38,Volume_Price!$C$72*(1+Assumptions!$F$82)^(Assumptions!Z$68/12))</f>
        <v>68.2179780620211</v>
      </c>
      <c r="AA77" s="65" t="n">
        <f aca="false">IF(AA$5="A",Inputs_Actuals!AA38,Volume_Price!$C$72*(1+Assumptions!$F$82)^(Assumptions!AA$68/12))</f>
        <v>68.3306455990432</v>
      </c>
      <c r="AB77" s="65" t="n">
        <f aca="false">IF(AB$5="A",Inputs_Actuals!AB38,Volume_Price!$C$72*(1+Assumptions!$F$82)^(Assumptions!AB$68/12))</f>
        <v>68.4434992156627</v>
      </c>
    </row>
    <row r="78" customFormat="false" ht="15" hidden="false" customHeight="true" outlineLevel="0" collapsed="false">
      <c r="A78" s="28" t="s">
        <v>1149</v>
      </c>
      <c r="B78" s="55" t="s">
        <v>1147</v>
      </c>
      <c r="C78" s="61" t="n">
        <f aca="false">AVERAGE(E78:P78)</f>
        <v>42.1164548028297</v>
      </c>
      <c r="D78" s="61" t="n">
        <f aca="false">AVERAGE(Q78:AB78)</f>
        <v>42.897580636821</v>
      </c>
      <c r="E78" s="65" t="n">
        <f aca="false">IF(E$5="A",Inputs_Actuals!E39,Volume_Price!$C$73*(1+Assumptions!$F$82)^(Assumptions!E$68/12))</f>
        <v>42.59</v>
      </c>
      <c r="F78" s="65" t="n">
        <f aca="false">IF(F$5="A",Inputs_Actuals!F39,Volume_Price!$C$73*(1+Assumptions!$F$82)^(Assumptions!F$68/12))</f>
        <v>41.78</v>
      </c>
      <c r="G78" s="65" t="n">
        <f aca="false">IF(G$5="A",Inputs_Actuals!G39,Volume_Price!$C$73*(1+Assumptions!$F$82)^(Assumptions!G$68/12))</f>
        <v>41.54</v>
      </c>
      <c r="H78" s="65" t="n">
        <f aca="false">IF(H$5="A",Inputs_Actuals!H39,Volume_Price!$C$73*(1+Assumptions!$F$82)^(Assumptions!H$68/12))</f>
        <v>42.23</v>
      </c>
      <c r="I78" s="65" t="n">
        <f aca="false">IF(I$5="A",Inputs_Actuals!I39,Volume_Price!$C$73*(1+Assumptions!$F$82)^(Assumptions!I$68/12))</f>
        <v>42.48</v>
      </c>
      <c r="J78" s="65" t="n">
        <f aca="false">IF(J$5="A",Inputs_Actuals!J39,Volume_Price!$C$73*(1+Assumptions!$F$82)^(Assumptions!J$68/12))</f>
        <v>42.44</v>
      </c>
      <c r="K78" s="65" t="n">
        <f aca="false">IF(K$5="A",Inputs_Actuals!K39,Volume_Price!$C$73*(1+Assumptions!$F$82)^(Assumptions!K$68/12))</f>
        <v>40.84</v>
      </c>
      <c r="L78" s="65" t="n">
        <f aca="false">IF(L$5="A",Inputs_Actuals!L39,Volume_Price!$C$73*(1+Assumptions!$F$82)^(Assumptions!L$68/12))</f>
        <v>42.16</v>
      </c>
      <c r="M78" s="65" t="n">
        <f aca="false">IF(M$5="A",Inputs_Actuals!M39,Volume_Price!$C$73*(1+Assumptions!$F$82)^(Assumptions!M$68/12))</f>
        <v>42.229630667689</v>
      </c>
      <c r="N78" s="65" t="n">
        <f aca="false">IF(N$5="A",Inputs_Actuals!N39,Volume_Price!$C$73*(1+Assumptions!$F$82)^(Assumptions!N$68/12))</f>
        <v>42.2993763360867</v>
      </c>
      <c r="O78" s="65" t="n">
        <f aca="false">IF(O$5="A",Inputs_Actuals!O39,Volume_Price!$C$73*(1+Assumptions!$F$82)^(Assumptions!O$68/12))</f>
        <v>42.3692371951263</v>
      </c>
      <c r="P78" s="65" t="n">
        <f aca="false">IF(P$5="A",Inputs_Actuals!P39,Volume_Price!$C$73*(1+Assumptions!$F$82)^(Assumptions!P$68/12))</f>
        <v>42.4392134350544</v>
      </c>
      <c r="Q78" s="65" t="n">
        <f aca="false">IF(Q$5="A",Inputs_Actuals!Q39,Volume_Price!$C$73*(1+Assumptions!$F$82)^(Assumptions!Q$68/12))</f>
        <v>42.5093052464319</v>
      </c>
      <c r="R78" s="65" t="n">
        <f aca="false">IF(R$5="A",Inputs_Actuals!R39,Volume_Price!$C$73*(1+Assumptions!$F$82)^(Assumptions!R$68/12))</f>
        <v>42.5795128201345</v>
      </c>
      <c r="S78" s="65" t="n">
        <f aca="false">IF(S$5="A",Inputs_Actuals!S39,Volume_Price!$C$73*(1+Assumptions!$F$82)^(Assumptions!S$68/12))</f>
        <v>42.6498363473531</v>
      </c>
      <c r="T78" s="65" t="n">
        <f aca="false">IF(T$5="A",Inputs_Actuals!T39,Volume_Price!$C$73*(1+Assumptions!$F$82)^(Assumptions!T$68/12))</f>
        <v>42.7202760195944</v>
      </c>
      <c r="U78" s="65" t="n">
        <f aca="false">IF(U$5="A",Inputs_Actuals!U39,Volume_Price!$C$73*(1+Assumptions!$F$82)^(Assumptions!U$68/12))</f>
        <v>42.7908320286812</v>
      </c>
      <c r="V78" s="65" t="n">
        <f aca="false">IF(V$5="A",Inputs_Actuals!V39,Volume_Price!$C$73*(1+Assumptions!$F$82)^(Assumptions!V$68/12))</f>
        <v>42.8615045667534</v>
      </c>
      <c r="W78" s="65" t="n">
        <f aca="false">IF(W$5="A",Inputs_Actuals!W39,Volume_Price!$C$73*(1+Assumptions!$F$82)^(Assumptions!W$68/12))</f>
        <v>42.932293826268</v>
      </c>
      <c r="X78" s="65" t="n">
        <f aca="false">IF(X$5="A",Inputs_Actuals!X39,Volume_Price!$C$73*(1+Assumptions!$F$82)^(Assumptions!X$68/12))</f>
        <v>43.0032</v>
      </c>
      <c r="Y78" s="65" t="n">
        <f aca="false">IF(Y$5="A",Inputs_Actuals!Y39,Volume_Price!$C$73*(1+Assumptions!$F$82)^(Assumptions!Y$68/12))</f>
        <v>43.0742232810427</v>
      </c>
      <c r="Z78" s="65" t="n">
        <f aca="false">IF(Z$5="A",Inputs_Actuals!Z39,Volume_Price!$C$73*(1+Assumptions!$F$82)^(Assumptions!Z$68/12))</f>
        <v>43.1453638628084</v>
      </c>
      <c r="AA78" s="65" t="n">
        <f aca="false">IF(AA$5="A",Inputs_Actuals!AA39,Volume_Price!$C$73*(1+Assumptions!$F$82)^(Assumptions!AA$68/12))</f>
        <v>43.2166219390288</v>
      </c>
      <c r="AB78" s="65" t="n">
        <f aca="false">IF(AB$5="A",Inputs_Actuals!AB39,Volume_Price!$C$73*(1+Assumptions!$F$82)^(Assumptions!AB$68/12))</f>
        <v>43.2879977037555</v>
      </c>
    </row>
    <row r="79" customFormat="false" ht="15" hidden="false" customHeight="true" outlineLevel="0" collapsed="false">
      <c r="A79" s="28" t="s">
        <v>1150</v>
      </c>
      <c r="B79" s="55" t="s">
        <v>1147</v>
      </c>
      <c r="C79" s="61" t="n">
        <f aca="false">AVERAGE(E79:P79)</f>
        <v>35.0068322255744</v>
      </c>
      <c r="D79" s="61" t="n">
        <f aca="false">AVERAGE(Q79:AB79)</f>
        <v>35.795466954539</v>
      </c>
      <c r="E79" s="65" t="n">
        <f aca="false">IF(E$5="A",Inputs_Actuals!E40,Volume_Price!$C$74*(1+Assumptions!$F$82)^(Assumptions!E$68/12))</f>
        <v>35</v>
      </c>
      <c r="F79" s="65" t="n">
        <f aca="false">IF(F$5="A",Inputs_Actuals!F40,Volume_Price!$C$74*(1+Assumptions!$F$82)^(Assumptions!F$68/12))</f>
        <v>35.01</v>
      </c>
      <c r="G79" s="65" t="n">
        <f aca="false">IF(G$5="A",Inputs_Actuals!G40,Volume_Price!$C$74*(1+Assumptions!$F$82)^(Assumptions!G$68/12))</f>
        <v>34.96</v>
      </c>
      <c r="H79" s="65" t="n">
        <f aca="false">IF(H$5="A",Inputs_Actuals!H40,Volume_Price!$C$74*(1+Assumptions!$F$82)^(Assumptions!H$68/12))</f>
        <v>34.35</v>
      </c>
      <c r="I79" s="65" t="n">
        <f aca="false">IF(I$5="A",Inputs_Actuals!I40,Volume_Price!$C$74*(1+Assumptions!$F$82)^(Assumptions!I$68/12))</f>
        <v>34.62</v>
      </c>
      <c r="J79" s="65" t="n">
        <f aca="false">IF(J$5="A",Inputs_Actuals!J40,Volume_Price!$C$74*(1+Assumptions!$F$82)^(Assumptions!J$68/12))</f>
        <v>34.87</v>
      </c>
      <c r="K79" s="65" t="n">
        <f aca="false">IF(K$5="A",Inputs_Actuals!K40,Volume_Price!$C$74*(1+Assumptions!$F$82)^(Assumptions!K$68/12))</f>
        <v>34.79</v>
      </c>
      <c r="L79" s="65" t="n">
        <f aca="false">IF(L$5="A",Inputs_Actuals!L40,Volume_Price!$C$74*(1+Assumptions!$F$82)^(Assumptions!L$68/12))</f>
        <v>35.18</v>
      </c>
      <c r="M79" s="65" t="n">
        <f aca="false">IF(M$5="A",Inputs_Actuals!M40,Volume_Price!$C$74*(1+Assumptions!$F$82)^(Assumptions!M$68/12))</f>
        <v>35.2381026302016</v>
      </c>
      <c r="N79" s="65" t="n">
        <f aca="false">IF(N$5="A",Inputs_Actuals!N40,Volume_Price!$C$74*(1+Assumptions!$F$82)^(Assumptions!N$68/12))</f>
        <v>35.2963012216207</v>
      </c>
      <c r="O79" s="65" t="n">
        <f aca="false">IF(O$5="A",Inputs_Actuals!O40,Volume_Price!$C$74*(1+Assumptions!$F$82)^(Assumptions!O$68/12))</f>
        <v>35.3545959327453</v>
      </c>
      <c r="P79" s="65" t="n">
        <f aca="false">IF(P$5="A",Inputs_Actuals!P40,Volume_Price!$C$74*(1+Assumptions!$F$82)^(Assumptions!P$68/12))</f>
        <v>35.4129869223248</v>
      </c>
      <c r="Q79" s="65" t="n">
        <f aca="false">IF(Q$5="A",Inputs_Actuals!Q40,Volume_Price!$C$74*(1+Assumptions!$F$82)^(Assumptions!Q$68/12))</f>
        <v>35.4714743493708</v>
      </c>
      <c r="R79" s="65" t="n">
        <f aca="false">IF(R$5="A",Inputs_Actuals!R40,Volume_Price!$C$74*(1+Assumptions!$F$82)^(Assumptions!R$68/12))</f>
        <v>35.5300583731578</v>
      </c>
      <c r="S79" s="65" t="n">
        <f aca="false">IF(S$5="A",Inputs_Actuals!S40,Volume_Price!$C$74*(1+Assumptions!$F$82)^(Assumptions!S$68/12))</f>
        <v>35.588739153223</v>
      </c>
      <c r="T79" s="65" t="n">
        <f aca="false">IF(T$5="A",Inputs_Actuals!T40,Volume_Price!$C$74*(1+Assumptions!$F$82)^(Assumptions!T$68/12))</f>
        <v>35.6475168493674</v>
      </c>
      <c r="U79" s="65" t="n">
        <f aca="false">IF(U$5="A",Inputs_Actuals!U40,Volume_Price!$C$74*(1+Assumptions!$F$82)^(Assumptions!U$68/12))</f>
        <v>35.7063916216557</v>
      </c>
      <c r="V79" s="65" t="n">
        <f aca="false">IF(V$5="A",Inputs_Actuals!V40,Volume_Price!$C$74*(1+Assumptions!$F$82)^(Assumptions!V$68/12))</f>
        <v>35.7653636304171</v>
      </c>
      <c r="W79" s="65" t="n">
        <f aca="false">IF(W$5="A",Inputs_Actuals!W40,Volume_Price!$C$74*(1+Assumptions!$F$82)^(Assumptions!W$68/12))</f>
        <v>35.8244330362454</v>
      </c>
      <c r="X79" s="65" t="n">
        <f aca="false">IF(X$5="A",Inputs_Actuals!X40,Volume_Price!$C$74*(1+Assumptions!$F$82)^(Assumptions!X$68/12))</f>
        <v>35.8836</v>
      </c>
      <c r="Y79" s="65" t="n">
        <f aca="false">IF(Y$5="A",Inputs_Actuals!Y40,Volume_Price!$C$74*(1+Assumptions!$F$82)^(Assumptions!Y$68/12))</f>
        <v>35.9428646828056</v>
      </c>
      <c r="Z79" s="65" t="n">
        <f aca="false">IF(Z$5="A",Inputs_Actuals!Z40,Volume_Price!$C$74*(1+Assumptions!$F$82)^(Assumptions!Z$68/12))</f>
        <v>36.0022272460532</v>
      </c>
      <c r="AA79" s="65" t="n">
        <f aca="false">IF(AA$5="A",Inputs_Actuals!AA40,Volume_Price!$C$74*(1+Assumptions!$F$82)^(Assumptions!AA$68/12))</f>
        <v>36.0616878514002</v>
      </c>
      <c r="AB79" s="65" t="n">
        <f aca="false">IF(AB$5="A",Inputs_Actuals!AB40,Volume_Price!$C$74*(1+Assumptions!$F$82)^(Assumptions!AB$68/12))</f>
        <v>36.1212466607713</v>
      </c>
    </row>
    <row r="80" customFormat="false" ht="15" hidden="false" customHeight="true" outlineLevel="0" collapsed="false">
      <c r="A80" s="28" t="s">
        <v>1151</v>
      </c>
      <c r="B80" s="55" t="s">
        <v>1147</v>
      </c>
      <c r="C80" s="61" t="n">
        <f aca="false">AVERAGE(E80:P80)</f>
        <v>26.8499349703146</v>
      </c>
      <c r="D80" s="61" t="n">
        <f aca="false">AVERAGE(Q80:AB80)</f>
        <v>27.0144868573908</v>
      </c>
      <c r="E80" s="65" t="n">
        <f aca="false">IF(E$5="A",Inputs_Actuals!E41,Volume_Price!$C$75*(1+Assumptions!$F$82)^(Assumptions!E$68/12))</f>
        <v>27.34</v>
      </c>
      <c r="F80" s="65" t="n">
        <f aca="false">IF(F$5="A",Inputs_Actuals!F41,Volume_Price!$C$75*(1+Assumptions!$F$82)^(Assumptions!F$68/12))</f>
        <v>27.17</v>
      </c>
      <c r="G80" s="65" t="n">
        <f aca="false">IF(G$5="A",Inputs_Actuals!G41,Volume_Price!$C$75*(1+Assumptions!$F$82)^(Assumptions!G$68/12))</f>
        <v>27.02</v>
      </c>
      <c r="H80" s="65" t="n">
        <f aca="false">IF(H$5="A",Inputs_Actuals!H41,Volume_Price!$C$75*(1+Assumptions!$F$82)^(Assumptions!H$68/12))</f>
        <v>26.75</v>
      </c>
      <c r="I80" s="65" t="n">
        <f aca="false">IF(I$5="A",Inputs_Actuals!I41,Volume_Price!$C$75*(1+Assumptions!$F$82)^(Assumptions!I$68/12))</f>
        <v>26.78</v>
      </c>
      <c r="J80" s="65" t="n">
        <f aca="false">IF(J$5="A",Inputs_Actuals!J41,Volume_Price!$C$75*(1+Assumptions!$F$82)^(Assumptions!J$68/12))</f>
        <v>26.91</v>
      </c>
      <c r="K80" s="65" t="n">
        <f aca="false">IF(K$5="A",Inputs_Actuals!K41,Volume_Price!$C$75*(1+Assumptions!$F$82)^(Assumptions!K$68/12))</f>
        <v>27.04</v>
      </c>
      <c r="L80" s="65" t="n">
        <f aca="false">IF(L$5="A",Inputs_Actuals!L41,Volume_Price!$C$75*(1+Assumptions!$F$82)^(Assumptions!L$68/12))</f>
        <v>26.55</v>
      </c>
      <c r="M80" s="65" t="n">
        <f aca="false">IF(M$5="A",Inputs_Actuals!M41,Volume_Price!$C$75*(1+Assumptions!$F$82)^(Assumptions!M$68/12))</f>
        <v>26.593849483566</v>
      </c>
      <c r="N80" s="65" t="n">
        <f aca="false">IF(N$5="A",Inputs_Actuals!N41,Volume_Price!$C$75*(1+Assumptions!$F$82)^(Assumptions!N$68/12))</f>
        <v>26.6377713881191</v>
      </c>
      <c r="O80" s="65" t="n">
        <f aca="false">IF(O$5="A",Inputs_Actuals!O41,Volume_Price!$C$75*(1+Assumptions!$F$82)^(Assumptions!O$68/12))</f>
        <v>26.6817658332686</v>
      </c>
      <c r="P80" s="65" t="n">
        <f aca="false">IF(P$5="A",Inputs_Actuals!P41,Volume_Price!$C$75*(1+Assumptions!$F$82)^(Assumptions!P$68/12))</f>
        <v>26.725832938821</v>
      </c>
      <c r="Q80" s="65" t="n">
        <f aca="false">IF(Q$5="A",Inputs_Actuals!Q41,Volume_Price!$C$75*(1+Assumptions!$F$82)^(Assumptions!Q$68/12))</f>
        <v>26.769972824781</v>
      </c>
      <c r="R80" s="65" t="n">
        <f aca="false">IF(R$5="A",Inputs_Actuals!R41,Volume_Price!$C$75*(1+Assumptions!$F$82)^(Assumptions!R$68/12))</f>
        <v>26.8141856113513</v>
      </c>
      <c r="S80" s="65" t="n">
        <f aca="false">IF(S$5="A",Inputs_Actuals!S41,Volume_Price!$C$75*(1+Assumptions!$F$82)^(Assumptions!S$68/12))</f>
        <v>26.8584714189332</v>
      </c>
      <c r="T80" s="65" t="n">
        <f aca="false">IF(T$5="A",Inputs_Actuals!T41,Volume_Price!$C$75*(1+Assumptions!$F$82)^(Assumptions!T$68/12))</f>
        <v>26.9028303681269</v>
      </c>
      <c r="U80" s="65" t="n">
        <f aca="false">IF(U$5="A",Inputs_Actuals!U41,Volume_Price!$C$75*(1+Assumptions!$F$82)^(Assumptions!U$68/12))</f>
        <v>26.9472625797316</v>
      </c>
      <c r="V80" s="65" t="n">
        <f aca="false">IF(V$5="A",Inputs_Actuals!V41,Volume_Price!$C$75*(1+Assumptions!$F$82)^(Assumptions!V$68/12))</f>
        <v>26.9917681747463</v>
      </c>
      <c r="W80" s="65" t="n">
        <f aca="false">IF(W$5="A",Inputs_Actuals!W41,Volume_Price!$C$75*(1+Assumptions!$F$82)^(Assumptions!W$68/12))</f>
        <v>27.0363472743694</v>
      </c>
      <c r="X80" s="65" t="n">
        <f aca="false">IF(X$5="A",Inputs_Actuals!X41,Volume_Price!$C$75*(1+Assumptions!$F$82)^(Assumptions!X$68/12))</f>
        <v>27.081</v>
      </c>
      <c r="Y80" s="65" t="n">
        <f aca="false">IF(Y$5="A",Inputs_Actuals!Y41,Volume_Price!$C$75*(1+Assumptions!$F$82)^(Assumptions!Y$68/12))</f>
        <v>27.1257264732373</v>
      </c>
      <c r="Z80" s="65" t="n">
        <f aca="false">IF(Z$5="A",Inputs_Actuals!Z41,Volume_Price!$C$75*(1+Assumptions!$F$82)^(Assumptions!Z$68/12))</f>
        <v>27.1705268158815</v>
      </c>
      <c r="AA80" s="65" t="n">
        <f aca="false">IF(AA$5="A",Inputs_Actuals!AA41,Volume_Price!$C$75*(1+Assumptions!$F$82)^(Assumptions!AA$68/12))</f>
        <v>27.2154011499339</v>
      </c>
      <c r="AB80" s="65" t="n">
        <f aca="false">IF(AB$5="A",Inputs_Actuals!AB41,Volume_Price!$C$75*(1+Assumptions!$F$82)^(Assumptions!AB$68/12))</f>
        <v>27.2603495975974</v>
      </c>
    </row>
    <row r="81" customFormat="false" ht="15" hidden="false" customHeight="true" outlineLevel="0" collapsed="false">
      <c r="A81" s="28" t="s">
        <v>1152</v>
      </c>
      <c r="B81" s="55" t="s">
        <v>1153</v>
      </c>
      <c r="C81" s="56" t="n">
        <f aca="false">SUM(E81:P81)</f>
        <v>728246.681793187</v>
      </c>
      <c r="D81" s="56" t="n">
        <f aca="false">SUM(Q81:AB81)</f>
        <v>904210.567480228</v>
      </c>
      <c r="E81" s="69" t="n">
        <f aca="false">E65*E76</f>
        <v>50769.4</v>
      </c>
      <c r="F81" s="69" t="n">
        <f aca="false">F65*F76</f>
        <v>44707.95</v>
      </c>
      <c r="G81" s="69" t="n">
        <f aca="false">G65*G76</f>
        <v>53974.8</v>
      </c>
      <c r="H81" s="69" t="n">
        <f aca="false">H65*H76</f>
        <v>54716.75</v>
      </c>
      <c r="I81" s="69" t="n">
        <f aca="false">I65*I76</f>
        <v>61270</v>
      </c>
      <c r="J81" s="69" t="n">
        <f aca="false">J65*J76</f>
        <v>58780.02</v>
      </c>
      <c r="K81" s="69" t="n">
        <f aca="false">K65*K76</f>
        <v>47654.46</v>
      </c>
      <c r="L81" s="69" t="n">
        <f aca="false">L65*L76</f>
        <v>47362.42</v>
      </c>
      <c r="M81" s="69" t="n">
        <f aca="false">M65*M76</f>
        <v>58136.5591670746</v>
      </c>
      <c r="N81" s="69" t="n">
        <f aca="false">N65*N76</f>
        <v>67248.5612895636</v>
      </c>
      <c r="O81" s="69" t="n">
        <f aca="false">O65*O76</f>
        <v>97000.2619120095</v>
      </c>
      <c r="P81" s="69" t="n">
        <f aca="false">P65*P76</f>
        <v>86625.4994245392</v>
      </c>
      <c r="Q81" s="69" t="n">
        <f aca="false">Q65*Q76</f>
        <v>55197.0619351886</v>
      </c>
      <c r="R81" s="69" t="n">
        <f aca="false">R65*R76</f>
        <v>52499.8838165686</v>
      </c>
      <c r="S81" s="69" t="n">
        <f aca="false">S65*S76</f>
        <v>60389.5383815869</v>
      </c>
      <c r="T81" s="69" t="n">
        <f aca="false">T65*T76</f>
        <v>63804.7474651232</v>
      </c>
      <c r="U81" s="69" t="n">
        <f aca="false">U65*U76</f>
        <v>68745.9260186973</v>
      </c>
      <c r="V81" s="69" t="n">
        <f aca="false">V65*V76</f>
        <v>68138.9349583502</v>
      </c>
      <c r="W81" s="69" t="n">
        <f aca="false">W65*W76</f>
        <v>66003.2149857482</v>
      </c>
      <c r="X81" s="69" t="n">
        <f aca="false">X65*X76</f>
        <v>65986.6526497798</v>
      </c>
      <c r="Y81" s="69" t="n">
        <f aca="false">Y65*Y76</f>
        <v>75903.0916485326</v>
      </c>
      <c r="Z81" s="69" t="n">
        <f aca="false">Z65*Z76</f>
        <v>87799.7216196542</v>
      </c>
      <c r="AA81" s="69" t="n">
        <f aca="false">AA65*AA76</f>
        <v>126643.54195232</v>
      </c>
      <c r="AB81" s="69" t="n">
        <f aca="false">AB65*AB76</f>
        <v>113098.252048678</v>
      </c>
    </row>
    <row r="82" customFormat="false" ht="15" hidden="false" customHeight="true" outlineLevel="0" collapsed="false">
      <c r="A82" s="28" t="s">
        <v>1154</v>
      </c>
      <c r="B82" s="55" t="s">
        <v>1153</v>
      </c>
      <c r="C82" s="56" t="n">
        <f aca="false">SUM(E82:P82)</f>
        <v>498191.356333992</v>
      </c>
      <c r="D82" s="56" t="n">
        <f aca="false">SUM(Q82:AB82)</f>
        <v>629378.756195506</v>
      </c>
      <c r="E82" s="69" t="n">
        <f aca="false">E66*E77</f>
        <v>33820.05</v>
      </c>
      <c r="F82" s="69" t="n">
        <f aca="false">F66*F77</f>
        <v>29702.86</v>
      </c>
      <c r="G82" s="69" t="n">
        <f aca="false">G66*G77</f>
        <v>33026.62</v>
      </c>
      <c r="H82" s="69" t="n">
        <f aca="false">H66*H77</f>
        <v>38692.2</v>
      </c>
      <c r="I82" s="69" t="n">
        <f aca="false">I66*I77</f>
        <v>41778.84</v>
      </c>
      <c r="J82" s="69" t="n">
        <f aca="false">J66*J77</f>
        <v>37700</v>
      </c>
      <c r="K82" s="69" t="n">
        <f aca="false">K66*K77</f>
        <v>34852.76</v>
      </c>
      <c r="L82" s="69" t="n">
        <f aca="false">L66*L77</f>
        <v>33529.98</v>
      </c>
      <c r="M82" s="69" t="n">
        <f aca="false">M66*M77</f>
        <v>40466.1442964832</v>
      </c>
      <c r="N82" s="69" t="n">
        <f aca="false">N66*N77</f>
        <v>46808.583512035</v>
      </c>
      <c r="O82" s="69" t="n">
        <f aca="false">O66*O77</f>
        <v>67517.3531348426</v>
      </c>
      <c r="P82" s="69" t="n">
        <f aca="false">P66*P77</f>
        <v>60295.9653906315</v>
      </c>
      <c r="Q82" s="69" t="n">
        <f aca="false">Q66*Q77</f>
        <v>38420.0975257624</v>
      </c>
      <c r="R82" s="69" t="n">
        <f aca="false">R66*R77</f>
        <v>36542.7177753074</v>
      </c>
      <c r="S82" s="69" t="n">
        <f aca="false">S66*S77</f>
        <v>42034.3379305342</v>
      </c>
      <c r="T82" s="69" t="n">
        <f aca="false">T66*T77</f>
        <v>44411.505509026</v>
      </c>
      <c r="U82" s="69" t="n">
        <f aca="false">U66*U77</f>
        <v>47850.8291843229</v>
      </c>
      <c r="V82" s="69" t="n">
        <f aca="false">V66*V77</f>
        <v>47428.3310491289</v>
      </c>
      <c r="W82" s="69" t="n">
        <f aca="false">W66*W77</f>
        <v>45941.7560982478</v>
      </c>
      <c r="X82" s="69" t="n">
        <f aca="false">X66*X77</f>
        <v>45930.2278295166</v>
      </c>
      <c r="Y82" s="69" t="n">
        <f aca="false">Y66*Y77</f>
        <v>52832.5979934885</v>
      </c>
      <c r="Z82" s="69" t="n">
        <f aca="false">Z66*Z77</f>
        <v>61113.2866333129</v>
      </c>
      <c r="AA82" s="69" t="n">
        <f aca="false">AA66*AA77</f>
        <v>88150.6562528504</v>
      </c>
      <c r="AB82" s="69" t="n">
        <f aca="false">AB66*AB77</f>
        <v>78722.4124140084</v>
      </c>
    </row>
    <row r="83" customFormat="false" ht="15" hidden="false" customHeight="true" outlineLevel="0" collapsed="false">
      <c r="A83" s="28" t="s">
        <v>1155</v>
      </c>
      <c r="B83" s="55" t="s">
        <v>1153</v>
      </c>
      <c r="C83" s="56" t="n">
        <f aca="false">SUM(E83:P83)</f>
        <v>343038.511887697</v>
      </c>
      <c r="D83" s="56" t="n">
        <f aca="false">SUM(Q83:AB83)</f>
        <v>422798.454699061</v>
      </c>
      <c r="E83" s="69" t="n">
        <f aca="false">E67*E78</f>
        <v>24446.66</v>
      </c>
      <c r="F83" s="69" t="n">
        <f aca="false">F67*F78</f>
        <v>20430.42</v>
      </c>
      <c r="G83" s="69" t="n">
        <f aca="false">G67*G78</f>
        <v>24924</v>
      </c>
      <c r="H83" s="69" t="n">
        <f aca="false">H67*H78</f>
        <v>27956.26</v>
      </c>
      <c r="I83" s="69" t="n">
        <f aca="false">I67*I78</f>
        <v>29311.2</v>
      </c>
      <c r="J83" s="69" t="n">
        <f aca="false">J67*J78</f>
        <v>24233.24</v>
      </c>
      <c r="K83" s="69" t="n">
        <f aca="false">K67*K78</f>
        <v>22625.36</v>
      </c>
      <c r="L83" s="69" t="n">
        <f aca="false">L67*L78</f>
        <v>24621.44</v>
      </c>
      <c r="M83" s="69" t="n">
        <f aca="false">M67*M78</f>
        <v>27183.985966739</v>
      </c>
      <c r="N83" s="69" t="n">
        <f aca="false">N67*N78</f>
        <v>31444.6532882223</v>
      </c>
      <c r="O83" s="69" t="n">
        <f aca="false">O67*O78</f>
        <v>45356.2060838208</v>
      </c>
      <c r="P83" s="69" t="n">
        <f aca="false">P67*P78</f>
        <v>40505.0865489143</v>
      </c>
      <c r="Q83" s="69" t="n">
        <f aca="false">Q67*Q78</f>
        <v>25809.5108920925</v>
      </c>
      <c r="R83" s="69" t="n">
        <f aca="false">R67*R78</f>
        <v>24548.3414459329</v>
      </c>
      <c r="S83" s="69" t="n">
        <f aca="false">S67*S78</f>
        <v>28237.4531176698</v>
      </c>
      <c r="T83" s="69" t="n">
        <f aca="false">T67*T78</f>
        <v>29834.3655791302</v>
      </c>
      <c r="U83" s="69" t="n">
        <f aca="false">U67*U78</f>
        <v>32144.8038022369</v>
      </c>
      <c r="V83" s="69" t="n">
        <f aca="false">V67*V78</f>
        <v>31860.9817683426</v>
      </c>
      <c r="W83" s="69" t="n">
        <f aca="false">W67*W78</f>
        <v>30862.3436893801</v>
      </c>
      <c r="X83" s="69" t="n">
        <f aca="false">X67*X78</f>
        <v>30854.5993316989</v>
      </c>
      <c r="Y83" s="69" t="n">
        <f aca="false">Y67*Y78</f>
        <v>35491.4120781745</v>
      </c>
      <c r="Z83" s="69" t="n">
        <f aca="false">Z67*Z78</f>
        <v>41054.1393331031</v>
      </c>
      <c r="AA83" s="69" t="n">
        <f aca="false">AA67*AA78</f>
        <v>59217.0626630365</v>
      </c>
      <c r="AB83" s="69" t="n">
        <f aca="false">AB67*AB78</f>
        <v>52883.4409982625</v>
      </c>
    </row>
    <row r="84" customFormat="false" ht="15" hidden="false" customHeight="true" outlineLevel="0" collapsed="false">
      <c r="A84" s="28" t="s">
        <v>1156</v>
      </c>
      <c r="B84" s="55" t="s">
        <v>1153</v>
      </c>
      <c r="C84" s="56" t="n">
        <f aca="false">SUM(E84:P84)</f>
        <v>322715.617704666</v>
      </c>
      <c r="D84" s="56" t="n">
        <f aca="false">SUM(Q84:AB84)</f>
        <v>412460.197511018</v>
      </c>
      <c r="E84" s="69" t="n">
        <f aca="false">E68*E79</f>
        <v>21490</v>
      </c>
      <c r="F84" s="69" t="n">
        <f aca="false">F68*F79</f>
        <v>18975.42</v>
      </c>
      <c r="G84" s="69" t="n">
        <f aca="false">G68*G79</f>
        <v>21605.28</v>
      </c>
      <c r="H84" s="69" t="n">
        <f aca="false">H68*H79</f>
        <v>23529.75</v>
      </c>
      <c r="I84" s="69" t="n">
        <f aca="false">I68*I79</f>
        <v>26345.82</v>
      </c>
      <c r="J84" s="69" t="n">
        <f aca="false">J68*J79</f>
        <v>23885.95</v>
      </c>
      <c r="K84" s="69" t="n">
        <f aca="false">K68*K79</f>
        <v>23622.41</v>
      </c>
      <c r="L84" s="69" t="n">
        <f aca="false">L68*L79</f>
        <v>22304.12</v>
      </c>
      <c r="M84" s="69" t="n">
        <f aca="false">M68*M79</f>
        <v>26519.2838250997</v>
      </c>
      <c r="N84" s="69" t="n">
        <f aca="false">N68*N79</f>
        <v>30675.7694163221</v>
      </c>
      <c r="O84" s="69" t="n">
        <f aca="false">O68*O79</f>
        <v>44247.1572726038</v>
      </c>
      <c r="P84" s="69" t="n">
        <f aca="false">P68*P79</f>
        <v>39514.6571906409</v>
      </c>
      <c r="Q84" s="69" t="n">
        <f aca="false">Q68*Q79</f>
        <v>25178.4173804335</v>
      </c>
      <c r="R84" s="69" t="n">
        <f aca="false">R68*R79</f>
        <v>23948.0860178743</v>
      </c>
      <c r="S84" s="69" t="n">
        <f aca="false">S68*S79</f>
        <v>27546.9916237328</v>
      </c>
      <c r="T84" s="69" t="n">
        <f aca="false">T68*T79</f>
        <v>29104.8564218211</v>
      </c>
      <c r="U84" s="69" t="n">
        <f aca="false">U68*U79</f>
        <v>31358.7998675649</v>
      </c>
      <c r="V84" s="69" t="n">
        <f aca="false">V68*V79</f>
        <v>31081.9178429101</v>
      </c>
      <c r="W84" s="69" t="n">
        <f aca="false">W68*W79</f>
        <v>30107.6984371555</v>
      </c>
      <c r="X84" s="69" t="n">
        <f aca="false">X68*X79</f>
        <v>30100.1434443137</v>
      </c>
      <c r="Y84" s="69" t="n">
        <f aca="false">Y68*Y79</f>
        <v>34623.5769620501</v>
      </c>
      <c r="Z84" s="69" t="n">
        <f aca="false">Z68*Z79</f>
        <v>40050.2845499501</v>
      </c>
      <c r="AA84" s="69" t="n">
        <f aca="false">AA68*AA79</f>
        <v>57769.0885351115</v>
      </c>
      <c r="AB84" s="69" t="n">
        <f aca="false">AB68*AB79</f>
        <v>51590.3364281007</v>
      </c>
    </row>
    <row r="85" customFormat="false" ht="15" hidden="false" customHeight="true" outlineLevel="0" collapsed="false">
      <c r="A85" s="28" t="s">
        <v>1157</v>
      </c>
      <c r="B85" s="55" t="s">
        <v>1153</v>
      </c>
      <c r="C85" s="56" t="n">
        <f aca="false">SUM(E85:P85)</f>
        <v>163123.486274061</v>
      </c>
      <c r="D85" s="56" t="n">
        <f aca="false">SUM(Q85:AB85)</f>
        <v>203469.0834461</v>
      </c>
      <c r="E85" s="69" t="n">
        <f aca="false">E69*E80</f>
        <v>12138.96</v>
      </c>
      <c r="F85" s="69" t="n">
        <f aca="false">F69*F80</f>
        <v>10025.73</v>
      </c>
      <c r="G85" s="69" t="n">
        <f aca="false">G69*G80</f>
        <v>11672.64</v>
      </c>
      <c r="H85" s="69" t="n">
        <f aca="false">H69*H80</f>
        <v>11609.5</v>
      </c>
      <c r="I85" s="69" t="n">
        <f aca="false">I69*I80</f>
        <v>13095.42</v>
      </c>
      <c r="J85" s="69" t="n">
        <f aca="false">J69*J80</f>
        <v>13051.35</v>
      </c>
      <c r="K85" s="69" t="n">
        <f aca="false">K69*K80</f>
        <v>10897.12</v>
      </c>
      <c r="L85" s="69" t="n">
        <f aca="false">L69*L80</f>
        <v>11097.9</v>
      </c>
      <c r="M85" s="69" t="n">
        <f aca="false">M69*M80</f>
        <v>13082.1213928063</v>
      </c>
      <c r="N85" s="69" t="n">
        <f aca="false">N69*N80</f>
        <v>15132.5406058756</v>
      </c>
      <c r="O85" s="69" t="n">
        <f aca="false">O69*O80</f>
        <v>21827.3874416976</v>
      </c>
      <c r="P85" s="69" t="n">
        <f aca="false">P69*P80</f>
        <v>19492.8168336819</v>
      </c>
      <c r="Q85" s="69" t="n">
        <f aca="false">Q69*Q80</f>
        <v>12420.6639523885</v>
      </c>
      <c r="R85" s="69" t="n">
        <f aca="false">R69*R80</f>
        <v>11813.7341293764</v>
      </c>
      <c r="S85" s="69" t="n">
        <f aca="false">S69*S80</f>
        <v>13589.095799307</v>
      </c>
      <c r="T85" s="69" t="n">
        <f aca="false">T69*T80</f>
        <v>14357.5998259082</v>
      </c>
      <c r="U85" s="69" t="n">
        <f aca="false">U69*U80</f>
        <v>15469.483614483</v>
      </c>
      <c r="V85" s="69" t="n">
        <f aca="false">V69*V80</f>
        <v>15332.896054958</v>
      </c>
      <c r="W85" s="69" t="n">
        <f aca="false">W69*W80</f>
        <v>14852.3077927197</v>
      </c>
      <c r="X85" s="69" t="n">
        <f aca="false">X69*X80</f>
        <v>14848.5808695444</v>
      </c>
      <c r="Y85" s="69" t="n">
        <f aca="false">Y69*Y80</f>
        <v>17080.0176904479</v>
      </c>
      <c r="Z85" s="69" t="n">
        <f aca="false">Z69*Z80</f>
        <v>19757.0450150312</v>
      </c>
      <c r="AA85" s="69" t="n">
        <f aca="false">AA69*AA80</f>
        <v>28497.8370438804</v>
      </c>
      <c r="AB85" s="69" t="n">
        <f aca="false">AB69*AB80</f>
        <v>25449.8216580551</v>
      </c>
    </row>
    <row r="86" customFormat="false" ht="15" hidden="false" customHeight="true" outlineLevel="0" collapsed="false">
      <c r="A86" s="70" t="s">
        <v>1158</v>
      </c>
      <c r="B86" s="71" t="s">
        <v>310</v>
      </c>
      <c r="C86" s="72" t="n">
        <f aca="false">SUM(E86:P86)</f>
        <v>2055315.6539936</v>
      </c>
      <c r="D86" s="72" t="n">
        <f aca="false">SUM(Q86:AB86)</f>
        <v>2572317.05933191</v>
      </c>
      <c r="E86" s="72" t="n">
        <f aca="false">SUM(E81:E85)</f>
        <v>142665.07</v>
      </c>
      <c r="F86" s="72" t="n">
        <f aca="false">SUM(F81:F85)</f>
        <v>123842.38</v>
      </c>
      <c r="G86" s="72" t="n">
        <f aca="false">SUM(G81:G85)</f>
        <v>145203.34</v>
      </c>
      <c r="H86" s="72" t="n">
        <f aca="false">SUM(H81:H85)</f>
        <v>156504.46</v>
      </c>
      <c r="I86" s="72" t="n">
        <f aca="false">SUM(I81:I85)</f>
        <v>171801.28</v>
      </c>
      <c r="J86" s="72" t="n">
        <f aca="false">SUM(J81:J85)</f>
        <v>157650.56</v>
      </c>
      <c r="K86" s="72" t="n">
        <f aca="false">SUM(K81:K85)</f>
        <v>139652.11</v>
      </c>
      <c r="L86" s="72" t="n">
        <f aca="false">SUM(L81:L85)</f>
        <v>138915.86</v>
      </c>
      <c r="M86" s="72" t="n">
        <f aca="false">SUM(M81:M85)</f>
        <v>165388.094648203</v>
      </c>
      <c r="N86" s="72" t="n">
        <f aca="false">SUM(N81:N85)</f>
        <v>191310.108112019</v>
      </c>
      <c r="O86" s="72" t="n">
        <f aca="false">SUM(O81:O85)</f>
        <v>275948.365844974</v>
      </c>
      <c r="P86" s="72" t="n">
        <f aca="false">SUM(P81:P85)</f>
        <v>246434.025388408</v>
      </c>
      <c r="Q86" s="72" t="n">
        <f aca="false">SUM(Q81:Q85)</f>
        <v>157025.751685866</v>
      </c>
      <c r="R86" s="72" t="n">
        <f aca="false">SUM(R81:R85)</f>
        <v>149352.76318506</v>
      </c>
      <c r="S86" s="72" t="n">
        <f aca="false">SUM(S81:S85)</f>
        <v>171797.416852831</v>
      </c>
      <c r="T86" s="72" t="n">
        <f aca="false">SUM(T81:T85)</f>
        <v>181513.074801009</v>
      </c>
      <c r="U86" s="72" t="n">
        <f aca="false">SUM(U81:U85)</f>
        <v>195569.842487305</v>
      </c>
      <c r="V86" s="72" t="n">
        <f aca="false">SUM(V81:V85)</f>
        <v>193843.06167369</v>
      </c>
      <c r="W86" s="72" t="n">
        <f aca="false">SUM(W81:W85)</f>
        <v>187767.321003251</v>
      </c>
      <c r="X86" s="72" t="n">
        <f aca="false">SUM(X81:X85)</f>
        <v>187720.204124853</v>
      </c>
      <c r="Y86" s="72" t="n">
        <f aca="false">SUM(Y81:Y85)</f>
        <v>215930.696372694</v>
      </c>
      <c r="Z86" s="72" t="n">
        <f aca="false">SUM(Z81:Z85)</f>
        <v>249774.477151051</v>
      </c>
      <c r="AA86" s="72" t="n">
        <f aca="false">SUM(AA81:AA85)</f>
        <v>360278.186447198</v>
      </c>
      <c r="AB86" s="72" t="n">
        <f aca="false">SUM(AB81:AB85)</f>
        <v>321744.263547105</v>
      </c>
    </row>
    <row r="87" customFormat="false" ht="15" hidden="false" customHeight="true" outlineLevel="0" collapsed="false">
      <c r="A87" s="28" t="s">
        <v>1152</v>
      </c>
      <c r="B87" s="55" t="s">
        <v>1159</v>
      </c>
      <c r="C87" s="56" t="n">
        <f aca="false">SUM(E87:P87)</f>
        <v>728246.681793187</v>
      </c>
      <c r="D87" s="56" t="n">
        <f aca="false">SUM(Q87:AB87)</f>
        <v>904210.567480228</v>
      </c>
      <c r="E87" s="69" t="n">
        <f aca="false">E81</f>
        <v>50769.4</v>
      </c>
      <c r="F87" s="69" t="n">
        <f aca="false">F81</f>
        <v>44707.95</v>
      </c>
      <c r="G87" s="69" t="n">
        <f aca="false">G81</f>
        <v>53974.8</v>
      </c>
      <c r="H87" s="69" t="n">
        <f aca="false">H81</f>
        <v>54716.75</v>
      </c>
      <c r="I87" s="69" t="n">
        <f aca="false">I81</f>
        <v>61270</v>
      </c>
      <c r="J87" s="69" t="n">
        <f aca="false">J81</f>
        <v>58780.02</v>
      </c>
      <c r="K87" s="69" t="n">
        <f aca="false">K81</f>
        <v>47654.46</v>
      </c>
      <c r="L87" s="69" t="n">
        <f aca="false">L81</f>
        <v>47362.42</v>
      </c>
      <c r="M87" s="69" t="n">
        <f aca="false">M81</f>
        <v>58136.5591670746</v>
      </c>
      <c r="N87" s="69" t="n">
        <f aca="false">N81</f>
        <v>67248.5612895636</v>
      </c>
      <c r="O87" s="69" t="n">
        <f aca="false">O81</f>
        <v>97000.2619120095</v>
      </c>
      <c r="P87" s="69" t="n">
        <f aca="false">P81</f>
        <v>86625.4994245392</v>
      </c>
      <c r="Q87" s="69" t="n">
        <f aca="false">Q81</f>
        <v>55197.0619351886</v>
      </c>
      <c r="R87" s="69" t="n">
        <f aca="false">R81</f>
        <v>52499.8838165686</v>
      </c>
      <c r="S87" s="69" t="n">
        <f aca="false">S81</f>
        <v>60389.5383815869</v>
      </c>
      <c r="T87" s="69" t="n">
        <f aca="false">T81</f>
        <v>63804.7474651232</v>
      </c>
      <c r="U87" s="69" t="n">
        <f aca="false">U81</f>
        <v>68745.9260186973</v>
      </c>
      <c r="V87" s="69" t="n">
        <f aca="false">V81</f>
        <v>68138.9349583502</v>
      </c>
      <c r="W87" s="69" t="n">
        <f aca="false">W81</f>
        <v>66003.2149857482</v>
      </c>
      <c r="X87" s="69" t="n">
        <f aca="false">X81</f>
        <v>65986.6526497798</v>
      </c>
      <c r="Y87" s="69" t="n">
        <f aca="false">Y81</f>
        <v>75903.0916485326</v>
      </c>
      <c r="Z87" s="69" t="n">
        <f aca="false">Z81</f>
        <v>87799.7216196542</v>
      </c>
      <c r="AA87" s="69" t="n">
        <f aca="false">AA81</f>
        <v>126643.54195232</v>
      </c>
      <c r="AB87" s="69" t="n">
        <f aca="false">AB81</f>
        <v>113098.252048678</v>
      </c>
    </row>
    <row r="88" customFormat="false" ht="15" hidden="false" customHeight="true" outlineLevel="0" collapsed="false">
      <c r="A88" s="28" t="s">
        <v>1154</v>
      </c>
      <c r="B88" s="55" t="s">
        <v>1159</v>
      </c>
      <c r="C88" s="56" t="n">
        <f aca="false">SUM(E88:P88)</f>
        <v>498191.356333992</v>
      </c>
      <c r="D88" s="56" t="n">
        <f aca="false">SUM(Q88:AB88)</f>
        <v>629378.756195506</v>
      </c>
      <c r="E88" s="69" t="n">
        <f aca="false">E82</f>
        <v>33820.05</v>
      </c>
      <c r="F88" s="69" t="n">
        <f aca="false">F82</f>
        <v>29702.86</v>
      </c>
      <c r="G88" s="69" t="n">
        <f aca="false">G82</f>
        <v>33026.62</v>
      </c>
      <c r="H88" s="69" t="n">
        <f aca="false">H82</f>
        <v>38692.2</v>
      </c>
      <c r="I88" s="69" t="n">
        <f aca="false">I82</f>
        <v>41778.84</v>
      </c>
      <c r="J88" s="69" t="n">
        <f aca="false">J82</f>
        <v>37700</v>
      </c>
      <c r="K88" s="69" t="n">
        <f aca="false">K82</f>
        <v>34852.76</v>
      </c>
      <c r="L88" s="69" t="n">
        <f aca="false">L82</f>
        <v>33529.98</v>
      </c>
      <c r="M88" s="69" t="n">
        <f aca="false">M82</f>
        <v>40466.1442964832</v>
      </c>
      <c r="N88" s="69" t="n">
        <f aca="false">N82</f>
        <v>46808.583512035</v>
      </c>
      <c r="O88" s="69" t="n">
        <f aca="false">O82</f>
        <v>67517.3531348426</v>
      </c>
      <c r="P88" s="69" t="n">
        <f aca="false">P82</f>
        <v>60295.9653906315</v>
      </c>
      <c r="Q88" s="69" t="n">
        <f aca="false">Q82</f>
        <v>38420.0975257624</v>
      </c>
      <c r="R88" s="69" t="n">
        <f aca="false">R82</f>
        <v>36542.7177753074</v>
      </c>
      <c r="S88" s="69" t="n">
        <f aca="false">S82</f>
        <v>42034.3379305342</v>
      </c>
      <c r="T88" s="69" t="n">
        <f aca="false">T82</f>
        <v>44411.505509026</v>
      </c>
      <c r="U88" s="69" t="n">
        <f aca="false">U82</f>
        <v>47850.8291843229</v>
      </c>
      <c r="V88" s="69" t="n">
        <f aca="false">V82</f>
        <v>47428.3310491289</v>
      </c>
      <c r="W88" s="69" t="n">
        <f aca="false">W82</f>
        <v>45941.7560982478</v>
      </c>
      <c r="X88" s="69" t="n">
        <f aca="false">X82</f>
        <v>45930.2278295166</v>
      </c>
      <c r="Y88" s="69" t="n">
        <f aca="false">Y82</f>
        <v>52832.5979934885</v>
      </c>
      <c r="Z88" s="69" t="n">
        <f aca="false">Z82</f>
        <v>61113.2866333129</v>
      </c>
      <c r="AA88" s="69" t="n">
        <f aca="false">AA82</f>
        <v>88150.6562528504</v>
      </c>
      <c r="AB88" s="69" t="n">
        <f aca="false">AB82</f>
        <v>78722.4124140084</v>
      </c>
    </row>
    <row r="89" customFormat="false" ht="15" hidden="false" customHeight="true" outlineLevel="0" collapsed="false">
      <c r="A89" s="28" t="s">
        <v>1155</v>
      </c>
      <c r="B89" s="55" t="s">
        <v>1159</v>
      </c>
      <c r="C89" s="56" t="n">
        <f aca="false">SUM(E89:P89)</f>
        <v>343038.511887697</v>
      </c>
      <c r="D89" s="56" t="n">
        <f aca="false">SUM(Q89:AB89)</f>
        <v>422798.454699061</v>
      </c>
      <c r="E89" s="69" t="n">
        <f aca="false">E83</f>
        <v>24446.66</v>
      </c>
      <c r="F89" s="69" t="n">
        <f aca="false">F83</f>
        <v>20430.42</v>
      </c>
      <c r="G89" s="69" t="n">
        <f aca="false">G83</f>
        <v>24924</v>
      </c>
      <c r="H89" s="69" t="n">
        <f aca="false">H83</f>
        <v>27956.26</v>
      </c>
      <c r="I89" s="69" t="n">
        <f aca="false">I83</f>
        <v>29311.2</v>
      </c>
      <c r="J89" s="69" t="n">
        <f aca="false">J83</f>
        <v>24233.24</v>
      </c>
      <c r="K89" s="69" t="n">
        <f aca="false">K83</f>
        <v>22625.36</v>
      </c>
      <c r="L89" s="69" t="n">
        <f aca="false">L83</f>
        <v>24621.44</v>
      </c>
      <c r="M89" s="69" t="n">
        <f aca="false">M83</f>
        <v>27183.985966739</v>
      </c>
      <c r="N89" s="69" t="n">
        <f aca="false">N83</f>
        <v>31444.6532882223</v>
      </c>
      <c r="O89" s="69" t="n">
        <f aca="false">O83</f>
        <v>45356.2060838208</v>
      </c>
      <c r="P89" s="69" t="n">
        <f aca="false">P83</f>
        <v>40505.0865489143</v>
      </c>
      <c r="Q89" s="69" t="n">
        <f aca="false">Q83</f>
        <v>25809.5108920925</v>
      </c>
      <c r="R89" s="69" t="n">
        <f aca="false">R83</f>
        <v>24548.3414459329</v>
      </c>
      <c r="S89" s="69" t="n">
        <f aca="false">S83</f>
        <v>28237.4531176698</v>
      </c>
      <c r="T89" s="69" t="n">
        <f aca="false">T83</f>
        <v>29834.3655791302</v>
      </c>
      <c r="U89" s="69" t="n">
        <f aca="false">U83</f>
        <v>32144.8038022369</v>
      </c>
      <c r="V89" s="69" t="n">
        <f aca="false">V83</f>
        <v>31860.9817683426</v>
      </c>
      <c r="W89" s="69" t="n">
        <f aca="false">W83</f>
        <v>30862.3436893801</v>
      </c>
      <c r="X89" s="69" t="n">
        <f aca="false">X83</f>
        <v>30854.5993316989</v>
      </c>
      <c r="Y89" s="69" t="n">
        <f aca="false">Y83</f>
        <v>35491.4120781745</v>
      </c>
      <c r="Z89" s="69" t="n">
        <f aca="false">Z83</f>
        <v>41054.1393331031</v>
      </c>
      <c r="AA89" s="69" t="n">
        <f aca="false">AA83</f>
        <v>59217.0626630365</v>
      </c>
      <c r="AB89" s="69" t="n">
        <f aca="false">AB83</f>
        <v>52883.4409982625</v>
      </c>
    </row>
    <row r="90" customFormat="false" ht="15" hidden="false" customHeight="true" outlineLevel="0" collapsed="false">
      <c r="A90" s="28" t="s">
        <v>1156</v>
      </c>
      <c r="B90" s="55" t="s">
        <v>1159</v>
      </c>
      <c r="C90" s="56" t="n">
        <f aca="false">SUM(E90:P90)</f>
        <v>322715.617704666</v>
      </c>
      <c r="D90" s="56" t="n">
        <f aca="false">SUM(Q90:AB90)</f>
        <v>412460.197511018</v>
      </c>
      <c r="E90" s="69" t="n">
        <f aca="false">E84</f>
        <v>21490</v>
      </c>
      <c r="F90" s="69" t="n">
        <f aca="false">F84</f>
        <v>18975.42</v>
      </c>
      <c r="G90" s="69" t="n">
        <f aca="false">G84</f>
        <v>21605.28</v>
      </c>
      <c r="H90" s="69" t="n">
        <f aca="false">H84</f>
        <v>23529.75</v>
      </c>
      <c r="I90" s="69" t="n">
        <f aca="false">I84</f>
        <v>26345.82</v>
      </c>
      <c r="J90" s="69" t="n">
        <f aca="false">J84</f>
        <v>23885.95</v>
      </c>
      <c r="K90" s="69" t="n">
        <f aca="false">K84</f>
        <v>23622.41</v>
      </c>
      <c r="L90" s="69" t="n">
        <f aca="false">L84</f>
        <v>22304.12</v>
      </c>
      <c r="M90" s="69" t="n">
        <f aca="false">M84</f>
        <v>26519.2838250997</v>
      </c>
      <c r="N90" s="69" t="n">
        <f aca="false">N84</f>
        <v>30675.7694163221</v>
      </c>
      <c r="O90" s="69" t="n">
        <f aca="false">O84</f>
        <v>44247.1572726038</v>
      </c>
      <c r="P90" s="69" t="n">
        <f aca="false">P84</f>
        <v>39514.6571906409</v>
      </c>
      <c r="Q90" s="69" t="n">
        <f aca="false">Q84</f>
        <v>25178.4173804335</v>
      </c>
      <c r="R90" s="69" t="n">
        <f aca="false">R84</f>
        <v>23948.0860178743</v>
      </c>
      <c r="S90" s="69" t="n">
        <f aca="false">S84</f>
        <v>27546.9916237328</v>
      </c>
      <c r="T90" s="69" t="n">
        <f aca="false">T84</f>
        <v>29104.8564218211</v>
      </c>
      <c r="U90" s="69" t="n">
        <f aca="false">U84</f>
        <v>31358.7998675649</v>
      </c>
      <c r="V90" s="69" t="n">
        <f aca="false">V84</f>
        <v>31081.9178429101</v>
      </c>
      <c r="W90" s="69" t="n">
        <f aca="false">W84</f>
        <v>30107.6984371555</v>
      </c>
      <c r="X90" s="69" t="n">
        <f aca="false">X84</f>
        <v>30100.1434443137</v>
      </c>
      <c r="Y90" s="69" t="n">
        <f aca="false">Y84</f>
        <v>34623.5769620501</v>
      </c>
      <c r="Z90" s="69" t="n">
        <f aca="false">Z84</f>
        <v>40050.2845499501</v>
      </c>
      <c r="AA90" s="69" t="n">
        <f aca="false">AA84</f>
        <v>57769.0885351115</v>
      </c>
      <c r="AB90" s="69" t="n">
        <f aca="false">AB84</f>
        <v>51590.3364281007</v>
      </c>
    </row>
    <row r="91" customFormat="false" ht="15" hidden="false" customHeight="true" outlineLevel="0" collapsed="false">
      <c r="A91" s="28" t="s">
        <v>1157</v>
      </c>
      <c r="B91" s="55" t="s">
        <v>1159</v>
      </c>
      <c r="C91" s="56" t="n">
        <f aca="false">SUM(E91:P91)</f>
        <v>163123.486274061</v>
      </c>
      <c r="D91" s="56" t="n">
        <f aca="false">SUM(Q91:AB91)</f>
        <v>203469.0834461</v>
      </c>
      <c r="E91" s="69" t="n">
        <f aca="false">E85</f>
        <v>12138.96</v>
      </c>
      <c r="F91" s="69" t="n">
        <f aca="false">F85</f>
        <v>10025.73</v>
      </c>
      <c r="G91" s="69" t="n">
        <f aca="false">G85</f>
        <v>11672.64</v>
      </c>
      <c r="H91" s="69" t="n">
        <f aca="false">H85</f>
        <v>11609.5</v>
      </c>
      <c r="I91" s="69" t="n">
        <f aca="false">I85</f>
        <v>13095.42</v>
      </c>
      <c r="J91" s="69" t="n">
        <f aca="false">J85</f>
        <v>13051.35</v>
      </c>
      <c r="K91" s="69" t="n">
        <f aca="false">K85</f>
        <v>10897.12</v>
      </c>
      <c r="L91" s="69" t="n">
        <f aca="false">L85</f>
        <v>11097.9</v>
      </c>
      <c r="M91" s="69" t="n">
        <f aca="false">M85</f>
        <v>13082.1213928063</v>
      </c>
      <c r="N91" s="69" t="n">
        <f aca="false">N85</f>
        <v>15132.5406058756</v>
      </c>
      <c r="O91" s="69" t="n">
        <f aca="false">O85</f>
        <v>21827.3874416976</v>
      </c>
      <c r="P91" s="69" t="n">
        <f aca="false">P85</f>
        <v>19492.8168336819</v>
      </c>
      <c r="Q91" s="69" t="n">
        <f aca="false">Q85</f>
        <v>12420.6639523885</v>
      </c>
      <c r="R91" s="69" t="n">
        <f aca="false">R85</f>
        <v>11813.7341293764</v>
      </c>
      <c r="S91" s="69" t="n">
        <f aca="false">S85</f>
        <v>13589.095799307</v>
      </c>
      <c r="T91" s="69" t="n">
        <f aca="false">T85</f>
        <v>14357.5998259082</v>
      </c>
      <c r="U91" s="69" t="n">
        <f aca="false">U85</f>
        <v>15469.483614483</v>
      </c>
      <c r="V91" s="69" t="n">
        <f aca="false">V85</f>
        <v>15332.896054958</v>
      </c>
      <c r="W91" s="69" t="n">
        <f aca="false">W85</f>
        <v>14852.3077927197</v>
      </c>
      <c r="X91" s="69" t="n">
        <f aca="false">X85</f>
        <v>14848.5808695444</v>
      </c>
      <c r="Y91" s="69" t="n">
        <f aca="false">Y85</f>
        <v>17080.0176904479</v>
      </c>
      <c r="Z91" s="69" t="n">
        <f aca="false">Z85</f>
        <v>19757.0450150312</v>
      </c>
      <c r="AA91" s="69" t="n">
        <f aca="false">AA85</f>
        <v>28497.8370438804</v>
      </c>
      <c r="AB91" s="69" t="n">
        <f aca="false">AB85</f>
        <v>25449.8216580551</v>
      </c>
    </row>
    <row r="92" customFormat="false" ht="15" hidden="false" customHeight="true" outlineLevel="0" collapsed="false">
      <c r="A92" s="70" t="s">
        <v>1158</v>
      </c>
      <c r="B92" s="71" t="s">
        <v>310</v>
      </c>
      <c r="C92" s="72" t="n">
        <f aca="false">SUM(E92:P92)</f>
        <v>2055315.6539936</v>
      </c>
      <c r="D92" s="72" t="n">
        <f aca="false">SUM(Q92:AB92)</f>
        <v>2572317.05933191</v>
      </c>
      <c r="E92" s="72" t="n">
        <f aca="false">E86</f>
        <v>142665.07</v>
      </c>
      <c r="F92" s="72" t="n">
        <f aca="false">F86</f>
        <v>123842.38</v>
      </c>
      <c r="G92" s="72" t="n">
        <f aca="false">G86</f>
        <v>145203.34</v>
      </c>
      <c r="H92" s="72" t="n">
        <f aca="false">H86</f>
        <v>156504.46</v>
      </c>
      <c r="I92" s="72" t="n">
        <f aca="false">I86</f>
        <v>171801.28</v>
      </c>
      <c r="J92" s="72" t="n">
        <f aca="false">J86</f>
        <v>157650.56</v>
      </c>
      <c r="K92" s="72" t="n">
        <f aca="false">K86</f>
        <v>139652.11</v>
      </c>
      <c r="L92" s="72" t="n">
        <f aca="false">L86</f>
        <v>138915.86</v>
      </c>
      <c r="M92" s="72" t="n">
        <f aca="false">M86</f>
        <v>165388.094648203</v>
      </c>
      <c r="N92" s="72" t="n">
        <f aca="false">N86</f>
        <v>191310.108112019</v>
      </c>
      <c r="O92" s="72" t="n">
        <f aca="false">O86</f>
        <v>275948.365844974</v>
      </c>
      <c r="P92" s="72" t="n">
        <f aca="false">P86</f>
        <v>246434.025388408</v>
      </c>
      <c r="Q92" s="72" t="n">
        <f aca="false">Q86</f>
        <v>157025.751685866</v>
      </c>
      <c r="R92" s="72" t="n">
        <f aca="false">R86</f>
        <v>149352.76318506</v>
      </c>
      <c r="S92" s="72" t="n">
        <f aca="false">S86</f>
        <v>171797.416852831</v>
      </c>
      <c r="T92" s="72" t="n">
        <f aca="false">T86</f>
        <v>181513.074801009</v>
      </c>
      <c r="U92" s="72" t="n">
        <f aca="false">U86</f>
        <v>195569.842487305</v>
      </c>
      <c r="V92" s="72" t="n">
        <f aca="false">V86</f>
        <v>193843.06167369</v>
      </c>
      <c r="W92" s="72" t="n">
        <f aca="false">W86</f>
        <v>187767.321003251</v>
      </c>
      <c r="X92" s="72" t="n">
        <f aca="false">X86</f>
        <v>187720.204124853</v>
      </c>
      <c r="Y92" s="72" t="n">
        <f aca="false">Y86</f>
        <v>215930.696372694</v>
      </c>
      <c r="Z92" s="72" t="n">
        <f aca="false">Z86</f>
        <v>249774.477151051</v>
      </c>
      <c r="AA92" s="72" t="n">
        <f aca="false">AA86</f>
        <v>360278.186447198</v>
      </c>
      <c r="AB92" s="72" t="n">
        <f aca="false">AB86</f>
        <v>321744.263547105</v>
      </c>
    </row>
    <row r="93" customFormat="false" ht="15" hidden="false" customHeight="true" outlineLevel="0" collapsed="false">
      <c r="A93" s="28" t="s">
        <v>1160</v>
      </c>
      <c r="B93" s="55" t="s">
        <v>1161</v>
      </c>
      <c r="C93" s="56" t="n">
        <f aca="false">SUM(E93:P93)</f>
        <v>273293.726503598</v>
      </c>
      <c r="D93" s="56" t="n">
        <f aca="false">SUM(Q93:AB93)</f>
        <v>345789.656662667</v>
      </c>
      <c r="E93" s="69" t="n">
        <f aca="false">E65*E14</f>
        <v>18753</v>
      </c>
      <c r="F93" s="69" t="n">
        <f aca="false">F65*F14</f>
        <v>16272.9</v>
      </c>
      <c r="G93" s="69" t="n">
        <f aca="false">G65*G14</f>
        <v>19978.2</v>
      </c>
      <c r="H93" s="69" t="n">
        <f aca="false">H65*H14</f>
        <v>20533.3</v>
      </c>
      <c r="I93" s="69" t="n">
        <f aca="false">I65*I14</f>
        <v>22583</v>
      </c>
      <c r="J93" s="69" t="n">
        <f aca="false">J65*J14</f>
        <v>21888.12</v>
      </c>
      <c r="K93" s="69" t="n">
        <f aca="false">K65*K14</f>
        <v>17997.21</v>
      </c>
      <c r="L93" s="69" t="n">
        <f aca="false">L65*L14</f>
        <v>17945.9</v>
      </c>
      <c r="M93" s="69" t="n">
        <f aca="false">M65*M14</f>
        <v>22046.2014111679</v>
      </c>
      <c r="N93" s="69" t="n">
        <f aca="false">N65*N14</f>
        <v>25522.3424559791</v>
      </c>
      <c r="O93" s="69" t="n">
        <f aca="false">O65*O14</f>
        <v>36843.7247239783</v>
      </c>
      <c r="P93" s="69" t="n">
        <f aca="false">P65*P14</f>
        <v>32929.827912473</v>
      </c>
      <c r="Q93" s="69" t="n">
        <f aca="false">Q65*Q14</f>
        <v>20999.6839643457</v>
      </c>
      <c r="R93" s="69" t="n">
        <f aca="false">R65*R14</f>
        <v>19989.7898039056</v>
      </c>
      <c r="S93" s="69" t="n">
        <f aca="false">S65*S14</f>
        <v>23012.5466963922</v>
      </c>
      <c r="T93" s="69" t="n">
        <f aca="false">T65*T14</f>
        <v>24333.7507206434</v>
      </c>
      <c r="U93" s="69" t="n">
        <f aca="false">U65*U14</f>
        <v>26239.5338074774</v>
      </c>
      <c r="V93" s="69" t="n">
        <f aca="false">V65*V14</f>
        <v>26029.0056219571</v>
      </c>
      <c r="W93" s="69" t="n">
        <f aca="false">W65*W14</f>
        <v>25233.6697131004</v>
      </c>
      <c r="X93" s="69" t="n">
        <f aca="false">X65*X14</f>
        <v>25247.8563045014</v>
      </c>
      <c r="Y93" s="69" t="n">
        <f aca="false">Y65*Y14</f>
        <v>29065.7119404837</v>
      </c>
      <c r="Z93" s="69" t="n">
        <f aca="false">Z65*Z14</f>
        <v>33648.6562939629</v>
      </c>
      <c r="AA93" s="69" t="n">
        <f aca="false">AA65*AA14</f>
        <v>48574.766676093</v>
      </c>
      <c r="AB93" s="69" t="n">
        <f aca="false">AB65*AB14</f>
        <v>43414.6851198044</v>
      </c>
    </row>
    <row r="94" customFormat="false" ht="15" hidden="false" customHeight="true" outlineLevel="0" collapsed="false">
      <c r="A94" s="28" t="s">
        <v>1162</v>
      </c>
      <c r="B94" s="55" t="s">
        <v>1161</v>
      </c>
      <c r="C94" s="56" t="n">
        <f aca="false">SUM(E94:P94)</f>
        <v>161494.180995893</v>
      </c>
      <c r="D94" s="56" t="n">
        <f aca="false">SUM(Q94:AB94)</f>
        <v>205545.501793059</v>
      </c>
      <c r="E94" s="69" t="n">
        <f aca="false">E66*E15</f>
        <v>10753.2</v>
      </c>
      <c r="F94" s="69" t="n">
        <f aca="false">F66*F15</f>
        <v>9529.63</v>
      </c>
      <c r="G94" s="69" t="n">
        <f aca="false">G66*G15</f>
        <v>10787.92</v>
      </c>
      <c r="H94" s="69" t="n">
        <f aca="false">H66*H15</f>
        <v>12502.1</v>
      </c>
      <c r="I94" s="69" t="n">
        <f aca="false">I66*I15</f>
        <v>13604.04</v>
      </c>
      <c r="J94" s="69" t="n">
        <f aca="false">J66*J15</f>
        <v>12365.6</v>
      </c>
      <c r="K94" s="69" t="n">
        <f aca="false">K66*K15</f>
        <v>11351.08</v>
      </c>
      <c r="L94" s="69" t="n">
        <f aca="false">L66*L15</f>
        <v>10849.71</v>
      </c>
      <c r="M94" s="69" t="n">
        <f aca="false">M66*M15</f>
        <v>13104.7804478143</v>
      </c>
      <c r="N94" s="69" t="n">
        <f aca="false">N66*N15</f>
        <v>15171.0804125244</v>
      </c>
      <c r="O94" s="69" t="n">
        <f aca="false">O66*O15</f>
        <v>21900.7762100395</v>
      </c>
      <c r="P94" s="69" t="n">
        <f aca="false">P66*P15</f>
        <v>19574.2639255152</v>
      </c>
      <c r="Q94" s="69" t="n">
        <f aca="false">Q66*Q15</f>
        <v>12482.7058727147</v>
      </c>
      <c r="R94" s="69" t="n">
        <f aca="false">R66*R15</f>
        <v>11882.401040092</v>
      </c>
      <c r="S94" s="69" t="n">
        <f aca="false">S66*S15</f>
        <v>13679.1988051296</v>
      </c>
      <c r="T94" s="69" t="n">
        <f aca="false">T66*T15</f>
        <v>14464.5535400188</v>
      </c>
      <c r="U94" s="69" t="n">
        <f aca="false">U66*U15</f>
        <v>15597.395813766</v>
      </c>
      <c r="V94" s="69" t="n">
        <f aca="false">V66*V15</f>
        <v>15472.2529105572</v>
      </c>
      <c r="W94" s="69" t="n">
        <f aca="false">W66*W15</f>
        <v>14999.4865471623</v>
      </c>
      <c r="X94" s="69" t="n">
        <f aca="false">X66*X15</f>
        <v>15007.9193906325</v>
      </c>
      <c r="Y94" s="69" t="n">
        <f aca="false">Y66*Y15</f>
        <v>17277.3425423984</v>
      </c>
      <c r="Z94" s="69" t="n">
        <f aca="false">Z66*Z15</f>
        <v>20001.5524158721</v>
      </c>
      <c r="AA94" s="69" t="n">
        <f aca="false">AA66*AA15</f>
        <v>28873.983355316</v>
      </c>
      <c r="AB94" s="69" t="n">
        <f aca="false">AB66*AB15</f>
        <v>25806.7095593992</v>
      </c>
    </row>
    <row r="95" customFormat="false" ht="15" hidden="false" customHeight="true" outlineLevel="0" collapsed="false">
      <c r="A95" s="28" t="s">
        <v>1163</v>
      </c>
      <c r="B95" s="55" t="s">
        <v>1161</v>
      </c>
      <c r="C95" s="56" t="n">
        <f aca="false">SUM(E95:P95)</f>
        <v>120919.359986029</v>
      </c>
      <c r="D95" s="56" t="n">
        <f aca="false">SUM(Q95:AB95)</f>
        <v>151214.851748415</v>
      </c>
      <c r="E95" s="69" t="n">
        <f aca="false">E67*E16</f>
        <v>8420.58</v>
      </c>
      <c r="F95" s="69" t="n">
        <f aca="false">F67*F16</f>
        <v>7144.29</v>
      </c>
      <c r="G95" s="69" t="n">
        <f aca="false">G67*G16</f>
        <v>8796</v>
      </c>
      <c r="H95" s="69" t="n">
        <f aca="false">H67*H16</f>
        <v>9724.78</v>
      </c>
      <c r="I95" s="69" t="n">
        <f aca="false">I67*I16</f>
        <v>10156.8</v>
      </c>
      <c r="J95" s="69" t="n">
        <f aca="false">J67*J16</f>
        <v>8416.54</v>
      </c>
      <c r="K95" s="69" t="n">
        <f aca="false">K67*K16</f>
        <v>8221.36</v>
      </c>
      <c r="L95" s="69" t="n">
        <f aca="false">L67*L16</f>
        <v>8724.96</v>
      </c>
      <c r="M95" s="69" t="n">
        <f aca="false">M67*M16</f>
        <v>9640.86985764766</v>
      </c>
      <c r="N95" s="69" t="n">
        <f aca="false">N67*N16</f>
        <v>11160.9967400445</v>
      </c>
      <c r="O95" s="69" t="n">
        <f aca="false">O67*O16</f>
        <v>16111.8710888187</v>
      </c>
      <c r="P95" s="69" t="n">
        <f aca="false">P67*P16</f>
        <v>14400.3122995177</v>
      </c>
      <c r="Q95" s="69" t="n">
        <f aca="false">Q67*Q16</f>
        <v>9183.22464610298</v>
      </c>
      <c r="R95" s="69" t="n">
        <f aca="false">R67*R16</f>
        <v>8741.59490730047</v>
      </c>
      <c r="S95" s="69" t="n">
        <f aca="false">S67*S16</f>
        <v>10063.4555429839</v>
      </c>
      <c r="T95" s="69" t="n">
        <f aca="false">T67*T16</f>
        <v>10641.2220169286</v>
      </c>
      <c r="U95" s="69" t="n">
        <f aca="false">U67*U16</f>
        <v>11474.6266644869</v>
      </c>
      <c r="V95" s="69" t="n">
        <f aca="false">V67*V16</f>
        <v>11382.5620588837</v>
      </c>
      <c r="W95" s="69" t="n">
        <f aca="false">W67*W16</f>
        <v>11034.7592856351</v>
      </c>
      <c r="X95" s="69" t="n">
        <f aca="false">X67*X16</f>
        <v>11040.9631245128</v>
      </c>
      <c r="Y95" s="69" t="n">
        <f aca="false">Y67*Y16</f>
        <v>12710.5228203227</v>
      </c>
      <c r="Z95" s="69" t="n">
        <f aca="false">Z67*Z16</f>
        <v>14714.6581020747</v>
      </c>
      <c r="AA95" s="69" t="n">
        <f aca="false">AA67*AA16</f>
        <v>21241.8908434986</v>
      </c>
      <c r="AB95" s="69" t="n">
        <f aca="false">AB67*AB16</f>
        <v>18985.3717356841</v>
      </c>
    </row>
    <row r="96" customFormat="false" ht="15" hidden="false" customHeight="true" outlineLevel="0" collapsed="false">
      <c r="A96" s="28" t="s">
        <v>1164</v>
      </c>
      <c r="B96" s="55" t="s">
        <v>1161</v>
      </c>
      <c r="C96" s="56" t="n">
        <f aca="false">SUM(E96:P96)</f>
        <v>122831.181313671</v>
      </c>
      <c r="D96" s="56" t="n">
        <f aca="false">SUM(Q96:AB96)</f>
        <v>158681.409530009</v>
      </c>
      <c r="E96" s="69" t="n">
        <f aca="false">E68*E17</f>
        <v>7939.02</v>
      </c>
      <c r="F96" s="69" t="n">
        <f aca="false">F68*F17</f>
        <v>7111.04</v>
      </c>
      <c r="G96" s="69" t="n">
        <f aca="false">G68*G17</f>
        <v>8120.52</v>
      </c>
      <c r="H96" s="69" t="n">
        <f aca="false">H68*H17</f>
        <v>9021.45</v>
      </c>
      <c r="I96" s="69" t="n">
        <f aca="false">I68*I17</f>
        <v>10121.3</v>
      </c>
      <c r="J96" s="69" t="n">
        <f aca="false">J68*J17</f>
        <v>9083.1</v>
      </c>
      <c r="K96" s="69" t="n">
        <f aca="false">K68*K17</f>
        <v>9085.02</v>
      </c>
      <c r="L96" s="69" t="n">
        <f aca="false">L68*L17</f>
        <v>8501.94</v>
      </c>
      <c r="M96" s="69" t="n">
        <f aca="false">M68*M17</f>
        <v>10116.9084942277</v>
      </c>
      <c r="N96" s="69" t="n">
        <f aca="false">N68*N17</f>
        <v>11712.094903328</v>
      </c>
      <c r="O96" s="69" t="n">
        <f aca="false">O68*O17</f>
        <v>16907.4292966489</v>
      </c>
      <c r="P96" s="69" t="n">
        <f aca="false">P68*P17</f>
        <v>15111.3586194668</v>
      </c>
      <c r="Q96" s="69" t="n">
        <f aca="false">Q68*Q17</f>
        <v>9636.66606834882</v>
      </c>
      <c r="R96" s="69" t="n">
        <f aca="false">R68*R17</f>
        <v>9173.22991354475</v>
      </c>
      <c r="S96" s="69" t="n">
        <f aca="false">S68*S17</f>
        <v>10560.3602545608</v>
      </c>
      <c r="T96" s="69" t="n">
        <f aca="false">T68*T17</f>
        <v>11166.6551879267</v>
      </c>
      <c r="U96" s="69" t="n">
        <f aca="false">U68*U17</f>
        <v>12041.2109782761</v>
      </c>
      <c r="V96" s="69" t="n">
        <f aca="false">V68*V17</f>
        <v>11944.6004852192</v>
      </c>
      <c r="W96" s="69" t="n">
        <f aca="false">W68*W17</f>
        <v>11579.624203727</v>
      </c>
      <c r="X96" s="69" t="n">
        <f aca="false">X68*X17</f>
        <v>11586.1343704615</v>
      </c>
      <c r="Y96" s="69" t="n">
        <f aca="false">Y68*Y17</f>
        <v>13338.1321587898</v>
      </c>
      <c r="Z96" s="69" t="n">
        <f aca="false">Z68*Z17</f>
        <v>15441.2259205477</v>
      </c>
      <c r="AA96" s="69" t="n">
        <f aca="false">AA68*AA17</f>
        <v>22290.7547847019</v>
      </c>
      <c r="AB96" s="69" t="n">
        <f aca="false">AB68*AB17</f>
        <v>19922.815203905</v>
      </c>
    </row>
    <row r="97" customFormat="false" ht="15" hidden="false" customHeight="true" outlineLevel="0" collapsed="false">
      <c r="A97" s="28" t="s">
        <v>1165</v>
      </c>
      <c r="B97" s="55" t="s">
        <v>1161</v>
      </c>
      <c r="C97" s="56" t="n">
        <f aca="false">SUM(E97:P97)</f>
        <v>65427.3507957467</v>
      </c>
      <c r="D97" s="56" t="n">
        <f aca="false">SUM(Q97:AB97)</f>
        <v>83689.741328047</v>
      </c>
      <c r="E97" s="69" t="n">
        <f aca="false">E69*E18</f>
        <v>4670.88</v>
      </c>
      <c r="F97" s="69" t="n">
        <f aca="false">F69*F18</f>
        <v>3907.71</v>
      </c>
      <c r="G97" s="69" t="n">
        <f aca="false">G69*G18</f>
        <v>4557.6</v>
      </c>
      <c r="H97" s="69" t="n">
        <f aca="false">H69*H18</f>
        <v>4622.1</v>
      </c>
      <c r="I97" s="69" t="n">
        <f aca="false">I69*I18</f>
        <v>5212.74</v>
      </c>
      <c r="J97" s="69" t="n">
        <f aca="false">J69*J18</f>
        <v>5189.5</v>
      </c>
      <c r="K97" s="69" t="n">
        <f aca="false">K69*K18</f>
        <v>4344.34</v>
      </c>
      <c r="L97" s="69" t="n">
        <f aca="false">L69*L18</f>
        <v>4522.76</v>
      </c>
      <c r="M97" s="69" t="n">
        <f aca="false">M69*M18</f>
        <v>5335.73187577031</v>
      </c>
      <c r="N97" s="69" t="n">
        <f aca="false">N69*N18</f>
        <v>6177.04490886621</v>
      </c>
      <c r="O97" s="69" t="n">
        <f aca="false">O69*O18</f>
        <v>8917.10244161394</v>
      </c>
      <c r="P97" s="69" t="n">
        <f aca="false">P69*P18</f>
        <v>7969.84156949626</v>
      </c>
      <c r="Q97" s="69" t="n">
        <f aca="false">Q69*Q18</f>
        <v>5082.44849168899</v>
      </c>
      <c r="R97" s="69" t="n">
        <f aca="false">R69*R18</f>
        <v>4838.0288584598</v>
      </c>
      <c r="S97" s="69" t="n">
        <f aca="false">S69*S18</f>
        <v>5569.61159251642</v>
      </c>
      <c r="T97" s="69" t="n">
        <f aca="false">T69*T18</f>
        <v>5889.37599524124</v>
      </c>
      <c r="U97" s="69" t="n">
        <f aca="false">U69*U18</f>
        <v>6350.62314503698</v>
      </c>
      <c r="V97" s="69" t="n">
        <f aca="false">V69*V18</f>
        <v>6299.67006113475</v>
      </c>
      <c r="W97" s="69" t="n">
        <f aca="false">W69*W18</f>
        <v>6107.17888854293</v>
      </c>
      <c r="X97" s="69" t="n">
        <f aca="false">X69*X18</f>
        <v>6110.61239831339</v>
      </c>
      <c r="Y97" s="69" t="n">
        <f aca="false">Y69*Y18</f>
        <v>7034.62890501558</v>
      </c>
      <c r="Z97" s="69" t="n">
        <f aca="false">Z69*Z18</f>
        <v>8143.81600784921</v>
      </c>
      <c r="AA97" s="69" t="n">
        <f aca="false">AA69*AA18</f>
        <v>11756.3078590238</v>
      </c>
      <c r="AB97" s="69" t="n">
        <f aca="false">AB69*AB18</f>
        <v>10507.4391252239</v>
      </c>
    </row>
    <row r="98" customFormat="false" ht="15" hidden="false" customHeight="true" outlineLevel="0" collapsed="false">
      <c r="A98" s="70" t="s">
        <v>1166</v>
      </c>
      <c r="B98" s="71" t="s">
        <v>310</v>
      </c>
      <c r="C98" s="72" t="n">
        <f aca="false">SUM(E98:P98)</f>
        <v>743965.799594938</v>
      </c>
      <c r="D98" s="72" t="n">
        <f aca="false">SUM(Q98:AB98)</f>
        <v>944921.161062197</v>
      </c>
      <c r="E98" s="72" t="n">
        <f aca="false">SUM(E93:E97)</f>
        <v>50536.68</v>
      </c>
      <c r="F98" s="72" t="n">
        <f aca="false">SUM(F93:F97)</f>
        <v>43965.57</v>
      </c>
      <c r="G98" s="72" t="n">
        <f aca="false">SUM(G93:G97)</f>
        <v>52240.24</v>
      </c>
      <c r="H98" s="72" t="n">
        <f aca="false">SUM(H93:H97)</f>
        <v>56403.73</v>
      </c>
      <c r="I98" s="72" t="n">
        <f aca="false">SUM(I93:I97)</f>
        <v>61677.88</v>
      </c>
      <c r="J98" s="72" t="n">
        <f aca="false">SUM(J93:J97)</f>
        <v>56942.86</v>
      </c>
      <c r="K98" s="72" t="n">
        <f aca="false">SUM(K93:K97)</f>
        <v>50999.01</v>
      </c>
      <c r="L98" s="72" t="n">
        <f aca="false">SUM(L93:L97)</f>
        <v>50545.27</v>
      </c>
      <c r="M98" s="72" t="n">
        <f aca="false">SUM(M93:M97)</f>
        <v>60244.4920866278</v>
      </c>
      <c r="N98" s="72" t="n">
        <f aca="false">SUM(N93:N97)</f>
        <v>69743.5594207422</v>
      </c>
      <c r="O98" s="72" t="n">
        <f aca="false">SUM(O93:O97)</f>
        <v>100680.903761099</v>
      </c>
      <c r="P98" s="72" t="n">
        <f aca="false">SUM(P93:P97)</f>
        <v>89985.6043264689</v>
      </c>
      <c r="Q98" s="72" t="n">
        <f aca="false">SUM(Q93:Q97)</f>
        <v>57384.7290432012</v>
      </c>
      <c r="R98" s="72" t="n">
        <f aca="false">SUM(R93:R97)</f>
        <v>54625.0445233026</v>
      </c>
      <c r="S98" s="72" t="n">
        <f aca="false">SUM(S93:S97)</f>
        <v>62885.1728915829</v>
      </c>
      <c r="T98" s="72" t="n">
        <f aca="false">SUM(T93:T97)</f>
        <v>66495.5574607588</v>
      </c>
      <c r="U98" s="72" t="n">
        <f aca="false">SUM(U93:U97)</f>
        <v>71703.3904090433</v>
      </c>
      <c r="V98" s="72" t="n">
        <f aca="false">SUM(V93:V97)</f>
        <v>71128.0911377519</v>
      </c>
      <c r="W98" s="72" t="n">
        <f aca="false">SUM(W93:W97)</f>
        <v>68954.7186381678</v>
      </c>
      <c r="X98" s="72" t="n">
        <f aca="false">SUM(X93:X97)</f>
        <v>68993.4855884217</v>
      </c>
      <c r="Y98" s="72" t="n">
        <f aca="false">SUM(Y93:Y97)</f>
        <v>79426.3383670101</v>
      </c>
      <c r="Z98" s="72" t="n">
        <f aca="false">SUM(Z93:Z97)</f>
        <v>91949.9087403066</v>
      </c>
      <c r="AA98" s="72" t="n">
        <f aca="false">SUM(AA93:AA97)</f>
        <v>132737.703518633</v>
      </c>
      <c r="AB98" s="72" t="n">
        <f aca="false">SUM(AB93:AB97)</f>
        <v>118637.020744017</v>
      </c>
    </row>
    <row r="99" customFormat="false" ht="15" hidden="false" customHeight="true" outlineLevel="0" collapsed="false">
      <c r="A99" s="22" t="s">
        <v>1168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row>
    <row r="100" customFormat="false" ht="15" hidden="false" customHeight="true" outlineLevel="0" collapsed="false">
      <c r="A100" s="28" t="s">
        <v>1129</v>
      </c>
      <c r="B100" s="55" t="s">
        <v>641</v>
      </c>
      <c r="C100" s="117" t="n">
        <f aca="false">IFERROR(SUMIFS(Inputs_Actuals!$E$24:$AB$24,Assumptions!$E$62:$AB$62,"&gt;"&amp;(Assumptions!$C$10-Assumptions!$C$30),Assumptions!$E$62:$AB$62,"&lt;="&amp;Assumptions!$C$10)/SUMIFS(Inputs_Actuals!$E$29:$AB$29,Assumptions!$E$62:$AB$62,"&gt;"&amp;(Assumptions!$C$10-Assumptions!$C$30),Assumptions!$E$62:$AB$62,"&lt;="&amp;Assumptions!$C$10),0)</f>
        <v>0.254448398576512</v>
      </c>
    </row>
    <row r="101" customFormat="false" ht="15" hidden="false" customHeight="true" outlineLevel="0" collapsed="false">
      <c r="A101" s="28" t="s">
        <v>1130</v>
      </c>
      <c r="B101" s="55" t="s">
        <v>641</v>
      </c>
      <c r="C101" s="117" t="n">
        <f aca="false">IFERROR(SUMIFS(Inputs_Actuals!$E$25:$AB$25,Assumptions!$E$62:$AB$62,"&gt;"&amp;(Assumptions!$C$10-Assumptions!$C$30),Assumptions!$E$62:$AB$62,"&lt;="&amp;Assumptions!$C$10)/SUMIFS(Inputs_Actuals!$E$29:$AB$29,Assumptions!$E$62:$AB$62,"&gt;"&amp;(Assumptions!$C$10-Assumptions!$C$30),Assumptions!$E$62:$AB$62,"&lt;="&amp;Assumptions!$C$10),0)</f>
        <v>0.149466192170819</v>
      </c>
    </row>
    <row r="102" customFormat="false" ht="15" hidden="false" customHeight="true" outlineLevel="0" collapsed="false">
      <c r="A102" s="28" t="s">
        <v>1131</v>
      </c>
      <c r="B102" s="55" t="s">
        <v>641</v>
      </c>
      <c r="C102" s="117" t="n">
        <f aca="false">IFERROR(SUMIFS(Inputs_Actuals!$E$26:$AB$26,Assumptions!$E$62:$AB$62,"&gt;"&amp;(Assumptions!$C$10-Assumptions!$C$30),Assumptions!$E$62:$AB$62,"&lt;="&amp;Assumptions!$C$10)/SUMIFS(Inputs_Actuals!$E$29:$AB$29,Assumptions!$E$62:$AB$62,"&gt;"&amp;(Assumptions!$C$10-Assumptions!$C$30),Assumptions!$E$62:$AB$62,"&lt;="&amp;Assumptions!$C$10),0)</f>
        <v>0.196619217081851</v>
      </c>
    </row>
    <row r="103" customFormat="false" ht="15" hidden="false" customHeight="true" outlineLevel="0" collapsed="false">
      <c r="A103" s="28" t="s">
        <v>1132</v>
      </c>
      <c r="B103" s="55" t="s">
        <v>641</v>
      </c>
      <c r="C103" s="117" t="n">
        <f aca="false">IFERROR(SUMIFS(Inputs_Actuals!$E$27:$AB$27,Assumptions!$E$62:$AB$62,"&gt;"&amp;(Assumptions!$C$10-Assumptions!$C$30),Assumptions!$E$62:$AB$62,"&lt;="&amp;Assumptions!$C$10)/SUMIFS(Inputs_Actuals!$E$29:$AB$29,Assumptions!$E$62:$AB$62,"&gt;"&amp;(Assumptions!$C$10-Assumptions!$C$30),Assumptions!$E$62:$AB$62,"&lt;="&amp;Assumptions!$C$10),0)</f>
        <v>0.249110320284698</v>
      </c>
    </row>
    <row r="104" customFormat="false" ht="15" hidden="false" customHeight="true" outlineLevel="0" collapsed="false">
      <c r="A104" s="28" t="s">
        <v>1133</v>
      </c>
      <c r="B104" s="55" t="s">
        <v>641</v>
      </c>
      <c r="C104" s="117" t="n">
        <f aca="false">IFERROR(SUMIFS(Inputs_Actuals!$E$28:$AB$28,Assumptions!$E$62:$AB$62,"&gt;"&amp;(Assumptions!$C$10-Assumptions!$C$30),Assumptions!$E$62:$AB$62,"&lt;="&amp;Assumptions!$C$10)/SUMIFS(Inputs_Actuals!$E$29:$AB$29,Assumptions!$E$62:$AB$62,"&gt;"&amp;(Assumptions!$C$10-Assumptions!$C$30),Assumptions!$E$62:$AB$62,"&lt;="&amp;Assumptions!$C$10),0)</f>
        <v>0.150355871886121</v>
      </c>
    </row>
    <row r="105" customFormat="false" ht="15" hidden="false" customHeight="true" outlineLevel="0" collapsed="false">
      <c r="A105" s="28" t="s">
        <v>1134</v>
      </c>
      <c r="B105" s="55" t="s">
        <v>1135</v>
      </c>
      <c r="C105" s="56" t="n">
        <f aca="false">SUM(E105:P105)</f>
        <v>2277.26879050727</v>
      </c>
      <c r="D105" s="56" t="n">
        <f aca="false">SUM(Q105:AB105)</f>
        <v>4247.1139344733</v>
      </c>
      <c r="E105" s="57" t="n">
        <f aca="false">IF(E$5="A",Inputs_Actuals!E24,Channel_PL!E82*Volume_Price!$C$100)</f>
        <v>61</v>
      </c>
      <c r="F105" s="57" t="n">
        <f aca="false">IF(F$5="A",Inputs_Actuals!F24,Channel_PL!F82*Volume_Price!$C$100)</f>
        <v>67</v>
      </c>
      <c r="G105" s="57" t="n">
        <f aca="false">IF(G$5="A",Inputs_Actuals!G24,Channel_PL!G82*Volume_Price!$C$100)</f>
        <v>102</v>
      </c>
      <c r="H105" s="57" t="n">
        <f aca="false">IF(H$5="A",Inputs_Actuals!H24,Channel_PL!H82*Volume_Price!$C$100)</f>
        <v>126</v>
      </c>
      <c r="I105" s="57" t="n">
        <f aca="false">IF(I$5="A",Inputs_Actuals!I24,Channel_PL!I82*Volume_Price!$C$100)</f>
        <v>153</v>
      </c>
      <c r="J105" s="57" t="n">
        <f aca="false">IF(J$5="A",Inputs_Actuals!J24,Channel_PL!J82*Volume_Price!$C$100)</f>
        <v>180</v>
      </c>
      <c r="K105" s="57" t="n">
        <f aca="false">IF(K$5="A",Inputs_Actuals!K24,Channel_PL!K82*Volume_Price!$C$100)</f>
        <v>170</v>
      </c>
      <c r="L105" s="57" t="n">
        <f aca="false">IF(L$5="A",Inputs_Actuals!L24,Channel_PL!L82*Volume_Price!$C$100)</f>
        <v>222</v>
      </c>
      <c r="M105" s="57" t="n">
        <f aca="false">IF(M$5="A",Inputs_Actuals!M24,Channel_PL!M82*Volume_Price!$C$100)</f>
        <v>216.806677041096</v>
      </c>
      <c r="N105" s="57" t="n">
        <f aca="false">IF(N$5="A",Inputs_Actuals!N24,Channel_PL!N82*Volume_Price!$C$100)</f>
        <v>256.365486854274</v>
      </c>
      <c r="O105" s="57" t="n">
        <f aca="false">IF(O$5="A",Inputs_Actuals!O24,Channel_PL!O82*Volume_Price!$C$100)</f>
        <v>378.009486546052</v>
      </c>
      <c r="P105" s="57" t="n">
        <f aca="false">IF(P$5="A",Inputs_Actuals!P24,Channel_PL!P82*Volume_Price!$C$100)</f>
        <v>345.087140065847</v>
      </c>
      <c r="Q105" s="57" t="n">
        <f aca="false">IF(Q$5="A",Inputs_Actuals!Q24,Channel_PL!Q82*Volume_Price!$C$100)</f>
        <v>224.777179246165</v>
      </c>
      <c r="R105" s="57" t="n">
        <f aca="false">IF(R$5="A",Inputs_Actuals!R24,Channel_PL!R82*Volume_Price!$C$100)</f>
        <v>218.548499679175</v>
      </c>
      <c r="S105" s="57" t="n">
        <f aca="false">IF(S$5="A",Inputs_Actuals!S24,Channel_PL!S82*Volume_Price!$C$100)</f>
        <v>256.983020078238</v>
      </c>
      <c r="T105" s="57" t="n">
        <f aca="false">IF(T$5="A",Inputs_Actuals!T24,Channel_PL!T82*Volume_Price!$C$100)</f>
        <v>277.55492921706</v>
      </c>
      <c r="U105" s="57" t="n">
        <f aca="false">IF(U$5="A",Inputs_Actuals!U24,Channel_PL!U82*Volume_Price!$C$100)</f>
        <v>305.700499595295</v>
      </c>
      <c r="V105" s="57" t="n">
        <f aca="false">IF(V$5="A",Inputs_Actuals!V24,Channel_PL!V82*Volume_Price!$C$100)</f>
        <v>309.740328673288</v>
      </c>
      <c r="W105" s="57" t="n">
        <f aca="false">IF(W$5="A",Inputs_Actuals!W24,Channel_PL!W82*Volume_Price!$C$100)</f>
        <v>306.704915074102</v>
      </c>
      <c r="X105" s="57" t="n">
        <f aca="false">IF(X$5="A",Inputs_Actuals!X24,Channel_PL!X82*Volume_Price!$C$100)</f>
        <v>313.447619047619</v>
      </c>
      <c r="Y105" s="57" t="n">
        <f aca="false">IF(Y$5="A",Inputs_Actuals!Y24,Channel_PL!Y82*Volume_Price!$C$100)</f>
        <v>368.571350969864</v>
      </c>
      <c r="Z105" s="57" t="n">
        <f aca="false">IF(Z$5="A",Inputs_Actuals!Z24,Channel_PL!Z82*Volume_Price!$C$100)</f>
        <v>435.821327652265</v>
      </c>
      <c r="AA105" s="57" t="n">
        <f aca="false">IF(AA$5="A",Inputs_Actuals!AA24,Channel_PL!AA82*Volume_Price!$C$100)</f>
        <v>642.616127128288</v>
      </c>
      <c r="AB105" s="57" t="n">
        <f aca="false">IF(AB$5="A",Inputs_Actuals!AB24,Channel_PL!AB82*Volume_Price!$C$100)</f>
        <v>586.64813811194</v>
      </c>
    </row>
    <row r="106" customFormat="false" ht="15" hidden="false" customHeight="true" outlineLevel="0" collapsed="false">
      <c r="A106" s="28" t="s">
        <v>1136</v>
      </c>
      <c r="B106" s="55" t="s">
        <v>1135</v>
      </c>
      <c r="C106" s="56" t="n">
        <f aca="false">SUM(E106:P106)</f>
        <v>1331.7033454728</v>
      </c>
      <c r="D106" s="56" t="n">
        <f aca="false">SUM(Q106:AB106)</f>
        <v>2494.80818528501</v>
      </c>
      <c r="E106" s="57" t="n">
        <f aca="false">IF(E$5="A",Inputs_Actuals!E25,Channel_PL!E82*Volume_Price!$C$101)</f>
        <v>35</v>
      </c>
      <c r="F106" s="57" t="n">
        <f aca="false">IF(F$5="A",Inputs_Actuals!F25,Channel_PL!F82*Volume_Price!$C$101)</f>
        <v>38</v>
      </c>
      <c r="G106" s="57" t="n">
        <f aca="false">IF(G$5="A",Inputs_Actuals!G25,Channel_PL!G82*Volume_Price!$C$101)</f>
        <v>60</v>
      </c>
      <c r="H106" s="57" t="n">
        <f aca="false">IF(H$5="A",Inputs_Actuals!H25,Channel_PL!H82*Volume_Price!$C$101)</f>
        <v>77</v>
      </c>
      <c r="I106" s="57" t="n">
        <f aca="false">IF(I$5="A",Inputs_Actuals!I25,Channel_PL!I82*Volume_Price!$C$101)</f>
        <v>83</v>
      </c>
      <c r="J106" s="57" t="n">
        <f aca="false">IF(J$5="A",Inputs_Actuals!J25,Channel_PL!J82*Volume_Price!$C$101)</f>
        <v>101</v>
      </c>
      <c r="K106" s="57" t="n">
        <f aca="false">IF(K$5="A",Inputs_Actuals!K25,Channel_PL!K82*Volume_Price!$C$101)</f>
        <v>105</v>
      </c>
      <c r="L106" s="57" t="n">
        <f aca="false">IF(L$5="A",Inputs_Actuals!L25,Channel_PL!L82*Volume_Price!$C$101)</f>
        <v>130</v>
      </c>
      <c r="M106" s="57" t="n">
        <f aca="false">IF(M$5="A",Inputs_Actuals!M25,Channel_PL!M82*Volume_Price!$C$101)</f>
        <v>127.354971129036</v>
      </c>
      <c r="N106" s="57" t="n">
        <f aca="false">IF(N$5="A",Inputs_Actuals!N25,Channel_PL!N82*Volume_Price!$C$101)</f>
        <v>150.592313956357</v>
      </c>
      <c r="O106" s="57" t="n">
        <f aca="false">IF(O$5="A",Inputs_Actuals!O25,Channel_PL!O82*Volume_Price!$C$101)</f>
        <v>222.04753055852</v>
      </c>
      <c r="P106" s="57" t="n">
        <f aca="false">IF(P$5="A",Inputs_Actuals!P25,Channel_PL!P82*Volume_Price!$C$101)</f>
        <v>202.708529828889</v>
      </c>
      <c r="Q106" s="57" t="n">
        <f aca="false">IF(Q$5="A",Inputs_Actuals!Q25,Channel_PL!Q82*Volume_Price!$C$101)</f>
        <v>132.036944452293</v>
      </c>
      <c r="R106" s="57" t="n">
        <f aca="false">IF(R$5="A",Inputs_Actuals!R25,Channel_PL!R82*Volume_Price!$C$101)</f>
        <v>128.378139671683</v>
      </c>
      <c r="S106" s="57" t="n">
        <f aca="false">IF(S$5="A",Inputs_Actuals!S25,Channel_PL!S82*Volume_Price!$C$101)</f>
        <v>150.955060745259</v>
      </c>
      <c r="T106" s="57" t="n">
        <f aca="false">IF(T$5="A",Inputs_Actuals!T25,Channel_PL!T82*Volume_Price!$C$101)</f>
        <v>163.039259120511</v>
      </c>
      <c r="U106" s="57" t="n">
        <f aca="false">IF(U$5="A",Inputs_Actuals!U25,Channel_PL!U82*Volume_Price!$C$101)</f>
        <v>179.572321440593</v>
      </c>
      <c r="V106" s="57" t="n">
        <f aca="false">IF(V$5="A",Inputs_Actuals!V25,Channel_PL!V82*Volume_Price!$C$101)</f>
        <v>181.945367892001</v>
      </c>
      <c r="W106" s="57" t="n">
        <f aca="false">IF(W$5="A",Inputs_Actuals!W25,Channel_PL!W82*Volume_Price!$C$101)</f>
        <v>180.162327735836</v>
      </c>
      <c r="X106" s="57" t="n">
        <f aca="false">IF(X$5="A",Inputs_Actuals!X25,Channel_PL!X82*Volume_Price!$C$101)</f>
        <v>184.123076923077</v>
      </c>
      <c r="Y106" s="57" t="n">
        <f aca="false">IF(Y$5="A",Inputs_Actuals!Y25,Channel_PL!Y82*Volume_Price!$C$101)</f>
        <v>216.50345091936</v>
      </c>
      <c r="Z106" s="57" t="n">
        <f aca="false">IF(Z$5="A",Inputs_Actuals!Z25,Channel_PL!Z82*Volume_Price!$C$101)</f>
        <v>256.006933725806</v>
      </c>
      <c r="AA106" s="57" t="n">
        <f aca="false">IF(AA$5="A",Inputs_Actuals!AA25,Channel_PL!AA82*Volume_Price!$C$101)</f>
        <v>377.480801949484</v>
      </c>
      <c r="AB106" s="57" t="n">
        <f aca="false">IF(AB$5="A",Inputs_Actuals!AB25,Channel_PL!AB82*Volume_Price!$C$101)</f>
        <v>344.604500709112</v>
      </c>
    </row>
    <row r="107" customFormat="false" ht="15" hidden="false" customHeight="true" outlineLevel="0" collapsed="false">
      <c r="A107" s="28" t="s">
        <v>1137</v>
      </c>
      <c r="B107" s="55" t="s">
        <v>1135</v>
      </c>
      <c r="C107" s="56" t="n">
        <f aca="false">SUM(E107:P107)</f>
        <v>1768.38951993744</v>
      </c>
      <c r="D107" s="56" t="n">
        <f aca="false">SUM(Q107:AB107)</f>
        <v>3281.86076754755</v>
      </c>
      <c r="E107" s="57" t="n">
        <f aca="false">IF(E$5="A",Inputs_Actuals!E26,Channel_PL!E82*Volume_Price!$C$102)</f>
        <v>49</v>
      </c>
      <c r="F107" s="57" t="n">
        <f aca="false">IF(F$5="A",Inputs_Actuals!F26,Channel_PL!F82*Volume_Price!$C$102)</f>
        <v>59</v>
      </c>
      <c r="G107" s="57" t="n">
        <f aca="false">IF(G$5="A",Inputs_Actuals!G26,Channel_PL!G82*Volume_Price!$C$102)</f>
        <v>76</v>
      </c>
      <c r="H107" s="57" t="n">
        <f aca="false">IF(H$5="A",Inputs_Actuals!H26,Channel_PL!H82*Volume_Price!$C$102)</f>
        <v>98</v>
      </c>
      <c r="I107" s="57" t="n">
        <f aca="false">IF(I$5="A",Inputs_Actuals!I26,Channel_PL!I82*Volume_Price!$C$102)</f>
        <v>120</v>
      </c>
      <c r="J107" s="57" t="n">
        <f aca="false">IF(J$5="A",Inputs_Actuals!J26,Channel_PL!J82*Volume_Price!$C$102)</f>
        <v>133</v>
      </c>
      <c r="K107" s="57" t="n">
        <f aca="false">IF(K$5="A",Inputs_Actuals!K26,Channel_PL!K82*Volume_Price!$C$102)</f>
        <v>145</v>
      </c>
      <c r="L107" s="57" t="n">
        <f aca="false">IF(L$5="A",Inputs_Actuals!L26,Channel_PL!L82*Volume_Price!$C$102)</f>
        <v>164</v>
      </c>
      <c r="M107" s="57" t="n">
        <f aca="false">IF(M$5="A",Inputs_Actuals!M26,Channel_PL!M82*Volume_Price!$C$102)</f>
        <v>167.532432259029</v>
      </c>
      <c r="N107" s="57" t="n">
        <f aca="false">IF(N$5="A",Inputs_Actuals!N26,Channel_PL!N82*Volume_Price!$C$102)</f>
        <v>198.100603478302</v>
      </c>
      <c r="O107" s="57" t="n">
        <f aca="false">IF(O$5="A",Inputs_Actuals!O26,Channel_PL!O82*Volume_Price!$C$102)</f>
        <v>292.098239603767</v>
      </c>
      <c r="P107" s="57" t="n">
        <f aca="false">IF(P$5="A",Inputs_Actuals!P26,Channel_PL!P82*Volume_Price!$C$102)</f>
        <v>266.658244596336</v>
      </c>
      <c r="Q107" s="57" t="n">
        <f aca="false">IF(Q$5="A",Inputs_Actuals!Q26,Channel_PL!Q82*Volume_Price!$C$102)</f>
        <v>173.691456690219</v>
      </c>
      <c r="R107" s="57" t="n">
        <f aca="false">IF(R$5="A",Inputs_Actuals!R26,Channel_PL!R82*Volume_Price!$C$102)</f>
        <v>168.878386115726</v>
      </c>
      <c r="S107" s="57" t="n">
        <f aca="false">IF(S$5="A",Inputs_Actuals!S26,Channel_PL!S82*Volume_Price!$C$102)</f>
        <v>198.577788242275</v>
      </c>
      <c r="T107" s="57" t="n">
        <f aca="false">IF(T$5="A",Inputs_Actuals!T26,Channel_PL!T82*Volume_Price!$C$102)</f>
        <v>214.47426348591</v>
      </c>
      <c r="U107" s="57" t="n">
        <f aca="false">IF(U$5="A",Inputs_Actuals!U26,Channel_PL!U82*Volume_Price!$C$102)</f>
        <v>236.223113323637</v>
      </c>
      <c r="V107" s="57" t="n">
        <f aca="false">IF(V$5="A",Inputs_Actuals!V26,Channel_PL!V82*Volume_Price!$C$102)</f>
        <v>239.344799429359</v>
      </c>
      <c r="W107" s="57" t="n">
        <f aca="false">IF(W$5="A",Inputs_Actuals!W26,Channel_PL!W82*Volume_Price!$C$102)</f>
        <v>236.999252557261</v>
      </c>
      <c r="X107" s="57" t="n">
        <f aca="false">IF(X$5="A",Inputs_Actuals!X26,Channel_PL!X82*Volume_Price!$C$102)</f>
        <v>242.209523809524</v>
      </c>
      <c r="Y107" s="57" t="n">
        <f aca="false">IF(Y$5="A",Inputs_Actuals!Y26,Channel_PL!Y82*Volume_Price!$C$102)</f>
        <v>284.805134840349</v>
      </c>
      <c r="Z107" s="57" t="n">
        <f aca="false">IF(Z$5="A",Inputs_Actuals!Z26,Channel_PL!Z82*Volume_Price!$C$102)</f>
        <v>336.771025913114</v>
      </c>
      <c r="AA107" s="57" t="n">
        <f aca="false">IF(AA$5="A",Inputs_Actuals!AA26,Channel_PL!AA82*Volume_Price!$C$102)</f>
        <v>496.567007326404</v>
      </c>
      <c r="AB107" s="57" t="n">
        <f aca="false">IF(AB$5="A",Inputs_Actuals!AB26,Channel_PL!AB82*Volume_Price!$C$102)</f>
        <v>453.319015813772</v>
      </c>
    </row>
    <row r="108" customFormat="false" ht="15" hidden="false" customHeight="true" outlineLevel="0" collapsed="false">
      <c r="A108" s="28" t="s">
        <v>1138</v>
      </c>
      <c r="B108" s="55" t="s">
        <v>1135</v>
      </c>
      <c r="C108" s="56" t="n">
        <f aca="false">SUM(E108:P108)</f>
        <v>2209.17224245467</v>
      </c>
      <c r="D108" s="56" t="n">
        <f aca="false">SUM(Q108:AB108)</f>
        <v>4158.01364214169</v>
      </c>
      <c r="E108" s="57" t="n">
        <f aca="false">IF(E$5="A",Inputs_Actuals!E27,Channel_PL!E82*Volume_Price!$C$103)</f>
        <v>63</v>
      </c>
      <c r="F108" s="57" t="n">
        <f aca="false">IF(F$5="A",Inputs_Actuals!F27,Channel_PL!F82*Volume_Price!$C$103)</f>
        <v>72</v>
      </c>
      <c r="G108" s="57" t="n">
        <f aca="false">IF(G$5="A",Inputs_Actuals!G27,Channel_PL!G82*Volume_Price!$C$103)</f>
        <v>92</v>
      </c>
      <c r="H108" s="57" t="n">
        <f aca="false">IF(H$5="A",Inputs_Actuals!H27,Channel_PL!H82*Volume_Price!$C$103)</f>
        <v>121</v>
      </c>
      <c r="I108" s="57" t="n">
        <f aca="false">IF(I$5="A",Inputs_Actuals!I27,Channel_PL!I82*Volume_Price!$C$103)</f>
        <v>130</v>
      </c>
      <c r="J108" s="57" t="n">
        <f aca="false">IF(J$5="A",Inputs_Actuals!J27,Channel_PL!J82*Volume_Price!$C$103)</f>
        <v>170</v>
      </c>
      <c r="K108" s="57" t="n">
        <f aca="false">IF(K$5="A",Inputs_Actuals!K27,Channel_PL!K82*Volume_Price!$C$103)</f>
        <v>177</v>
      </c>
      <c r="L108" s="57" t="n">
        <f aca="false">IF(L$5="A",Inputs_Actuals!L27,Channel_PL!L82*Volume_Price!$C$103)</f>
        <v>213</v>
      </c>
      <c r="M108" s="57" t="n">
        <f aca="false">IF(M$5="A",Inputs_Actuals!M27,Channel_PL!M82*Volume_Price!$C$103)</f>
        <v>212.258285215059</v>
      </c>
      <c r="N108" s="57" t="n">
        <f aca="false">IF(N$5="A",Inputs_Actuals!N27,Channel_PL!N82*Volume_Price!$C$103)</f>
        <v>250.987189927261</v>
      </c>
      <c r="O108" s="57" t="n">
        <f aca="false">IF(O$5="A",Inputs_Actuals!O27,Channel_PL!O82*Volume_Price!$C$103)</f>
        <v>370.079217597533</v>
      </c>
      <c r="P108" s="57" t="n">
        <f aca="false">IF(P$5="A",Inputs_Actuals!P27,Channel_PL!P82*Volume_Price!$C$103)</f>
        <v>337.847549714815</v>
      </c>
      <c r="Q108" s="57" t="n">
        <f aca="false">IF(Q$5="A",Inputs_Actuals!Q27,Channel_PL!Q82*Volume_Price!$C$103)</f>
        <v>220.061574087155</v>
      </c>
      <c r="R108" s="57" t="n">
        <f aca="false">IF(R$5="A",Inputs_Actuals!R27,Channel_PL!R82*Volume_Price!$C$103)</f>
        <v>213.963566119472</v>
      </c>
      <c r="S108" s="57" t="n">
        <f aca="false">IF(S$5="A",Inputs_Actuals!S27,Channel_PL!S82*Volume_Price!$C$103)</f>
        <v>251.591767908764</v>
      </c>
      <c r="T108" s="57" t="n">
        <f aca="false">IF(T$5="A",Inputs_Actuals!T27,Channel_PL!T82*Volume_Price!$C$103)</f>
        <v>271.732098534185</v>
      </c>
      <c r="U108" s="57" t="n">
        <f aca="false">IF(U$5="A",Inputs_Actuals!U27,Channel_PL!U82*Volume_Price!$C$103)</f>
        <v>299.287202400988</v>
      </c>
      <c r="V108" s="57" t="n">
        <f aca="false">IF(V$5="A",Inputs_Actuals!V27,Channel_PL!V82*Volume_Price!$C$103)</f>
        <v>303.242279820002</v>
      </c>
      <c r="W108" s="57" t="n">
        <f aca="false">IF(W$5="A",Inputs_Actuals!W27,Channel_PL!W82*Volume_Price!$C$103)</f>
        <v>300.270546226394</v>
      </c>
      <c r="X108" s="57" t="n">
        <f aca="false">IF(X$5="A",Inputs_Actuals!X27,Channel_PL!X82*Volume_Price!$C$103)</f>
        <v>306.871794871795</v>
      </c>
      <c r="Y108" s="57" t="n">
        <f aca="false">IF(Y$5="A",Inputs_Actuals!Y27,Channel_PL!Y82*Volume_Price!$C$103)</f>
        <v>360.839084865601</v>
      </c>
      <c r="Z108" s="57" t="n">
        <f aca="false">IF(Z$5="A",Inputs_Actuals!Z27,Channel_PL!Z82*Volume_Price!$C$103)</f>
        <v>426.678222876344</v>
      </c>
      <c r="AA108" s="57" t="n">
        <f aca="false">IF(AA$5="A",Inputs_Actuals!AA27,Channel_PL!AA82*Volume_Price!$C$103)</f>
        <v>629.134669915806</v>
      </c>
      <c r="AB108" s="57" t="n">
        <f aca="false">IF(AB$5="A",Inputs_Actuals!AB27,Channel_PL!AB82*Volume_Price!$C$103)</f>
        <v>574.340834515186</v>
      </c>
    </row>
    <row r="109" customFormat="false" ht="15" hidden="false" customHeight="true" outlineLevel="0" collapsed="false">
      <c r="A109" s="28" t="s">
        <v>1139</v>
      </c>
      <c r="B109" s="55" t="s">
        <v>1135</v>
      </c>
      <c r="C109" s="56" t="n">
        <f aca="false">SUM(E109:P109)</f>
        <v>1327.88610348157</v>
      </c>
      <c r="D109" s="56" t="n">
        <f aca="false">SUM(Q109:AB109)</f>
        <v>2509.65823400695</v>
      </c>
      <c r="E109" s="57" t="n">
        <f aca="false">IF(E$5="A",Inputs_Actuals!E28,Channel_PL!E82*Volume_Price!$C$104)</f>
        <v>35</v>
      </c>
      <c r="F109" s="57" t="n">
        <f aca="false">IF(F$5="A",Inputs_Actuals!F28,Channel_PL!F82*Volume_Price!$C$104)</f>
        <v>42</v>
      </c>
      <c r="G109" s="57" t="n">
        <f aca="false">IF(G$5="A",Inputs_Actuals!G28,Channel_PL!G82*Volume_Price!$C$104)</f>
        <v>55</v>
      </c>
      <c r="H109" s="57" t="n">
        <f aca="false">IF(H$5="A",Inputs_Actuals!H28,Channel_PL!H82*Volume_Price!$C$104)</f>
        <v>73</v>
      </c>
      <c r="I109" s="57" t="n">
        <f aca="false">IF(I$5="A",Inputs_Actuals!I28,Channel_PL!I82*Volume_Price!$C$104)</f>
        <v>78</v>
      </c>
      <c r="J109" s="57" t="n">
        <f aca="false">IF(J$5="A",Inputs_Actuals!J28,Channel_PL!J82*Volume_Price!$C$104)</f>
        <v>99</v>
      </c>
      <c r="K109" s="57" t="n">
        <f aca="false">IF(K$5="A",Inputs_Actuals!K28,Channel_PL!K82*Volume_Price!$C$104)</f>
        <v>112</v>
      </c>
      <c r="L109" s="57" t="n">
        <f aca="false">IF(L$5="A",Inputs_Actuals!L28,Channel_PL!L82*Volume_Price!$C$104)</f>
        <v>127</v>
      </c>
      <c r="M109" s="57" t="n">
        <f aca="false">IF(M$5="A",Inputs_Actuals!M28,Channel_PL!M82*Volume_Price!$C$104)</f>
        <v>128.113036433375</v>
      </c>
      <c r="N109" s="57" t="n">
        <f aca="false">IF(N$5="A",Inputs_Actuals!N28,Channel_PL!N82*Volume_Price!$C$104)</f>
        <v>151.488696777525</v>
      </c>
      <c r="O109" s="57" t="n">
        <f aca="false">IF(O$5="A",Inputs_Actuals!O28,Channel_PL!O82*Volume_Price!$C$104)</f>
        <v>223.36924204994</v>
      </c>
      <c r="P109" s="57" t="n">
        <f aca="false">IF(P$5="A",Inputs_Actuals!P28,Channel_PL!P82*Volume_Price!$C$104)</f>
        <v>203.915128220728</v>
      </c>
      <c r="Q109" s="57" t="n">
        <f aca="false">IF(Q$5="A",Inputs_Actuals!Q28,Channel_PL!Q82*Volume_Price!$C$104)</f>
        <v>132.822878645461</v>
      </c>
      <c r="R109" s="57" t="n">
        <f aca="false">IF(R$5="A",Inputs_Actuals!R28,Channel_PL!R82*Volume_Price!$C$104)</f>
        <v>129.142295264967</v>
      </c>
      <c r="S109" s="57" t="n">
        <f aca="false">IF(S$5="A",Inputs_Actuals!S28,Channel_PL!S82*Volume_Price!$C$104)</f>
        <v>151.853602773504</v>
      </c>
      <c r="T109" s="57" t="n">
        <f aca="false">IF(T$5="A",Inputs_Actuals!T28,Channel_PL!T82*Volume_Price!$C$104)</f>
        <v>164.00973090099</v>
      </c>
      <c r="U109" s="57" t="n">
        <f aca="false">IF(U$5="A",Inputs_Actuals!U28,Channel_PL!U82*Volume_Price!$C$104)</f>
        <v>180.641204306311</v>
      </c>
      <c r="V109" s="57" t="n">
        <f aca="false">IF(V$5="A",Inputs_Actuals!V28,Channel_PL!V82*Volume_Price!$C$104)</f>
        <v>183.028376034215</v>
      </c>
      <c r="W109" s="57" t="n">
        <f aca="false">IF(W$5="A",Inputs_Actuals!W28,Channel_PL!W82*Volume_Price!$C$104)</f>
        <v>181.234722543788</v>
      </c>
      <c r="X109" s="57" t="n">
        <f aca="false">IF(X$5="A",Inputs_Actuals!X28,Channel_PL!X82*Volume_Price!$C$104)</f>
        <v>185.219047619048</v>
      </c>
      <c r="Y109" s="57" t="n">
        <f aca="false">IF(Y$5="A",Inputs_Actuals!Y28,Channel_PL!Y82*Volume_Price!$C$104)</f>
        <v>217.792161936738</v>
      </c>
      <c r="Z109" s="57" t="n">
        <f aca="false">IF(Z$5="A",Inputs_Actuals!Z28,Channel_PL!Z82*Volume_Price!$C$104)</f>
        <v>257.530784521793</v>
      </c>
      <c r="AA109" s="57" t="n">
        <f aca="false">IF(AA$5="A",Inputs_Actuals!AA28,Channel_PL!AA82*Volume_Price!$C$104)</f>
        <v>379.727711484897</v>
      </c>
      <c r="AB109" s="57" t="n">
        <f aca="false">IF(AB$5="A",Inputs_Actuals!AB28,Channel_PL!AB82*Volume_Price!$C$104)</f>
        <v>346.655717975237</v>
      </c>
    </row>
    <row r="110" customFormat="false" ht="15" hidden="false" customHeight="true" outlineLevel="0" collapsed="false">
      <c r="A110" s="70" t="s">
        <v>1140</v>
      </c>
      <c r="B110" s="71" t="s">
        <v>310</v>
      </c>
      <c r="C110" s="72" t="n">
        <f aca="false">SUM(E110:P110)</f>
        <v>8914.42000185374</v>
      </c>
      <c r="D110" s="72" t="n">
        <f aca="false">SUM(Q110:AB110)</f>
        <v>16691.4547634545</v>
      </c>
      <c r="E110" s="72" t="n">
        <f aca="false">SUM(E105:E109)</f>
        <v>243</v>
      </c>
      <c r="F110" s="72" t="n">
        <f aca="false">SUM(F105:F109)</f>
        <v>278</v>
      </c>
      <c r="G110" s="72" t="n">
        <f aca="false">SUM(G105:G109)</f>
        <v>385</v>
      </c>
      <c r="H110" s="72" t="n">
        <f aca="false">SUM(H105:H109)</f>
        <v>495</v>
      </c>
      <c r="I110" s="72" t="n">
        <f aca="false">SUM(I105:I109)</f>
        <v>564</v>
      </c>
      <c r="J110" s="72" t="n">
        <f aca="false">SUM(J105:J109)</f>
        <v>683</v>
      </c>
      <c r="K110" s="72" t="n">
        <f aca="false">SUM(K105:K109)</f>
        <v>709</v>
      </c>
      <c r="L110" s="72" t="n">
        <f aca="false">SUM(L105:L109)</f>
        <v>856</v>
      </c>
      <c r="M110" s="72" t="n">
        <f aca="false">SUM(M105:M109)</f>
        <v>852.065402077595</v>
      </c>
      <c r="N110" s="72" t="n">
        <f aca="false">SUM(N105:N109)</f>
        <v>1007.53429099372</v>
      </c>
      <c r="O110" s="72" t="n">
        <f aca="false">SUM(O105:O109)</f>
        <v>1485.60371635581</v>
      </c>
      <c r="P110" s="72" t="n">
        <f aca="false">SUM(P105:P109)</f>
        <v>1356.21659242662</v>
      </c>
      <c r="Q110" s="72" t="n">
        <f aca="false">SUM(Q105:Q109)</f>
        <v>883.390033121292</v>
      </c>
      <c r="R110" s="72" t="n">
        <f aca="false">SUM(R105:R109)</f>
        <v>858.910886851022</v>
      </c>
      <c r="S110" s="72" t="n">
        <f aca="false">SUM(S105:S109)</f>
        <v>1009.96123974804</v>
      </c>
      <c r="T110" s="72" t="n">
        <f aca="false">SUM(T105:T109)</f>
        <v>1090.81028125866</v>
      </c>
      <c r="U110" s="72" t="n">
        <f aca="false">SUM(U105:U109)</f>
        <v>1201.42434106682</v>
      </c>
      <c r="V110" s="72" t="n">
        <f aca="false">SUM(V105:V109)</f>
        <v>1217.30115184887</v>
      </c>
      <c r="W110" s="72" t="n">
        <f aca="false">SUM(W105:W109)</f>
        <v>1205.37176413738</v>
      </c>
      <c r="X110" s="72" t="n">
        <f aca="false">SUM(X105:X109)</f>
        <v>1231.87106227106</v>
      </c>
      <c r="Y110" s="72" t="n">
        <f aca="false">SUM(Y105:Y109)</f>
        <v>1448.51118353191</v>
      </c>
      <c r="Z110" s="72" t="n">
        <f aca="false">SUM(Z105:Z109)</f>
        <v>1712.80829468932</v>
      </c>
      <c r="AA110" s="72" t="n">
        <f aca="false">SUM(AA105:AA109)</f>
        <v>2525.52631780488</v>
      </c>
      <c r="AB110" s="72" t="n">
        <f aca="false">SUM(AB105:AB109)</f>
        <v>2305.56820712525</v>
      </c>
    </row>
    <row r="111" customFormat="false" ht="15" hidden="false" customHeight="true" outlineLevel="0" collapsed="false">
      <c r="A111" s="28" t="s">
        <v>1141</v>
      </c>
      <c r="B111" s="55" t="s">
        <v>641</v>
      </c>
      <c r="C111" s="129" t="n">
        <f aca="false">INDEX(Inputs_Actuals!$E$42:$AB$42,Assumptions!$C$10)</f>
        <v>125.81</v>
      </c>
    </row>
    <row r="112" customFormat="false" ht="15" hidden="false" customHeight="true" outlineLevel="0" collapsed="false">
      <c r="A112" s="28" t="s">
        <v>1142</v>
      </c>
      <c r="B112" s="55" t="s">
        <v>641</v>
      </c>
      <c r="C112" s="129" t="n">
        <f aca="false">INDEX(Inputs_Actuals!$E$43:$AB$43,Assumptions!$C$10)</f>
        <v>77.98</v>
      </c>
    </row>
    <row r="113" customFormat="false" ht="15" hidden="false" customHeight="true" outlineLevel="0" collapsed="false">
      <c r="A113" s="28" t="s">
        <v>1143</v>
      </c>
      <c r="B113" s="55" t="s">
        <v>641</v>
      </c>
      <c r="C113" s="129" t="n">
        <f aca="false">INDEX(Inputs_Actuals!$E$44:$AB$44,Assumptions!$C$10)</f>
        <v>48.94</v>
      </c>
    </row>
    <row r="114" customFormat="false" ht="15" hidden="false" customHeight="true" outlineLevel="0" collapsed="false">
      <c r="A114" s="28" t="s">
        <v>1144</v>
      </c>
      <c r="B114" s="55" t="s">
        <v>641</v>
      </c>
      <c r="C114" s="129" t="n">
        <f aca="false">INDEX(Inputs_Actuals!$E$45:$AB$45,Assumptions!$C$10)</f>
        <v>42.15</v>
      </c>
    </row>
    <row r="115" customFormat="false" ht="15" hidden="false" customHeight="true" outlineLevel="0" collapsed="false">
      <c r="A115" s="28" t="s">
        <v>1145</v>
      </c>
      <c r="B115" s="55" t="s">
        <v>641</v>
      </c>
      <c r="C115" s="129" t="n">
        <f aca="false">INDEX(Inputs_Actuals!$E$46:$AB$46,Assumptions!$C$10)</f>
        <v>31.87</v>
      </c>
    </row>
    <row r="116" customFormat="false" ht="15" hidden="false" customHeight="true" outlineLevel="0" collapsed="false">
      <c r="A116" s="28" t="s">
        <v>1169</v>
      </c>
      <c r="B116" s="55" t="s">
        <v>1147</v>
      </c>
      <c r="C116" s="61" t="n">
        <f aca="false">AVERAGE(E116:P116)</f>
        <v>128.07844075136</v>
      </c>
      <c r="D116" s="61" t="n">
        <f aca="false">AVERAGE(Q116:AB116)</f>
        <v>128.011020396548</v>
      </c>
      <c r="E116" s="65" t="n">
        <f aca="false">IF(E$5="A",Inputs_Actuals!E42,Volume_Price!$C$111*(1+Assumptions!$F$83)^(Assumptions!E$68/12))</f>
        <v>131.13</v>
      </c>
      <c r="F116" s="65" t="n">
        <f aca="false">IF(F$5="A",Inputs_Actuals!F42,Volume_Price!$C$111*(1+Assumptions!$F$83)^(Assumptions!F$68/12))</f>
        <v>126.45</v>
      </c>
      <c r="G116" s="65" t="n">
        <f aca="false">IF(G$5="A",Inputs_Actuals!G42,Volume_Price!$C$111*(1+Assumptions!$F$83)^(Assumptions!G$68/12))</f>
        <v>127.61</v>
      </c>
      <c r="H116" s="65" t="n">
        <f aca="false">IF(H$5="A",Inputs_Actuals!H42,Volume_Price!$C$111*(1+Assumptions!$F$83)^(Assumptions!H$68/12))</f>
        <v>130.37</v>
      </c>
      <c r="I116" s="65" t="n">
        <f aca="false">IF(I$5="A",Inputs_Actuals!I42,Volume_Price!$C$111*(1+Assumptions!$F$83)^(Assumptions!I$68/12))</f>
        <v>129.77</v>
      </c>
      <c r="J116" s="65" t="n">
        <f aca="false">IF(J$5="A",Inputs_Actuals!J42,Volume_Price!$C$111*(1+Assumptions!$F$83)^(Assumptions!J$68/12))</f>
        <v>130.78</v>
      </c>
      <c r="K116" s="65" t="n">
        <f aca="false">IF(K$5="A",Inputs_Actuals!K42,Volume_Price!$C$111*(1+Assumptions!$F$83)^(Assumptions!K$68/12))</f>
        <v>129.7</v>
      </c>
      <c r="L116" s="65" t="n">
        <f aca="false">IF(L$5="A",Inputs_Actuals!L42,Volume_Price!$C$111*(1+Assumptions!$F$83)^(Assumptions!L$68/12))</f>
        <v>125.81</v>
      </c>
      <c r="M116" s="65" t="n">
        <f aca="false">IF(M$5="A",Inputs_Actuals!M42,Volume_Price!$C$111*(1+Assumptions!$F$83)^(Assumptions!M$68/12))</f>
        <v>126.017785443595</v>
      </c>
      <c r="N116" s="65" t="n">
        <f aca="false">IF(N$5="A",Inputs_Actuals!N42,Volume_Price!$C$111*(1+Assumptions!$F$83)^(Assumptions!N$68/12))</f>
        <v>126.225914061743</v>
      </c>
      <c r="O116" s="65" t="n">
        <f aca="false">IF(O$5="A",Inputs_Actuals!O42,Volume_Price!$C$111*(1+Assumptions!$F$83)^(Assumptions!O$68/12))</f>
        <v>126.434386421225</v>
      </c>
      <c r="P116" s="65" t="n">
        <f aca="false">IF(P$5="A",Inputs_Actuals!P42,Volume_Price!$C$111*(1+Assumptions!$F$83)^(Assumptions!P$68/12))</f>
        <v>126.643203089758</v>
      </c>
      <c r="Q116" s="65" t="n">
        <f aca="false">IF(Q$5="A",Inputs_Actuals!Q42,Volume_Price!$C$111*(1+Assumptions!$F$83)^(Assumptions!Q$68/12))</f>
        <v>126.852364635996</v>
      </c>
      <c r="R116" s="65" t="n">
        <f aca="false">IF(R$5="A",Inputs_Actuals!R42,Volume_Price!$C$111*(1+Assumptions!$F$83)^(Assumptions!R$68/12))</f>
        <v>127.061871629533</v>
      </c>
      <c r="S116" s="65" t="n">
        <f aca="false">IF(S$5="A",Inputs_Actuals!S42,Volume_Price!$C$111*(1+Assumptions!$F$83)^(Assumptions!S$68/12))</f>
        <v>127.271724640904</v>
      </c>
      <c r="T116" s="65" t="n">
        <f aca="false">IF(T$5="A",Inputs_Actuals!T42,Volume_Price!$C$111*(1+Assumptions!$F$83)^(Assumptions!T$68/12))</f>
        <v>127.481924241584</v>
      </c>
      <c r="U116" s="65" t="n">
        <f aca="false">IF(U$5="A",Inputs_Actuals!U42,Volume_Price!$C$111*(1+Assumptions!$F$83)^(Assumptions!U$68/12))</f>
        <v>127.692471003994</v>
      </c>
      <c r="V116" s="65" t="n">
        <f aca="false">IF(V$5="A",Inputs_Actuals!V42,Volume_Price!$C$111*(1+Assumptions!$F$83)^(Assumptions!V$68/12))</f>
        <v>127.9033655015</v>
      </c>
      <c r="W116" s="65" t="n">
        <f aca="false">IF(W$5="A",Inputs_Actuals!W42,Volume_Price!$C$111*(1+Assumptions!$F$83)^(Assumptions!W$68/12))</f>
        <v>128.114608308415</v>
      </c>
      <c r="X116" s="65" t="n">
        <f aca="false">IF(X$5="A",Inputs_Actuals!X42,Volume_Price!$C$111*(1+Assumptions!$F$83)^(Assumptions!X$68/12))</f>
        <v>128.3262</v>
      </c>
      <c r="Y116" s="65" t="n">
        <f aca="false">IF(Y$5="A",Inputs_Actuals!Y42,Volume_Price!$C$111*(1+Assumptions!$F$83)^(Assumptions!Y$68/12))</f>
        <v>128.538141152466</v>
      </c>
      <c r="Z116" s="65" t="n">
        <f aca="false">IF(Z$5="A",Inputs_Actuals!Z42,Volume_Price!$C$111*(1+Assumptions!$F$83)^(Assumptions!Z$68/12))</f>
        <v>128.750432342977</v>
      </c>
      <c r="AA116" s="65" t="n">
        <f aca="false">IF(AA$5="A",Inputs_Actuals!AA42,Volume_Price!$C$111*(1+Assumptions!$F$83)^(Assumptions!AA$68/12))</f>
        <v>128.963074149649</v>
      </c>
      <c r="AB116" s="65" t="n">
        <f aca="false">IF(AB$5="A",Inputs_Actuals!AB42,Volume_Price!$C$111*(1+Assumptions!$F$83)^(Assumptions!AB$68/12))</f>
        <v>129.176067151553</v>
      </c>
    </row>
    <row r="117" customFormat="false" ht="15" hidden="false" customHeight="true" outlineLevel="0" collapsed="false">
      <c r="A117" s="28" t="s">
        <v>1170</v>
      </c>
      <c r="B117" s="55" t="s">
        <v>1147</v>
      </c>
      <c r="C117" s="61" t="n">
        <f aca="false">AVERAGE(E117:P117)</f>
        <v>78.9433359944179</v>
      </c>
      <c r="D117" s="61" t="n">
        <f aca="false">AVERAGE(Q117:AB117)</f>
        <v>79.3442442613686</v>
      </c>
      <c r="E117" s="65" t="n">
        <f aca="false">IF(E$5="A",Inputs_Actuals!E43,Volume_Price!$C$112*(1+Assumptions!$F$83)^(Assumptions!E$68/12))</f>
        <v>79.69</v>
      </c>
      <c r="F117" s="65" t="n">
        <f aca="false">IF(F$5="A",Inputs_Actuals!F43,Volume_Price!$C$112*(1+Assumptions!$F$83)^(Assumptions!F$68/12))</f>
        <v>79.22</v>
      </c>
      <c r="G117" s="65" t="n">
        <f aca="false">IF(G$5="A",Inputs_Actuals!G43,Volume_Price!$C$112*(1+Assumptions!$F$83)^(Assumptions!G$68/12))</f>
        <v>79.01</v>
      </c>
      <c r="H117" s="65" t="n">
        <f aca="false">IF(H$5="A",Inputs_Actuals!H43,Volume_Price!$C$112*(1+Assumptions!$F$83)^(Assumptions!H$68/12))</f>
        <v>79.14</v>
      </c>
      <c r="I117" s="65" t="n">
        <f aca="false">IF(I$5="A",Inputs_Actuals!I43,Volume_Price!$C$112*(1+Assumptions!$F$83)^(Assumptions!I$68/12))</f>
        <v>79.82</v>
      </c>
      <c r="J117" s="65" t="n">
        <f aca="false">IF(J$5="A",Inputs_Actuals!J43,Volume_Price!$C$112*(1+Assumptions!$F$83)^(Assumptions!J$68/12))</f>
        <v>79.52</v>
      </c>
      <c r="K117" s="65" t="n">
        <f aca="false">IF(K$5="A",Inputs_Actuals!K43,Volume_Price!$C$112*(1+Assumptions!$F$83)^(Assumptions!K$68/12))</f>
        <v>79.73</v>
      </c>
      <c r="L117" s="65" t="n">
        <f aca="false">IF(L$5="A",Inputs_Actuals!L43,Volume_Price!$C$112*(1+Assumptions!$F$83)^(Assumptions!L$68/12))</f>
        <v>77.98</v>
      </c>
      <c r="M117" s="65" t="n">
        <f aca="false">IF(M$5="A",Inputs_Actuals!M43,Volume_Price!$C$112*(1+Assumptions!$F$83)^(Assumptions!M$68/12))</f>
        <v>78.1087903099238</v>
      </c>
      <c r="N117" s="65" t="n">
        <f aca="false">IF(N$5="A",Inputs_Actuals!N43,Volume_Price!$C$112*(1+Assumptions!$F$83)^(Assumptions!N$68/12))</f>
        <v>78.2377933275152</v>
      </c>
      <c r="O117" s="65" t="n">
        <f aca="false">IF(O$5="A",Inputs_Actuals!O43,Volume_Price!$C$112*(1+Assumptions!$F$83)^(Assumptions!O$68/12))</f>
        <v>78.3670094040784</v>
      </c>
      <c r="P117" s="65" t="n">
        <f aca="false">IF(P$5="A",Inputs_Actuals!P43,Volume_Price!$C$112*(1+Assumptions!$F$83)^(Assumptions!P$68/12))</f>
        <v>78.4964388914976</v>
      </c>
      <c r="Q117" s="65" t="n">
        <f aca="false">IF(Q$5="A",Inputs_Actuals!Q43,Volume_Price!$C$112*(1+Assumptions!$F$83)^(Assumptions!Q$68/12))</f>
        <v>78.6260821422381</v>
      </c>
      <c r="R117" s="65" t="n">
        <f aca="false">IF(R$5="A",Inputs_Actuals!R43,Volume_Price!$C$112*(1+Assumptions!$F$83)^(Assumptions!R$68/12))</f>
        <v>78.7559395093475</v>
      </c>
      <c r="S117" s="65" t="n">
        <f aca="false">IF(S$5="A",Inputs_Actuals!S43,Volume_Price!$C$112*(1+Assumptions!$F$83)^(Assumptions!S$68/12))</f>
        <v>78.8860113464563</v>
      </c>
      <c r="T117" s="65" t="n">
        <f aca="false">IF(T$5="A",Inputs_Actuals!T43,Volume_Price!$C$112*(1+Assumptions!$F$83)^(Assumptions!T$68/12))</f>
        <v>79.0162980077792</v>
      </c>
      <c r="U117" s="65" t="n">
        <f aca="false">IF(U$5="A",Inputs_Actuals!U43,Volume_Price!$C$112*(1+Assumptions!$F$83)^(Assumptions!U$68/12))</f>
        <v>79.1467998481158</v>
      </c>
      <c r="V117" s="65" t="n">
        <f aca="false">IF(V$5="A",Inputs_Actuals!V43,Volume_Price!$C$112*(1+Assumptions!$F$83)^(Assumptions!V$68/12))</f>
        <v>79.2775172228517</v>
      </c>
      <c r="W117" s="65" t="n">
        <f aca="false">IF(W$5="A",Inputs_Actuals!W43,Volume_Price!$C$112*(1+Assumptions!$F$83)^(Assumptions!W$68/12))</f>
        <v>79.4084504879596</v>
      </c>
      <c r="X117" s="65" t="n">
        <f aca="false">IF(X$5="A",Inputs_Actuals!X43,Volume_Price!$C$112*(1+Assumptions!$F$83)^(Assumptions!X$68/12))</f>
        <v>79.5396</v>
      </c>
      <c r="Y117" s="65" t="n">
        <f aca="false">IF(Y$5="A",Inputs_Actuals!Y43,Volume_Price!$C$112*(1+Assumptions!$F$83)^(Assumptions!Y$68/12))</f>
        <v>79.6709661161222</v>
      </c>
      <c r="Z117" s="65" t="n">
        <f aca="false">IF(Z$5="A",Inputs_Actuals!Z43,Volume_Price!$C$112*(1+Assumptions!$F$83)^(Assumptions!Z$68/12))</f>
        <v>79.8025491940655</v>
      </c>
      <c r="AA117" s="65" t="n">
        <f aca="false">IF(AA$5="A",Inputs_Actuals!AA43,Volume_Price!$C$112*(1+Assumptions!$F$83)^(Assumptions!AA$68/12))</f>
        <v>79.93434959216</v>
      </c>
      <c r="AB117" s="65" t="n">
        <f aca="false">IF(AB$5="A",Inputs_Actuals!AB43,Volume_Price!$C$112*(1+Assumptions!$F$83)^(Assumptions!AB$68/12))</f>
        <v>80.0663676693276</v>
      </c>
    </row>
    <row r="118" customFormat="false" ht="15" hidden="false" customHeight="true" outlineLevel="0" collapsed="false">
      <c r="A118" s="28" t="s">
        <v>1171</v>
      </c>
      <c r="B118" s="55" t="s">
        <v>1147</v>
      </c>
      <c r="C118" s="61" t="n">
        <f aca="false">AVERAGE(E118:P118)</f>
        <v>48.913301661539</v>
      </c>
      <c r="D118" s="61" t="n">
        <f aca="false">AVERAGE(Q118:AB118)</f>
        <v>49.7961953597253</v>
      </c>
      <c r="E118" s="65" t="n">
        <f aca="false">IF(E$5="A",Inputs_Actuals!E44,Volume_Price!$C$113*(1+Assumptions!$F$83)^(Assumptions!E$68/12))</f>
        <v>48.78</v>
      </c>
      <c r="F118" s="65" t="n">
        <f aca="false">IF(F$5="A",Inputs_Actuals!F44,Volume_Price!$C$113*(1+Assumptions!$F$83)^(Assumptions!F$68/12))</f>
        <v>48.68</v>
      </c>
      <c r="G118" s="65" t="n">
        <f aca="false">IF(G$5="A",Inputs_Actuals!G44,Volume_Price!$C$113*(1+Assumptions!$F$83)^(Assumptions!G$68/12))</f>
        <v>48.35</v>
      </c>
      <c r="H118" s="65" t="n">
        <f aca="false">IF(H$5="A",Inputs_Actuals!H44,Volume_Price!$C$113*(1+Assumptions!$F$83)^(Assumptions!H$68/12))</f>
        <v>49.35</v>
      </c>
      <c r="I118" s="65" t="n">
        <f aca="false">IF(I$5="A",Inputs_Actuals!I44,Volume_Price!$C$113*(1+Assumptions!$F$83)^(Assumptions!I$68/12))</f>
        <v>48.13</v>
      </c>
      <c r="J118" s="65" t="n">
        <f aca="false">IF(J$5="A",Inputs_Actuals!J44,Volume_Price!$C$113*(1+Assumptions!$F$83)^(Assumptions!J$68/12))</f>
        <v>49.46</v>
      </c>
      <c r="K118" s="65" t="n">
        <f aca="false">IF(K$5="A",Inputs_Actuals!K44,Volume_Price!$C$113*(1+Assumptions!$F$83)^(Assumptions!K$68/12))</f>
        <v>48.7</v>
      </c>
      <c r="L118" s="65" t="n">
        <f aca="false">IF(L$5="A",Inputs_Actuals!L44,Volume_Price!$C$113*(1+Assumptions!$F$83)^(Assumptions!L$68/12))</f>
        <v>48.94</v>
      </c>
      <c r="M118" s="65" t="n">
        <f aca="false">IF(M$5="A",Inputs_Actuals!M44,Volume_Price!$C$113*(1+Assumptions!$F$83)^(Assumptions!M$68/12))</f>
        <v>49.020828388916</v>
      </c>
      <c r="N118" s="65" t="n">
        <f aca="false">IF(N$5="A",Inputs_Actuals!N44,Volume_Price!$C$113*(1+Assumptions!$F$83)^(Assumptions!N$68/12))</f>
        <v>49.1017902724878</v>
      </c>
      <c r="O118" s="65" t="n">
        <f aca="false">IF(O$5="A",Inputs_Actuals!O44,Volume_Price!$C$113*(1+Assumptions!$F$83)^(Assumptions!O$68/12))</f>
        <v>49.1828858711926</v>
      </c>
      <c r="P118" s="65" t="n">
        <f aca="false">IF(P$5="A",Inputs_Actuals!P44,Volume_Price!$C$113*(1+Assumptions!$F$83)^(Assumptions!P$68/12))</f>
        <v>49.2641154058719</v>
      </c>
      <c r="Q118" s="65" t="n">
        <f aca="false">IF(Q$5="A",Inputs_Actuals!Q44,Volume_Price!$C$113*(1+Assumptions!$F$83)^(Assumptions!Q$68/12))</f>
        <v>49.3454790977319</v>
      </c>
      <c r="R118" s="65" t="n">
        <f aca="false">IF(R$5="A",Inputs_Actuals!R44,Volume_Price!$C$113*(1+Assumptions!$F$83)^(Assumptions!R$68/12))</f>
        <v>49.426977168344</v>
      </c>
      <c r="S118" s="65" t="n">
        <f aca="false">IF(S$5="A",Inputs_Actuals!S44,Volume_Price!$C$113*(1+Assumptions!$F$83)^(Assumptions!S$68/12))</f>
        <v>49.5086098396457</v>
      </c>
      <c r="T118" s="65" t="n">
        <f aca="false">IF(T$5="A",Inputs_Actuals!T44,Volume_Price!$C$113*(1+Assumptions!$F$83)^(Assumptions!T$68/12))</f>
        <v>49.5903773339409</v>
      </c>
      <c r="U118" s="65" t="n">
        <f aca="false">IF(U$5="A",Inputs_Actuals!U44,Volume_Price!$C$113*(1+Assumptions!$F$83)^(Assumptions!U$68/12))</f>
        <v>49.6722798739008</v>
      </c>
      <c r="V118" s="65" t="n">
        <f aca="false">IF(V$5="A",Inputs_Actuals!V44,Volume_Price!$C$113*(1+Assumptions!$F$83)^(Assumptions!V$68/12))</f>
        <v>49.7543176825643</v>
      </c>
      <c r="W118" s="65" t="n">
        <f aca="false">IF(W$5="A",Inputs_Actuals!W44,Volume_Price!$C$113*(1+Assumptions!$F$83)^(Assumptions!W$68/12))</f>
        <v>49.8364909833386</v>
      </c>
      <c r="X118" s="65" t="n">
        <f aca="false">IF(X$5="A",Inputs_Actuals!X44,Volume_Price!$C$113*(1+Assumptions!$F$83)^(Assumptions!X$68/12))</f>
        <v>49.9188</v>
      </c>
      <c r="Y118" s="65" t="n">
        <f aca="false">IF(Y$5="A",Inputs_Actuals!Y44,Volume_Price!$C$113*(1+Assumptions!$F$83)^(Assumptions!Y$68/12))</f>
        <v>50.0012449566943</v>
      </c>
      <c r="Z118" s="65" t="n">
        <f aca="false">IF(Z$5="A",Inputs_Actuals!Z44,Volume_Price!$C$113*(1+Assumptions!$F$83)^(Assumptions!Z$68/12))</f>
        <v>50.0838260779375</v>
      </c>
      <c r="AA118" s="65" t="n">
        <f aca="false">IF(AA$5="A",Inputs_Actuals!AA44,Volume_Price!$C$113*(1+Assumptions!$F$83)^(Assumptions!AA$68/12))</f>
        <v>50.1665435886165</v>
      </c>
      <c r="AB118" s="65" t="n">
        <f aca="false">IF(AB$5="A",Inputs_Actuals!AB44,Volume_Price!$C$113*(1+Assumptions!$F$83)^(Assumptions!AB$68/12))</f>
        <v>50.2493977139894</v>
      </c>
    </row>
    <row r="119" customFormat="false" ht="15" hidden="false" customHeight="true" outlineLevel="0" collapsed="false">
      <c r="A119" s="28" t="s">
        <v>1172</v>
      </c>
      <c r="B119" s="55" t="s">
        <v>1147</v>
      </c>
      <c r="C119" s="61" t="n">
        <f aca="false">AVERAGE(E119:P119)</f>
        <v>42.1222743502357</v>
      </c>
      <c r="D119" s="61" t="n">
        <f aca="false">AVERAGE(Q119:AB119)</f>
        <v>42.8874056888521</v>
      </c>
      <c r="E119" s="65" t="n">
        <f aca="false">IF(E$5="A",Inputs_Actuals!E45,Volume_Price!$C$114*(1+Assumptions!$F$83)^(Assumptions!E$68/12))</f>
        <v>41.75</v>
      </c>
      <c r="F119" s="65" t="n">
        <f aca="false">IF(F$5="A",Inputs_Actuals!F45,Volume_Price!$C$114*(1+Assumptions!$F$83)^(Assumptions!F$68/12))</f>
        <v>41.92</v>
      </c>
      <c r="G119" s="65" t="n">
        <f aca="false">IF(G$5="A",Inputs_Actuals!G45,Volume_Price!$C$114*(1+Assumptions!$F$83)^(Assumptions!G$68/12))</f>
        <v>41.98</v>
      </c>
      <c r="H119" s="65" t="n">
        <f aca="false">IF(H$5="A",Inputs_Actuals!H45,Volume_Price!$C$114*(1+Assumptions!$F$83)^(Assumptions!H$68/12))</f>
        <v>41.97</v>
      </c>
      <c r="I119" s="65" t="n">
        <f aca="false">IF(I$5="A",Inputs_Actuals!I45,Volume_Price!$C$114*(1+Assumptions!$F$83)^(Assumptions!I$68/12))</f>
        <v>42.67</v>
      </c>
      <c r="J119" s="65" t="n">
        <f aca="false">IF(J$5="A",Inputs_Actuals!J45,Volume_Price!$C$114*(1+Assumptions!$F$83)^(Assumptions!J$68/12))</f>
        <v>42.07</v>
      </c>
      <c r="K119" s="65" t="n">
        <f aca="false">IF(K$5="A",Inputs_Actuals!K45,Volume_Price!$C$114*(1+Assumptions!$F$83)^(Assumptions!K$68/12))</f>
        <v>41.66</v>
      </c>
      <c r="L119" s="65" t="n">
        <f aca="false">IF(L$5="A",Inputs_Actuals!L45,Volume_Price!$C$114*(1+Assumptions!$F$83)^(Assumptions!L$68/12))</f>
        <v>42.15</v>
      </c>
      <c r="M119" s="65" t="n">
        <f aca="false">IF(M$5="A",Inputs_Actuals!M45,Volume_Price!$C$114*(1+Assumptions!$F$83)^(Assumptions!M$68/12))</f>
        <v>42.2196141518759</v>
      </c>
      <c r="N119" s="65" t="n">
        <f aca="false">IF(N$5="A",Inputs_Actuals!N45,Volume_Price!$C$114*(1+Assumptions!$F$83)^(Assumptions!N$68/12))</f>
        <v>42.2893432771835</v>
      </c>
      <c r="O119" s="65" t="n">
        <f aca="false">IF(O$5="A",Inputs_Actuals!O45,Volume_Price!$C$114*(1+Assumptions!$F$83)^(Assumptions!O$68/12))</f>
        <v>42.3591875658105</v>
      </c>
      <c r="P119" s="65" t="n">
        <f aca="false">IF(P$5="A",Inputs_Actuals!P45,Volume_Price!$C$114*(1+Assumptions!$F$83)^(Assumptions!P$68/12))</f>
        <v>42.4291472079588</v>
      </c>
      <c r="Q119" s="65" t="n">
        <f aca="false">IF(Q$5="A",Inputs_Actuals!Q45,Volume_Price!$C$114*(1+Assumptions!$F$83)^(Assumptions!Q$68/12))</f>
        <v>42.4992223941438</v>
      </c>
      <c r="R119" s="65" t="n">
        <f aca="false">IF(R$5="A",Inputs_Actuals!R45,Volume_Price!$C$114*(1+Assumptions!$F$83)^(Assumptions!R$68/12))</f>
        <v>42.5694133151962</v>
      </c>
      <c r="S119" s="65" t="n">
        <f aca="false">IF(S$5="A",Inputs_Actuals!S45,Volume_Price!$C$114*(1+Assumptions!$F$83)^(Assumptions!S$68/12))</f>
        <v>42.6397201622613</v>
      </c>
      <c r="T119" s="65" t="n">
        <f aca="false">IF(T$5="A",Inputs_Actuals!T45,Volume_Price!$C$114*(1+Assumptions!$F$83)^(Assumptions!T$68/12))</f>
        <v>42.7101431268004</v>
      </c>
      <c r="U119" s="65" t="n">
        <f aca="false">IF(U$5="A",Inputs_Actuals!U45,Volume_Price!$C$114*(1+Assumptions!$F$83)^(Assumptions!U$68/12))</f>
        <v>42.7806824005909</v>
      </c>
      <c r="V119" s="65" t="n">
        <f aca="false">IF(V$5="A",Inputs_Actuals!V45,Volume_Price!$C$114*(1+Assumptions!$F$83)^(Assumptions!V$68/12))</f>
        <v>42.8513381757271</v>
      </c>
      <c r="W119" s="65" t="n">
        <f aca="false">IF(W$5="A",Inputs_Actuals!W45,Volume_Price!$C$114*(1+Assumptions!$F$83)^(Assumptions!W$68/12))</f>
        <v>42.9221106446204</v>
      </c>
      <c r="X119" s="65" t="n">
        <f aca="false">IF(X$5="A",Inputs_Actuals!X45,Volume_Price!$C$114*(1+Assumptions!$F$83)^(Assumptions!X$68/12))</f>
        <v>42.993</v>
      </c>
      <c r="Y119" s="65" t="n">
        <f aca="false">IF(Y$5="A",Inputs_Actuals!Y45,Volume_Price!$C$114*(1+Assumptions!$F$83)^(Assumptions!Y$68/12))</f>
        <v>43.0640064349135</v>
      </c>
      <c r="Z119" s="65" t="n">
        <f aca="false">IF(Z$5="A",Inputs_Actuals!Z45,Volume_Price!$C$114*(1+Assumptions!$F$83)^(Assumptions!Z$68/12))</f>
        <v>43.1351301427271</v>
      </c>
      <c r="AA119" s="65" t="n">
        <f aca="false">IF(AA$5="A",Inputs_Actuals!AA45,Volume_Price!$C$114*(1+Assumptions!$F$83)^(Assumptions!AA$68/12))</f>
        <v>43.2063713171268</v>
      </c>
      <c r="AB119" s="65" t="n">
        <f aca="false">IF(AB$5="A",Inputs_Actuals!AB45,Volume_Price!$C$114*(1+Assumptions!$F$83)^(Assumptions!AB$68/12))</f>
        <v>43.2777301521179</v>
      </c>
    </row>
    <row r="120" customFormat="false" ht="15" hidden="false" customHeight="true" outlineLevel="0" collapsed="false">
      <c r="A120" s="28" t="s">
        <v>1173</v>
      </c>
      <c r="B120" s="55" t="s">
        <v>1147</v>
      </c>
      <c r="C120" s="61" t="n">
        <f aca="false">AVERAGE(E120:P120)</f>
        <v>31.9472690836381</v>
      </c>
      <c r="D120" s="61" t="n">
        <f aca="false">AVERAGE(Q120:AB120)</f>
        <v>32.4275591768379</v>
      </c>
      <c r="E120" s="65" t="n">
        <f aca="false">IF(E$5="A",Inputs_Actuals!E46,Volume_Price!$C$115*(1+Assumptions!$F$83)^(Assumptions!E$68/12))</f>
        <v>32.14</v>
      </c>
      <c r="F120" s="65" t="n">
        <f aca="false">IF(F$5="A",Inputs_Actuals!F46,Volume_Price!$C$115*(1+Assumptions!$F$83)^(Assumptions!F$68/12))</f>
        <v>31.31</v>
      </c>
      <c r="G120" s="65" t="n">
        <f aca="false">IF(G$5="A",Inputs_Actuals!G46,Volume_Price!$C$115*(1+Assumptions!$F$83)^(Assumptions!G$68/12))</f>
        <v>32.42</v>
      </c>
      <c r="H120" s="65" t="n">
        <f aca="false">IF(H$5="A",Inputs_Actuals!H46,Volume_Price!$C$115*(1+Assumptions!$F$83)^(Assumptions!H$68/12))</f>
        <v>32.22</v>
      </c>
      <c r="I120" s="65" t="n">
        <f aca="false">IF(I$5="A",Inputs_Actuals!I46,Volume_Price!$C$115*(1+Assumptions!$F$83)^(Assumptions!I$68/12))</f>
        <v>31.87</v>
      </c>
      <c r="J120" s="65" t="n">
        <f aca="false">IF(J$5="A",Inputs_Actuals!J46,Volume_Price!$C$115*(1+Assumptions!$F$83)^(Assumptions!J$68/12))</f>
        <v>31.81</v>
      </c>
      <c r="K120" s="65" t="n">
        <f aca="false">IF(K$5="A",Inputs_Actuals!K46,Volume_Price!$C$115*(1+Assumptions!$F$83)^(Assumptions!K$68/12))</f>
        <v>31.72</v>
      </c>
      <c r="L120" s="65" t="n">
        <f aca="false">IF(L$5="A",Inputs_Actuals!L46,Volume_Price!$C$115*(1+Assumptions!$F$83)^(Assumptions!L$68/12))</f>
        <v>31.87</v>
      </c>
      <c r="M120" s="65" t="n">
        <f aca="false">IF(M$5="A",Inputs_Actuals!M46,Volume_Price!$C$115*(1+Assumptions!$F$83)^(Assumptions!M$68/12))</f>
        <v>31.9226358960922</v>
      </c>
      <c r="N120" s="65" t="n">
        <f aca="false">IF(N$5="A",Inputs_Actuals!N46,Volume_Price!$C$115*(1+Assumptions!$F$83)^(Assumptions!N$68/12))</f>
        <v>31.9753587246462</v>
      </c>
      <c r="O120" s="65" t="n">
        <f aca="false">IF(O$5="A",Inputs_Actuals!O46,Volume_Price!$C$115*(1+Assumptions!$F$83)^(Assumptions!O$68/12))</f>
        <v>32.028168629238</v>
      </c>
      <c r="P120" s="65" t="n">
        <f aca="false">IF(P$5="A",Inputs_Actuals!P46,Volume_Price!$C$115*(1+Assumptions!$F$83)^(Assumptions!P$68/12))</f>
        <v>32.0810657536808</v>
      </c>
      <c r="Q120" s="65" t="n">
        <f aca="false">IF(Q$5="A",Inputs_Actuals!Q46,Volume_Price!$C$115*(1+Assumptions!$F$83)^(Assumptions!Q$68/12))</f>
        <v>32.1340502420252</v>
      </c>
      <c r="R120" s="65" t="n">
        <f aca="false">IF(R$5="A",Inputs_Actuals!R46,Volume_Price!$C$115*(1+Assumptions!$F$83)^(Assumptions!R$68/12))</f>
        <v>32.1871222385599</v>
      </c>
      <c r="S120" s="65" t="n">
        <f aca="false">IF(S$5="A",Inputs_Actuals!S46,Volume_Price!$C$115*(1+Assumptions!$F$83)^(Assumptions!S$68/12))</f>
        <v>32.2402818878118</v>
      </c>
      <c r="T120" s="65" t="n">
        <f aca="false">IF(T$5="A",Inputs_Actuals!T46,Volume_Price!$C$115*(1+Assumptions!$F$83)^(Assumptions!T$68/12))</f>
        <v>32.2935293345463</v>
      </c>
      <c r="U120" s="65" t="n">
        <f aca="false">IF(U$5="A",Inputs_Actuals!U46,Volume_Price!$C$115*(1+Assumptions!$F$83)^(Assumptions!U$68/12))</f>
        <v>32.3468647237683</v>
      </c>
      <c r="V120" s="65" t="n">
        <f aca="false">IF(V$5="A",Inputs_Actuals!V46,Volume_Price!$C$115*(1+Assumptions!$F$83)^(Assumptions!V$68/12))</f>
        <v>32.4002882007218</v>
      </c>
      <c r="W120" s="65" t="n">
        <f aca="false">IF(W$5="A",Inputs_Actuals!W46,Volume_Price!$C$115*(1+Assumptions!$F$83)^(Assumptions!W$68/12))</f>
        <v>32.4537999108909</v>
      </c>
      <c r="X120" s="65" t="n">
        <f aca="false">IF(X$5="A",Inputs_Actuals!X46,Volume_Price!$C$115*(1+Assumptions!$F$83)^(Assumptions!X$68/12))</f>
        <v>32.5074</v>
      </c>
      <c r="Y120" s="65" t="n">
        <f aca="false">IF(Y$5="A",Inputs_Actuals!Y46,Volume_Price!$C$115*(1+Assumptions!$F$83)^(Assumptions!Y$68/12))</f>
        <v>32.5610886140141</v>
      </c>
      <c r="Z120" s="65" t="n">
        <f aca="false">IF(Z$5="A",Inputs_Actuals!Z46,Volume_Price!$C$115*(1+Assumptions!$F$83)^(Assumptions!Z$68/12))</f>
        <v>32.6148658991391</v>
      </c>
      <c r="AA120" s="65" t="n">
        <f aca="false">IF(AA$5="A",Inputs_Actuals!AA46,Volume_Price!$C$115*(1+Assumptions!$F$83)^(Assumptions!AA$68/12))</f>
        <v>32.6687320018228</v>
      </c>
      <c r="AB120" s="65" t="n">
        <f aca="false">IF(AB$5="A",Inputs_Actuals!AB46,Volume_Price!$C$115*(1+Assumptions!$F$83)^(Assumptions!AB$68/12))</f>
        <v>32.7226870687544</v>
      </c>
    </row>
    <row r="121" customFormat="false" ht="15" hidden="false" customHeight="true" outlineLevel="0" collapsed="false">
      <c r="A121" s="28" t="s">
        <v>1174</v>
      </c>
      <c r="B121" s="55" t="s">
        <v>1153</v>
      </c>
      <c r="C121" s="56" t="n">
        <f aca="false">SUM(E121:P121)</f>
        <v>290465.753478043</v>
      </c>
      <c r="D121" s="56" t="n">
        <f aca="false">SUM(Q121:AB121)</f>
        <v>544684.322535433</v>
      </c>
      <c r="E121" s="69" t="n">
        <f aca="false">E105*E116</f>
        <v>7998.93</v>
      </c>
      <c r="F121" s="69" t="n">
        <f aca="false">F105*F116</f>
        <v>8472.15</v>
      </c>
      <c r="G121" s="69" t="n">
        <f aca="false">G105*G116</f>
        <v>13016.22</v>
      </c>
      <c r="H121" s="69" t="n">
        <f aca="false">H105*H116</f>
        <v>16426.62</v>
      </c>
      <c r="I121" s="69" t="n">
        <f aca="false">I105*I116</f>
        <v>19854.81</v>
      </c>
      <c r="J121" s="69" t="n">
        <f aca="false">J105*J116</f>
        <v>23540.4</v>
      </c>
      <c r="K121" s="69" t="n">
        <f aca="false">K105*K116</f>
        <v>22049</v>
      </c>
      <c r="L121" s="69" t="n">
        <f aca="false">L105*L116</f>
        <v>27929.82</v>
      </c>
      <c r="M121" s="69" t="n">
        <f aca="false">M105*M116</f>
        <v>27321.4973101036</v>
      </c>
      <c r="N121" s="69" t="n">
        <f aca="false">N105*N116</f>
        <v>32359.9679120644</v>
      </c>
      <c r="O121" s="69" t="n">
        <f aca="false">O105*O116</f>
        <v>47793.3974928523</v>
      </c>
      <c r="P121" s="69" t="n">
        <f aca="false">P105*P116</f>
        <v>43702.9407630228</v>
      </c>
      <c r="Q121" s="69" t="n">
        <f aca="false">Q105*Q116</f>
        <v>28513.5167035852</v>
      </c>
      <c r="R121" s="69" t="n">
        <f aca="false">R105*R116</f>
        <v>27769.1814110624</v>
      </c>
      <c r="S121" s="69" t="n">
        <f aca="false">S105*S116</f>
        <v>32706.6721687853</v>
      </c>
      <c r="T121" s="69" t="n">
        <f aca="false">T105*T116</f>
        <v>35383.2364593274</v>
      </c>
      <c r="U121" s="69" t="n">
        <f aca="false">U105*U116</f>
        <v>39035.6521804786</v>
      </c>
      <c r="V121" s="69" t="n">
        <f aca="false">V105*V116</f>
        <v>39616.8304688543</v>
      </c>
      <c r="W121" s="69" t="n">
        <f aca="false">W105*W116</f>
        <v>39293.3800609843</v>
      </c>
      <c r="X121" s="69" t="n">
        <f aca="false">X105*X116</f>
        <v>40223.5418514286</v>
      </c>
      <c r="Y121" s="69" t="n">
        <f aca="false">Y105*Y116</f>
        <v>47375.4763357196</v>
      </c>
      <c r="Z121" s="69" t="n">
        <f aca="false">Z105*Z116</f>
        <v>56112.1843595196</v>
      </c>
      <c r="AA121" s="69" t="n">
        <f aca="false">AA105*AA116</f>
        <v>82873.7512526058</v>
      </c>
      <c r="AB121" s="69" t="n">
        <f aca="false">AB105*AB116</f>
        <v>75780.8992830815</v>
      </c>
    </row>
    <row r="122" customFormat="false" ht="15" hidden="false" customHeight="true" outlineLevel="0" collapsed="false">
      <c r="A122" s="28" t="s">
        <v>1175</v>
      </c>
      <c r="B122" s="55" t="s">
        <v>1153</v>
      </c>
      <c r="C122" s="56" t="n">
        <f aca="false">SUM(E122:P122)</f>
        <v>104842.171710805</v>
      </c>
      <c r="D122" s="56" t="n">
        <f aca="false">SUM(Q122:AB122)</f>
        <v>198315.28682058</v>
      </c>
      <c r="E122" s="69" t="n">
        <f aca="false">E106*E117</f>
        <v>2789.15</v>
      </c>
      <c r="F122" s="69" t="n">
        <f aca="false">F106*F117</f>
        <v>3010.36</v>
      </c>
      <c r="G122" s="69" t="n">
        <f aca="false">G106*G117</f>
        <v>4740.6</v>
      </c>
      <c r="H122" s="69" t="n">
        <f aca="false">H106*H117</f>
        <v>6093.78</v>
      </c>
      <c r="I122" s="69" t="n">
        <f aca="false">I106*I117</f>
        <v>6625.06</v>
      </c>
      <c r="J122" s="69" t="n">
        <f aca="false">J106*J117</f>
        <v>8031.52</v>
      </c>
      <c r="K122" s="69" t="n">
        <f aca="false">K106*K117</f>
        <v>8371.65</v>
      </c>
      <c r="L122" s="69" t="n">
        <f aca="false">L106*L117</f>
        <v>10137.4</v>
      </c>
      <c r="M122" s="69" t="n">
        <f aca="false">M106*M117</f>
        <v>9947.54273484423</v>
      </c>
      <c r="N122" s="69" t="n">
        <f aca="false">N106*N117</f>
        <v>11782.0103360297</v>
      </c>
      <c r="O122" s="69" t="n">
        <f aca="false">O106*O117</f>
        <v>17401.2009154319</v>
      </c>
      <c r="P122" s="69" t="n">
        <f aca="false">P106*P117</f>
        <v>15911.8977244987</v>
      </c>
      <c r="Q122" s="69" t="n">
        <f aca="false">Q106*Q117</f>
        <v>10381.5476403161</v>
      </c>
      <c r="R122" s="69" t="n">
        <f aca="false">R106*R117</f>
        <v>10110.5410023056</v>
      </c>
      <c r="S122" s="69" t="n">
        <f aca="false">S106*S117</f>
        <v>11908.2426347555</v>
      </c>
      <c r="T122" s="69" t="n">
        <f aca="false">T106*T117</f>
        <v>12882.7586856338</v>
      </c>
      <c r="U122" s="69" t="n">
        <f aca="false">U106*U117</f>
        <v>14212.5745833201</v>
      </c>
      <c r="V122" s="69" t="n">
        <f aca="false">V106*V117</f>
        <v>14424.1770366762</v>
      </c>
      <c r="W122" s="69" t="n">
        <f aca="false">W106*W117</f>
        <v>14306.4112818067</v>
      </c>
      <c r="X122" s="69" t="n">
        <f aca="false">X106*X117</f>
        <v>14645.0758892308</v>
      </c>
      <c r="Y122" s="69" t="n">
        <f aca="false">Y106*Y117</f>
        <v>17249.0391022199</v>
      </c>
      <c r="Z122" s="69" t="n">
        <f aca="false">Z106*Z117</f>
        <v>20430.0059226755</v>
      </c>
      <c r="AA122" s="69" t="n">
        <f aca="false">AA106*AA117</f>
        <v>30173.682387359</v>
      </c>
      <c r="AB122" s="69" t="n">
        <f aca="false">AB106*AB117</f>
        <v>27591.2306542808</v>
      </c>
    </row>
    <row r="123" customFormat="false" ht="15" hidden="false" customHeight="true" outlineLevel="0" collapsed="false">
      <c r="A123" s="28" t="s">
        <v>1176</v>
      </c>
      <c r="B123" s="55" t="s">
        <v>1153</v>
      </c>
      <c r="C123" s="56" t="n">
        <f aca="false">SUM(E123:P123)</f>
        <v>86657.2698135219</v>
      </c>
      <c r="D123" s="56" t="n">
        <f aca="false">SUM(Q123:AB123)</f>
        <v>163726.854587014</v>
      </c>
      <c r="E123" s="69" t="n">
        <f aca="false">E107*E118</f>
        <v>2390.22</v>
      </c>
      <c r="F123" s="69" t="n">
        <f aca="false">F107*F118</f>
        <v>2872.12</v>
      </c>
      <c r="G123" s="69" t="n">
        <f aca="false">G107*G118</f>
        <v>3674.6</v>
      </c>
      <c r="H123" s="69" t="n">
        <f aca="false">H107*H118</f>
        <v>4836.3</v>
      </c>
      <c r="I123" s="69" t="n">
        <f aca="false">I107*I118</f>
        <v>5775.6</v>
      </c>
      <c r="J123" s="69" t="n">
        <f aca="false">J107*J118</f>
        <v>6578.18</v>
      </c>
      <c r="K123" s="69" t="n">
        <f aca="false">K107*K118</f>
        <v>7061.5</v>
      </c>
      <c r="L123" s="69" t="n">
        <f aca="false">L107*L118</f>
        <v>8026.16</v>
      </c>
      <c r="M123" s="69" t="n">
        <f aca="false">M107*M118</f>
        <v>8212.57861134755</v>
      </c>
      <c r="N123" s="69" t="n">
        <f aca="false">N107*N118</f>
        <v>9727.09428484486</v>
      </c>
      <c r="O123" s="69" t="n">
        <f aca="false">O107*O118</f>
        <v>14366.2343816084</v>
      </c>
      <c r="P123" s="69" t="n">
        <f aca="false">P107*P118</f>
        <v>13136.6825357211</v>
      </c>
      <c r="Q123" s="69" t="n">
        <f aca="false">Q107*Q118</f>
        <v>8570.88814556178</v>
      </c>
      <c r="R123" s="69" t="n">
        <f aca="false">R107*R118</f>
        <v>8347.14813476876</v>
      </c>
      <c r="S123" s="69" t="n">
        <f aca="false">S107*S118</f>
        <v>9831.31024090656</v>
      </c>
      <c r="T123" s="69" t="n">
        <f aca="false">T107*T118</f>
        <v>10635.8596546853</v>
      </c>
      <c r="U123" s="69" t="n">
        <f aca="false">U107*U118</f>
        <v>11733.7405976959</v>
      </c>
      <c r="V123" s="69" t="n">
        <f aca="false">V107*V118</f>
        <v>11908.4371864779</v>
      </c>
      <c r="W123" s="69" t="n">
        <f aca="false">W107*W118</f>
        <v>11811.2111131279</v>
      </c>
      <c r="X123" s="69" t="n">
        <f aca="false">X107*X118</f>
        <v>12090.8087771429</v>
      </c>
      <c r="Y123" s="69" t="n">
        <f aca="false">Y107*Y118</f>
        <v>14240.6113120766</v>
      </c>
      <c r="Z123" s="69" t="n">
        <f aca="false">Z107*Z118</f>
        <v>16866.781489921</v>
      </c>
      <c r="AA123" s="69" t="n">
        <f aca="false">AA107*AA118</f>
        <v>24911.0504177089</v>
      </c>
      <c r="AB123" s="69" t="n">
        <f aca="false">AB107*AB118</f>
        <v>22779.0075169405</v>
      </c>
    </row>
    <row r="124" customFormat="false" ht="15" hidden="false" customHeight="true" outlineLevel="0" collapsed="false">
      <c r="A124" s="28" t="s">
        <v>1177</v>
      </c>
      <c r="B124" s="55" t="s">
        <v>1153</v>
      </c>
      <c r="C124" s="56" t="n">
        <f aca="false">SUM(E124:P124)</f>
        <v>93226.1747484486</v>
      </c>
      <c r="D124" s="56" t="n">
        <f aca="false">SUM(Q124:AB124)</f>
        <v>178656.692730774</v>
      </c>
      <c r="E124" s="69" t="n">
        <f aca="false">E108*E119</f>
        <v>2630.25</v>
      </c>
      <c r="F124" s="69" t="n">
        <f aca="false">F108*F119</f>
        <v>3018.24</v>
      </c>
      <c r="G124" s="69" t="n">
        <f aca="false">G108*G119</f>
        <v>3862.16</v>
      </c>
      <c r="H124" s="69" t="n">
        <f aca="false">H108*H119</f>
        <v>5078.37</v>
      </c>
      <c r="I124" s="69" t="n">
        <f aca="false">I108*I119</f>
        <v>5547.1</v>
      </c>
      <c r="J124" s="69" t="n">
        <f aca="false">J108*J119</f>
        <v>7151.9</v>
      </c>
      <c r="K124" s="69" t="n">
        <f aca="false">K108*K119</f>
        <v>7373.82</v>
      </c>
      <c r="L124" s="69" t="n">
        <f aca="false">L108*L119</f>
        <v>8977.95</v>
      </c>
      <c r="M124" s="69" t="n">
        <f aca="false">M108*M119</f>
        <v>8961.46290231864</v>
      </c>
      <c r="N124" s="69" t="n">
        <f aca="false">N108*N119</f>
        <v>10614.0834330096</v>
      </c>
      <c r="O124" s="69" t="n">
        <f aca="false">O108*O119</f>
        <v>15676.2549924223</v>
      </c>
      <c r="P124" s="69" t="n">
        <f aca="false">P108*P119</f>
        <v>14334.5834206981</v>
      </c>
      <c r="Q124" s="69" t="n">
        <f aca="false">Q108*Q119</f>
        <v>9352.44577753535</v>
      </c>
      <c r="R124" s="69" t="n">
        <f aca="false">R108*R119</f>
        <v>9108.30348053309</v>
      </c>
      <c r="S124" s="69" t="n">
        <f aca="false">S108*S119</f>
        <v>10727.8025787583</v>
      </c>
      <c r="T124" s="69" t="n">
        <f aca="false">T108*T119</f>
        <v>11605.7168205408</v>
      </c>
      <c r="U124" s="69" t="n">
        <f aca="false">U108*U119</f>
        <v>12803.710752478</v>
      </c>
      <c r="V124" s="69" t="n">
        <f aca="false">V108*V119</f>
        <v>12994.3374817454</v>
      </c>
      <c r="W124" s="69" t="n">
        <f aca="false">W108*W119</f>
        <v>12888.2456084499</v>
      </c>
      <c r="X124" s="69" t="n">
        <f aca="false">X108*X119</f>
        <v>13193.3390769231</v>
      </c>
      <c r="Y124" s="69" t="n">
        <f aca="false">Y108*Y119</f>
        <v>15539.1766726205</v>
      </c>
      <c r="Z124" s="69" t="n">
        <f aca="false">Z108*Z119</f>
        <v>18404.8206728386</v>
      </c>
      <c r="AA124" s="69" t="n">
        <f aca="false">AA108*AA119</f>
        <v>27182.6261568603</v>
      </c>
      <c r="AB124" s="69" t="n">
        <f aca="false">AB108*AB119</f>
        <v>24856.1676514905</v>
      </c>
    </row>
    <row r="125" customFormat="false" ht="15" hidden="false" customHeight="true" outlineLevel="0" collapsed="false">
      <c r="A125" s="28" t="s">
        <v>1178</v>
      </c>
      <c r="B125" s="55" t="s">
        <v>1153</v>
      </c>
      <c r="C125" s="56" t="n">
        <f aca="false">SUM(E125:P125)</f>
        <v>42439.7936253759</v>
      </c>
      <c r="D125" s="56" t="n">
        <f aca="false">SUM(Q125:AB125)</f>
        <v>81532.8170436138</v>
      </c>
      <c r="E125" s="69" t="n">
        <f aca="false">E109*E120</f>
        <v>1124.9</v>
      </c>
      <c r="F125" s="69" t="n">
        <f aca="false">F109*F120</f>
        <v>1315.02</v>
      </c>
      <c r="G125" s="69" t="n">
        <f aca="false">G109*G120</f>
        <v>1783.1</v>
      </c>
      <c r="H125" s="69" t="n">
        <f aca="false">H109*H120</f>
        <v>2352.06</v>
      </c>
      <c r="I125" s="69" t="n">
        <f aca="false">I109*I120</f>
        <v>2485.86</v>
      </c>
      <c r="J125" s="69" t="n">
        <f aca="false">J109*J120</f>
        <v>3149.19</v>
      </c>
      <c r="K125" s="69" t="n">
        <f aca="false">K109*K120</f>
        <v>3552.64</v>
      </c>
      <c r="L125" s="69" t="n">
        <f aca="false">L109*L120</f>
        <v>4047.49</v>
      </c>
      <c r="M125" s="69" t="n">
        <f aca="false">M109*M120</f>
        <v>4089.70581560543</v>
      </c>
      <c r="N125" s="69" t="n">
        <f aca="false">N109*N120</f>
        <v>4843.90542219053</v>
      </c>
      <c r="O125" s="69" t="n">
        <f aca="false">O109*O120</f>
        <v>7154.10775096055</v>
      </c>
      <c r="P125" s="69" t="n">
        <f aca="false">P109*P120</f>
        <v>6541.81463661942</v>
      </c>
      <c r="Q125" s="69" t="n">
        <f aca="false">Q109*Q120</f>
        <v>4268.13705568367</v>
      </c>
      <c r="R125" s="69" t="n">
        <f aca="false">R109*R120</f>
        <v>4156.71884386169</v>
      </c>
      <c r="S125" s="69" t="n">
        <f aca="false">S109*S120</f>
        <v>4895.80295909757</v>
      </c>
      <c r="T125" s="69" t="n">
        <f aca="false">T109*T120</f>
        <v>5296.45305600217</v>
      </c>
      <c r="U125" s="69" t="n">
        <f aca="false">U109*U120</f>
        <v>5843.17659923481</v>
      </c>
      <c r="V125" s="69" t="n">
        <f aca="false">V109*V120</f>
        <v>5930.17213241866</v>
      </c>
      <c r="W125" s="69" t="n">
        <f aca="false">W109*W120</f>
        <v>5881.75542234192</v>
      </c>
      <c r="X125" s="69" t="n">
        <f aca="false">X109*X120</f>
        <v>6020.98966857143</v>
      </c>
      <c r="Y125" s="69" t="n">
        <f aca="false">Y109*Y120</f>
        <v>7091.54988425981</v>
      </c>
      <c r="Z125" s="69" t="n">
        <f aca="false">Z109*Z120</f>
        <v>8399.33200207837</v>
      </c>
      <c r="AA125" s="69" t="n">
        <f aca="false">AA109*AA120</f>
        <v>12405.2228401656</v>
      </c>
      <c r="AB125" s="69" t="n">
        <f aca="false">AB109*AB120</f>
        <v>11343.5065798981</v>
      </c>
    </row>
    <row r="126" customFormat="false" ht="15" hidden="false" customHeight="true" outlineLevel="0" collapsed="false">
      <c r="A126" s="70" t="s">
        <v>1179</v>
      </c>
      <c r="B126" s="71" t="s">
        <v>310</v>
      </c>
      <c r="C126" s="72" t="n">
        <f aca="false">SUM(E126:P126)</f>
        <v>617631.163376194</v>
      </c>
      <c r="D126" s="72" t="n">
        <f aca="false">SUM(Q126:AB126)</f>
        <v>1166915.97371741</v>
      </c>
      <c r="E126" s="72" t="n">
        <f aca="false">SUM(E121:E125)</f>
        <v>16933.45</v>
      </c>
      <c r="F126" s="72" t="n">
        <f aca="false">SUM(F121:F125)</f>
        <v>18687.89</v>
      </c>
      <c r="G126" s="72" t="n">
        <f aca="false">SUM(G121:G125)</f>
        <v>27076.68</v>
      </c>
      <c r="H126" s="72" t="n">
        <f aca="false">SUM(H121:H125)</f>
        <v>34787.13</v>
      </c>
      <c r="I126" s="72" t="n">
        <f aca="false">SUM(I121:I125)</f>
        <v>40288.43</v>
      </c>
      <c r="J126" s="72" t="n">
        <f aca="false">SUM(J121:J125)</f>
        <v>48451.19</v>
      </c>
      <c r="K126" s="72" t="n">
        <f aca="false">SUM(K121:K125)</f>
        <v>48408.61</v>
      </c>
      <c r="L126" s="72" t="n">
        <f aca="false">SUM(L121:L125)</f>
        <v>59118.82</v>
      </c>
      <c r="M126" s="72" t="n">
        <f aca="false">SUM(M121:M125)</f>
        <v>58532.7873742194</v>
      </c>
      <c r="N126" s="72" t="n">
        <f aca="false">SUM(N121:N125)</f>
        <v>69327.0613881391</v>
      </c>
      <c r="O126" s="72" t="n">
        <f aca="false">SUM(O121:O125)</f>
        <v>102391.195533275</v>
      </c>
      <c r="P126" s="72" t="n">
        <f aca="false">SUM(P121:P125)</f>
        <v>93627.9190805602</v>
      </c>
      <c r="Q126" s="72" t="n">
        <f aca="false">SUM(Q121:Q125)</f>
        <v>61086.5353226821</v>
      </c>
      <c r="R126" s="72" t="n">
        <f aca="false">SUM(R121:R125)</f>
        <v>59491.8928725315</v>
      </c>
      <c r="S126" s="72" t="n">
        <f aca="false">SUM(S121:S125)</f>
        <v>70069.8305823032</v>
      </c>
      <c r="T126" s="72" t="n">
        <f aca="false">SUM(T121:T125)</f>
        <v>75804.0246761895</v>
      </c>
      <c r="U126" s="72" t="n">
        <f aca="false">SUM(U121:U125)</f>
        <v>83628.8547132075</v>
      </c>
      <c r="V126" s="72" t="n">
        <f aca="false">SUM(V121:V125)</f>
        <v>84873.9543061725</v>
      </c>
      <c r="W126" s="72" t="n">
        <f aca="false">SUM(W121:W125)</f>
        <v>84181.0034867108</v>
      </c>
      <c r="X126" s="72" t="n">
        <f aca="false">SUM(X121:X125)</f>
        <v>86173.7552632967</v>
      </c>
      <c r="Y126" s="72" t="n">
        <f aca="false">SUM(Y121:Y125)</f>
        <v>101495.853306896</v>
      </c>
      <c r="Z126" s="72" t="n">
        <f aca="false">SUM(Z121:Z125)</f>
        <v>120213.124447033</v>
      </c>
      <c r="AA126" s="72" t="n">
        <f aca="false">SUM(AA121:AA125)</f>
        <v>177546.3330547</v>
      </c>
      <c r="AB126" s="72" t="n">
        <f aca="false">SUM(AB121:AB125)</f>
        <v>162350.811685691</v>
      </c>
    </row>
    <row r="127" customFormat="false" ht="15" hidden="false" customHeight="true" outlineLevel="0" collapsed="false">
      <c r="A127" s="28" t="s">
        <v>1180</v>
      </c>
      <c r="B127" s="55" t="s">
        <v>1181</v>
      </c>
      <c r="C127" s="56" t="n">
        <f aca="false">SUM(E127:P127)</f>
        <v>264995.134113449</v>
      </c>
      <c r="D127" s="56" t="n">
        <f aca="false">SUM(Q127:AB127)</f>
        <v>495167.565941302</v>
      </c>
      <c r="E127" s="57" t="n">
        <f aca="false">E121/Assumptions!E$70</f>
        <v>7720.9749034749</v>
      </c>
      <c r="F127" s="57" t="n">
        <f aca="false">F121/Assumptions!F$70</f>
        <v>8138.47262247839</v>
      </c>
      <c r="G127" s="57" t="n">
        <f aca="false">G121/Assumptions!G$70</f>
        <v>12372.8326996198</v>
      </c>
      <c r="H127" s="57" t="n">
        <f aca="false">H121/Assumptions!H$70</f>
        <v>15238.0519480519</v>
      </c>
      <c r="I127" s="57" t="n">
        <f aca="false">I121/Assumptions!I$70</f>
        <v>18148.8208409506</v>
      </c>
      <c r="J127" s="57" t="n">
        <f aca="false">J121/Assumptions!J$70</f>
        <v>21245.8483754513</v>
      </c>
      <c r="K127" s="57" t="n">
        <f aca="false">K121/Assumptions!K$70</f>
        <v>19669.0454950937</v>
      </c>
      <c r="L127" s="57" t="n">
        <f aca="false">L121/Assumptions!L$70</f>
        <v>25026.7204301075</v>
      </c>
      <c r="M127" s="57" t="n">
        <f aca="false">M121/Assumptions!M$70</f>
        <v>24837.7248273669</v>
      </c>
      <c r="N127" s="57" t="n">
        <f aca="false">N121/Assumptions!N$70</f>
        <v>29418.1526473312</v>
      </c>
      <c r="O127" s="57" t="n">
        <f aca="false">O121/Assumptions!O$70</f>
        <v>43448.5431753202</v>
      </c>
      <c r="P127" s="57" t="n">
        <f aca="false">P121/Assumptions!P$70</f>
        <v>39729.9461482025</v>
      </c>
      <c r="Q127" s="57" t="n">
        <f aca="false">Q121/Assumptions!Q$70</f>
        <v>25921.3788214411</v>
      </c>
      <c r="R127" s="57" t="n">
        <f aca="false">R121/Assumptions!R$70</f>
        <v>25244.7103736931</v>
      </c>
      <c r="S127" s="57" t="n">
        <f aca="false">S121/Assumptions!S$70</f>
        <v>29733.3383352594</v>
      </c>
      <c r="T127" s="57" t="n">
        <f aca="false">T121/Assumptions!T$70</f>
        <v>32166.5785993885</v>
      </c>
      <c r="U127" s="57" t="n">
        <f aca="false">U121/Assumptions!U$70</f>
        <v>35486.9565277078</v>
      </c>
      <c r="V127" s="57" t="n">
        <f aca="false">V121/Assumptions!V$70</f>
        <v>36015.3004262312</v>
      </c>
      <c r="W127" s="57" t="n">
        <f aca="false">W121/Assumptions!W$70</f>
        <v>35721.2546008948</v>
      </c>
      <c r="X127" s="57" t="n">
        <f aca="false">X121/Assumptions!X$70</f>
        <v>36566.8562285714</v>
      </c>
      <c r="Y127" s="57" t="n">
        <f aca="false">Y121/Assumptions!Y$70</f>
        <v>43068.6148506542</v>
      </c>
      <c r="Z127" s="57" t="n">
        <f aca="false">Z121/Assumptions!Z$70</f>
        <v>51011.0766904724</v>
      </c>
      <c r="AA127" s="57" t="n">
        <f aca="false">AA121/Assumptions!AA$70</f>
        <v>75339.7738660053</v>
      </c>
      <c r="AB127" s="57" t="n">
        <f aca="false">AB121/Assumptions!AB$70</f>
        <v>68891.7266209832</v>
      </c>
    </row>
    <row r="128" customFormat="false" ht="15" hidden="false" customHeight="true" outlineLevel="0" collapsed="false">
      <c r="A128" s="28" t="s">
        <v>1182</v>
      </c>
      <c r="B128" s="55" t="s">
        <v>1181</v>
      </c>
      <c r="C128" s="56" t="n">
        <f aca="false">SUM(E128:P128)</f>
        <v>95638.1204389299</v>
      </c>
      <c r="D128" s="56" t="n">
        <f aca="false">SUM(Q128:AB128)</f>
        <v>180286.624382345</v>
      </c>
      <c r="E128" s="57" t="n">
        <f aca="false">E122/Assumptions!E$70</f>
        <v>2692.22972972973</v>
      </c>
      <c r="F128" s="57" t="n">
        <f aca="false">F122/Assumptions!F$70</f>
        <v>2891.79634966379</v>
      </c>
      <c r="G128" s="57" t="n">
        <f aca="false">G122/Assumptions!G$70</f>
        <v>4506.27376425856</v>
      </c>
      <c r="H128" s="57" t="n">
        <f aca="false">H122/Assumptions!H$70</f>
        <v>5652.85714285714</v>
      </c>
      <c r="I128" s="57" t="n">
        <f aca="false">I122/Assumptions!I$70</f>
        <v>6055.81352833638</v>
      </c>
      <c r="J128" s="57" t="n">
        <f aca="false">J122/Assumptions!J$70</f>
        <v>7248.6642599278</v>
      </c>
      <c r="K128" s="57" t="n">
        <f aca="false">K122/Assumptions!K$70</f>
        <v>7468.01962533452</v>
      </c>
      <c r="L128" s="57" t="n">
        <f aca="false">L122/Assumptions!L$70</f>
        <v>9083.6917562724</v>
      </c>
      <c r="M128" s="57" t="n">
        <f aca="false">M122/Assumptions!M$70</f>
        <v>9043.22066804021</v>
      </c>
      <c r="N128" s="57" t="n">
        <f aca="false">N122/Assumptions!N$70</f>
        <v>10710.9184872997</v>
      </c>
      <c r="O128" s="57" t="n">
        <f aca="false">O122/Assumptions!O$70</f>
        <v>15819.2735594836</v>
      </c>
      <c r="P128" s="57" t="n">
        <f aca="false">P122/Assumptions!P$70</f>
        <v>14465.3615677261</v>
      </c>
      <c r="Q128" s="57" t="n">
        <f aca="false">Q122/Assumptions!Q$70</f>
        <v>9437.77058210555</v>
      </c>
      <c r="R128" s="57" t="n">
        <f aca="false">R122/Assumptions!R$70</f>
        <v>9191.40091118693</v>
      </c>
      <c r="S128" s="57" t="n">
        <f aca="false">S122/Assumptions!S$70</f>
        <v>10825.675122505</v>
      </c>
      <c r="T128" s="57" t="n">
        <f aca="false">T122/Assumptions!T$70</f>
        <v>11711.5988051216</v>
      </c>
      <c r="U128" s="57" t="n">
        <f aca="false">U122/Assumptions!U$70</f>
        <v>12920.5223484728</v>
      </c>
      <c r="V128" s="57" t="n">
        <f aca="false">V122/Assumptions!V$70</f>
        <v>13112.8882151602</v>
      </c>
      <c r="W128" s="57" t="n">
        <f aca="false">W122/Assumptions!W$70</f>
        <v>13005.8284380061</v>
      </c>
      <c r="X128" s="57" t="n">
        <f aca="false">X122/Assumptions!X$70</f>
        <v>13313.7053538462</v>
      </c>
      <c r="Y128" s="57" t="n">
        <f aca="false">Y122/Assumptions!Y$70</f>
        <v>15680.9446383817</v>
      </c>
      <c r="Z128" s="57" t="n">
        <f aca="false">Z122/Assumptions!Z$70</f>
        <v>18572.7326569777</v>
      </c>
      <c r="AA128" s="57" t="n">
        <f aca="false">AA122/Assumptions!AA$70</f>
        <v>27430.6203521445</v>
      </c>
      <c r="AB128" s="57" t="n">
        <f aca="false">AB122/Assumptions!AB$70</f>
        <v>25082.9369584371</v>
      </c>
    </row>
    <row r="129" customFormat="false" ht="15" hidden="false" customHeight="true" outlineLevel="0" collapsed="false">
      <c r="A129" s="28" t="s">
        <v>1183</v>
      </c>
      <c r="B129" s="55" t="s">
        <v>1181</v>
      </c>
      <c r="C129" s="56" t="n">
        <f aca="false">SUM(E129:P129)</f>
        <v>79064.4512409606</v>
      </c>
      <c r="D129" s="56" t="n">
        <f aca="false">SUM(Q129:AB129)</f>
        <v>148842.595079104</v>
      </c>
      <c r="E129" s="57" t="n">
        <f aca="false">E123/Assumptions!E$70</f>
        <v>2307.16216216216</v>
      </c>
      <c r="F129" s="57" t="n">
        <f aca="false">F123/Assumptions!F$70</f>
        <v>2759.00096061479</v>
      </c>
      <c r="G129" s="57" t="n">
        <f aca="false">G123/Assumptions!G$70</f>
        <v>3492.96577946768</v>
      </c>
      <c r="H129" s="57" t="n">
        <f aca="false">H123/Assumptions!H$70</f>
        <v>4486.36363636364</v>
      </c>
      <c r="I129" s="57" t="n">
        <f aca="false">I123/Assumptions!I$70</f>
        <v>5279.34186471664</v>
      </c>
      <c r="J129" s="57" t="n">
        <f aca="false">J123/Assumptions!J$70</f>
        <v>5936.98555956679</v>
      </c>
      <c r="K129" s="57" t="n">
        <f aca="false">K123/Assumptions!K$70</f>
        <v>6299.2863514719</v>
      </c>
      <c r="L129" s="57" t="n">
        <f aca="false">L123/Assumptions!L$70</f>
        <v>7191.89964157706</v>
      </c>
      <c r="M129" s="57" t="n">
        <f aca="false">M123/Assumptions!M$70</f>
        <v>7465.9805557705</v>
      </c>
      <c r="N129" s="57" t="n">
        <f aca="false">N123/Assumptions!N$70</f>
        <v>8842.8129862226</v>
      </c>
      <c r="O129" s="57" t="n">
        <f aca="false">O123/Assumptions!O$70</f>
        <v>13060.2130741894</v>
      </c>
      <c r="P129" s="57" t="n">
        <f aca="false">P123/Assumptions!P$70</f>
        <v>11942.4386688374</v>
      </c>
      <c r="Q129" s="57" t="n">
        <f aca="false">Q123/Assumptions!Q$70</f>
        <v>7791.71649596526</v>
      </c>
      <c r="R129" s="57" t="n">
        <f aca="false">R123/Assumptions!R$70</f>
        <v>7588.31648615342</v>
      </c>
      <c r="S129" s="57" t="n">
        <f aca="false">S123/Assumptions!S$70</f>
        <v>8937.55476446051</v>
      </c>
      <c r="T129" s="57" t="n">
        <f aca="false">T123/Assumptions!T$70</f>
        <v>9668.96332244122</v>
      </c>
      <c r="U129" s="57" t="n">
        <f aca="false">U123/Assumptions!U$70</f>
        <v>10667.0369069963</v>
      </c>
      <c r="V129" s="57" t="n">
        <f aca="false">V123/Assumptions!V$70</f>
        <v>10825.8519877072</v>
      </c>
      <c r="W129" s="57" t="n">
        <f aca="false">W123/Assumptions!W$70</f>
        <v>10737.4646482981</v>
      </c>
      <c r="X129" s="57" t="n">
        <f aca="false">X123/Assumptions!X$70</f>
        <v>10991.6443428571</v>
      </c>
      <c r="Y129" s="57" t="n">
        <f aca="false">Y123/Assumptions!Y$70</f>
        <v>12946.010283706</v>
      </c>
      <c r="Z129" s="57" t="n">
        <f aca="false">Z123/Assumptions!Z$70</f>
        <v>15333.43771811</v>
      </c>
      <c r="AA129" s="57" t="n">
        <f aca="false">AA123/Assumptions!AA$70</f>
        <v>22646.4094706444</v>
      </c>
      <c r="AB129" s="57" t="n">
        <f aca="false">AB123/Assumptions!AB$70</f>
        <v>20708.1886517641</v>
      </c>
    </row>
    <row r="130" customFormat="false" ht="15" hidden="false" customHeight="true" outlineLevel="0" collapsed="false">
      <c r="A130" s="28" t="s">
        <v>1184</v>
      </c>
      <c r="B130" s="55" t="s">
        <v>1181</v>
      </c>
      <c r="C130" s="56" t="n">
        <f aca="false">SUM(E130:P130)</f>
        <v>85046.833570072</v>
      </c>
      <c r="D130" s="56" t="n">
        <f aca="false">SUM(Q130:AB130)</f>
        <v>162415.175209794</v>
      </c>
      <c r="E130" s="57" t="n">
        <f aca="false">E124/Assumptions!E$70</f>
        <v>2538.85135135135</v>
      </c>
      <c r="F130" s="57" t="n">
        <f aca="false">F124/Assumptions!F$70</f>
        <v>2899.36599423631</v>
      </c>
      <c r="G130" s="57" t="n">
        <f aca="false">G124/Assumptions!G$70</f>
        <v>3671.25475285171</v>
      </c>
      <c r="H130" s="57" t="n">
        <f aca="false">H124/Assumptions!H$70</f>
        <v>4710.91836734694</v>
      </c>
      <c r="I130" s="57" t="n">
        <f aca="false">I124/Assumptions!I$70</f>
        <v>5070.47531992687</v>
      </c>
      <c r="J130" s="57" t="n">
        <f aca="false">J124/Assumptions!J$70</f>
        <v>6454.7833935018</v>
      </c>
      <c r="K130" s="57" t="n">
        <f aca="false">K124/Assumptions!K$70</f>
        <v>6577.89473684211</v>
      </c>
      <c r="L130" s="57" t="n">
        <f aca="false">L124/Assumptions!L$70</f>
        <v>8044.75806451613</v>
      </c>
      <c r="M130" s="57" t="n">
        <f aca="false">M124/Assumptions!M$70</f>
        <v>8146.7844566533</v>
      </c>
      <c r="N130" s="57" t="n">
        <f aca="false">N124/Assumptions!N$70</f>
        <v>9649.16675728144</v>
      </c>
      <c r="O130" s="57" t="n">
        <f aca="false">O124/Assumptions!O$70</f>
        <v>14251.1409022021</v>
      </c>
      <c r="P130" s="57" t="n">
        <f aca="false">P124/Assumptions!P$70</f>
        <v>13031.4394733619</v>
      </c>
      <c r="Q130" s="57" t="n">
        <f aca="false">Q124/Assumptions!Q$70</f>
        <v>8502.22343412305</v>
      </c>
      <c r="R130" s="57" t="n">
        <f aca="false">R124/Assumptions!R$70</f>
        <v>8280.27589139371</v>
      </c>
      <c r="S130" s="57" t="n">
        <f aca="false">S124/Assumptions!S$70</f>
        <v>9752.54779887118</v>
      </c>
      <c r="T130" s="57" t="n">
        <f aca="false">T124/Assumptions!T$70</f>
        <v>10550.6516550371</v>
      </c>
      <c r="U130" s="57" t="n">
        <f aca="false">U124/Assumptions!U$70</f>
        <v>11639.7370477073</v>
      </c>
      <c r="V130" s="57" t="n">
        <f aca="false">V124/Assumptions!V$70</f>
        <v>11813.034074314</v>
      </c>
      <c r="W130" s="57" t="n">
        <f aca="false">W124/Assumptions!W$70</f>
        <v>11716.5869167726</v>
      </c>
      <c r="X130" s="57" t="n">
        <f aca="false">X124/Assumptions!X$70</f>
        <v>11993.9446153846</v>
      </c>
      <c r="Y130" s="57" t="n">
        <f aca="false">Y124/Assumptions!Y$70</f>
        <v>14126.5242478368</v>
      </c>
      <c r="Z130" s="57" t="n">
        <f aca="false">Z124/Assumptions!Z$70</f>
        <v>16731.655157126</v>
      </c>
      <c r="AA130" s="57" t="n">
        <f aca="false">AA124/Assumptions!AA$70</f>
        <v>24711.4783244185</v>
      </c>
      <c r="AB130" s="57" t="n">
        <f aca="false">AB124/Assumptions!AB$70</f>
        <v>22596.5160468095</v>
      </c>
    </row>
    <row r="131" customFormat="false" ht="15" hidden="false" customHeight="true" outlineLevel="0" collapsed="false">
      <c r="A131" s="28" t="s">
        <v>1185</v>
      </c>
      <c r="B131" s="55" t="s">
        <v>1181</v>
      </c>
      <c r="C131" s="56" t="n">
        <f aca="false">SUM(E131:P131)</f>
        <v>38708.6272799504</v>
      </c>
      <c r="D131" s="56" t="n">
        <f aca="false">SUM(Q131:AB131)</f>
        <v>74120.7427669216</v>
      </c>
      <c r="E131" s="57" t="n">
        <f aca="false">E125/Assumptions!E$70</f>
        <v>1085.81081081081</v>
      </c>
      <c r="F131" s="57" t="n">
        <f aca="false">F125/Assumptions!F$70</f>
        <v>1263.22766570605</v>
      </c>
      <c r="G131" s="57" t="n">
        <f aca="false">G125/Assumptions!G$70</f>
        <v>1694.96197718631</v>
      </c>
      <c r="H131" s="57" t="n">
        <f aca="false">H125/Assumptions!H$70</f>
        <v>2181.87384044527</v>
      </c>
      <c r="I131" s="57" t="n">
        <f aca="false">I125/Assumptions!I$70</f>
        <v>2272.26691042048</v>
      </c>
      <c r="J131" s="57" t="n">
        <f aca="false">J125/Assumptions!J$70</f>
        <v>2842.22924187726</v>
      </c>
      <c r="K131" s="57" t="n">
        <f aca="false">K125/Assumptions!K$70</f>
        <v>3169.17038358608</v>
      </c>
      <c r="L131" s="57" t="n">
        <f aca="false">L125/Assumptions!L$70</f>
        <v>3626.78315412186</v>
      </c>
      <c r="M131" s="57" t="n">
        <f aca="false">M125/Assumptions!M$70</f>
        <v>3717.91437782311</v>
      </c>
      <c r="N131" s="57" t="n">
        <f aca="false">N125/Assumptions!N$70</f>
        <v>4403.55038380957</v>
      </c>
      <c r="O131" s="57" t="n">
        <f aca="false">O125/Assumptions!O$70</f>
        <v>6503.73431905504</v>
      </c>
      <c r="P131" s="57" t="n">
        <f aca="false">P125/Assumptions!P$70</f>
        <v>5947.10421510857</v>
      </c>
      <c r="Q131" s="57" t="n">
        <f aca="false">Q125/Assumptions!Q$70</f>
        <v>3880.12459607607</v>
      </c>
      <c r="R131" s="57" t="n">
        <f aca="false">R125/Assumptions!R$70</f>
        <v>3778.83531260153</v>
      </c>
      <c r="S131" s="57" t="n">
        <f aca="false">S125/Assumptions!S$70</f>
        <v>4450.72996281597</v>
      </c>
      <c r="T131" s="57" t="n">
        <f aca="false">T125/Assumptions!T$70</f>
        <v>4814.95732363833</v>
      </c>
      <c r="U131" s="57" t="n">
        <f aca="false">U125/Assumptions!U$70</f>
        <v>5311.9787265771</v>
      </c>
      <c r="V131" s="57" t="n">
        <f aca="false">V125/Assumptions!V$70</f>
        <v>5391.06557492606</v>
      </c>
      <c r="W131" s="57" t="n">
        <f aca="false">W125/Assumptions!W$70</f>
        <v>5347.0503839472</v>
      </c>
      <c r="X131" s="57" t="n">
        <f aca="false">X125/Assumptions!X$70</f>
        <v>5473.62697142857</v>
      </c>
      <c r="Y131" s="57" t="n">
        <f aca="false">Y125/Assumptions!Y$70</f>
        <v>6446.86353114528</v>
      </c>
      <c r="Z131" s="57" t="n">
        <f aca="false">Z125/Assumptions!Z$70</f>
        <v>7635.75636552579</v>
      </c>
      <c r="AA131" s="57" t="n">
        <f aca="false">AA125/Assumptions!AA$70</f>
        <v>11277.4753092414</v>
      </c>
      <c r="AB131" s="57" t="n">
        <f aca="false">AB125/Assumptions!AB$70</f>
        <v>10312.2787089983</v>
      </c>
    </row>
    <row r="132" customFormat="false" ht="15" hidden="false" customHeight="true" outlineLevel="0" collapsed="false">
      <c r="A132" s="70" t="s">
        <v>1158</v>
      </c>
      <c r="B132" s="71" t="s">
        <v>1181</v>
      </c>
      <c r="C132" s="72" t="n">
        <f aca="false">SUM(E132:P132)</f>
        <v>563453.166643362</v>
      </c>
      <c r="D132" s="72" t="n">
        <f aca="false">SUM(Q132:AB132)</f>
        <v>1060832.70337947</v>
      </c>
      <c r="E132" s="73" t="n">
        <f aca="false">E126/Assumptions!E$70</f>
        <v>16345.028957529</v>
      </c>
      <c r="F132" s="73" t="n">
        <f aca="false">F126/Assumptions!F$70</f>
        <v>17951.8635926993</v>
      </c>
      <c r="G132" s="73" t="n">
        <f aca="false">G126/Assumptions!G$70</f>
        <v>25738.288973384</v>
      </c>
      <c r="H132" s="73" t="n">
        <f aca="false">H126/Assumptions!H$70</f>
        <v>32270.0649350649</v>
      </c>
      <c r="I132" s="73" t="n">
        <f aca="false">I126/Assumptions!I$70</f>
        <v>36826.718464351</v>
      </c>
      <c r="J132" s="73" t="n">
        <f aca="false">J126/Assumptions!J$70</f>
        <v>43728.5108303249</v>
      </c>
      <c r="K132" s="73" t="n">
        <f aca="false">K126/Assumptions!K$70</f>
        <v>43183.4165923283</v>
      </c>
      <c r="L132" s="73" t="n">
        <f aca="false">L126/Assumptions!L$70</f>
        <v>52973.853046595</v>
      </c>
      <c r="M132" s="73" t="n">
        <f aca="false">M126/Assumptions!M$70</f>
        <v>53211.624885654</v>
      </c>
      <c r="N132" s="73" t="n">
        <f aca="false">N126/Assumptions!N$70</f>
        <v>63024.6012619446</v>
      </c>
      <c r="O132" s="73" t="n">
        <f aca="false">O126/Assumptions!O$70</f>
        <v>93082.9050302504</v>
      </c>
      <c r="P132" s="73" t="n">
        <f aca="false">P126/Assumptions!P$70</f>
        <v>85116.2900732365</v>
      </c>
      <c r="Q132" s="73" t="n">
        <f aca="false">Q126/Assumptions!Q$70</f>
        <v>55533.213929711</v>
      </c>
      <c r="R132" s="73" t="n">
        <f aca="false">R126/Assumptions!R$70</f>
        <v>54083.5389750287</v>
      </c>
      <c r="S132" s="73" t="n">
        <f aca="false">S126/Assumptions!S$70</f>
        <v>63699.845983912</v>
      </c>
      <c r="T132" s="73" t="n">
        <f aca="false">T126/Assumptions!T$70</f>
        <v>68912.7497056268</v>
      </c>
      <c r="U132" s="73" t="n">
        <f aca="false">U126/Assumptions!U$70</f>
        <v>76026.2315574613</v>
      </c>
      <c r="V132" s="73" t="n">
        <f aca="false">V126/Assumptions!V$70</f>
        <v>77158.1402783386</v>
      </c>
      <c r="W132" s="73" t="n">
        <f aca="false">W126/Assumptions!W$70</f>
        <v>76528.1849879189</v>
      </c>
      <c r="X132" s="73" t="n">
        <f aca="false">X126/Assumptions!X$70</f>
        <v>78339.7775120879</v>
      </c>
      <c r="Y132" s="73" t="n">
        <f aca="false">Y126/Assumptions!Y$70</f>
        <v>92268.957551724</v>
      </c>
      <c r="Z132" s="73" t="n">
        <f aca="false">Z126/Assumptions!Z$70</f>
        <v>109284.658588212</v>
      </c>
      <c r="AA132" s="73" t="n">
        <f aca="false">AA126/Assumptions!AA$70</f>
        <v>161405.757322454</v>
      </c>
      <c r="AB132" s="73" t="n">
        <f aca="false">AB126/Assumptions!AB$70</f>
        <v>147591.646986992</v>
      </c>
    </row>
    <row r="133" customFormat="false" ht="15" hidden="false" customHeight="true" outlineLevel="0" collapsed="false">
      <c r="A133" s="28" t="s">
        <v>1160</v>
      </c>
      <c r="B133" s="55" t="s">
        <v>1161</v>
      </c>
      <c r="C133" s="56" t="n">
        <f aca="false">SUM(E133:P133)</f>
        <v>93899.6212823085</v>
      </c>
      <c r="D133" s="56" t="n">
        <f aca="false">SUM(Q133:AB133)</f>
        <v>180724.576389387</v>
      </c>
      <c r="E133" s="69" t="n">
        <f aca="false">E105*E14</f>
        <v>2433.9</v>
      </c>
      <c r="F133" s="69" t="n">
        <f aca="false">F105*F14</f>
        <v>2692.06</v>
      </c>
      <c r="G133" s="69" t="n">
        <f aca="false">G105*G14</f>
        <v>4116.72</v>
      </c>
      <c r="H133" s="69" t="n">
        <f aca="false">H105*H14</f>
        <v>5123.16</v>
      </c>
      <c r="I133" s="69" t="n">
        <f aca="false">I105*I14</f>
        <v>6282.18</v>
      </c>
      <c r="J133" s="69" t="n">
        <f aca="false">J105*J14</f>
        <v>7336.8</v>
      </c>
      <c r="K133" s="69" t="n">
        <f aca="false">K105*K14</f>
        <v>6937.7</v>
      </c>
      <c r="L133" s="69" t="n">
        <f aca="false">L105*L14</f>
        <v>9179.7</v>
      </c>
      <c r="M133" s="69" t="n">
        <f aca="false">M105*M14</f>
        <v>8987.06609587806</v>
      </c>
      <c r="N133" s="69" t="n">
        <f aca="false">N105*N14</f>
        <v>10653.0657956068</v>
      </c>
      <c r="O133" s="69" t="n">
        <f aca="false">O105*O14</f>
        <v>15746.6262351717</v>
      </c>
      <c r="P133" s="69" t="n">
        <f aca="false">P105*P14</f>
        <v>14410.6431556519</v>
      </c>
      <c r="Q133" s="69" t="n">
        <f aca="false">Q105*Q14</f>
        <v>9409.71726713899</v>
      </c>
      <c r="R133" s="69" t="n">
        <f aca="false">R105*R14</f>
        <v>9171.5334781994</v>
      </c>
      <c r="S133" s="69" t="n">
        <f aca="false">S105*S14</f>
        <v>10811.061144982</v>
      </c>
      <c r="T133" s="69" t="n">
        <f aca="false">T105*T14</f>
        <v>11705.3015999322</v>
      </c>
      <c r="U133" s="69" t="n">
        <f aca="false">U105*U14</f>
        <v>12924.0783115159</v>
      </c>
      <c r="V133" s="69" t="n">
        <f aca="false">V105*V14</f>
        <v>13127.1653603041</v>
      </c>
      <c r="W133" s="69" t="n">
        <f aca="false">W105*W14</f>
        <v>13030.5787629449</v>
      </c>
      <c r="X133" s="69" t="n">
        <f aca="false">X105*X14</f>
        <v>13349.8908190476</v>
      </c>
      <c r="Y133" s="69" t="n">
        <f aca="false">Y105*Y14</f>
        <v>15736.3527338825</v>
      </c>
      <c r="Z133" s="69" t="n">
        <f aca="false">Z105*Z14</f>
        <v>18653.5182081075</v>
      </c>
      <c r="AA133" s="69" t="n">
        <f aca="false">AA105*AA14</f>
        <v>27572.3425377856</v>
      </c>
      <c r="AB133" s="69" t="n">
        <f aca="false">AB105*AB14</f>
        <v>25233.0361655466</v>
      </c>
    </row>
    <row r="134" customFormat="false" ht="15" hidden="false" customHeight="true" outlineLevel="0" collapsed="false">
      <c r="A134" s="28" t="s">
        <v>1162</v>
      </c>
      <c r="B134" s="55" t="s">
        <v>1161</v>
      </c>
      <c r="C134" s="56" t="n">
        <f aca="false">SUM(E134:P134)</f>
        <v>28702.2068100877</v>
      </c>
      <c r="D134" s="56" t="n">
        <f aca="false">SUM(Q134:AB134)</f>
        <v>55377.7230817265</v>
      </c>
      <c r="E134" s="69" t="n">
        <f aca="false">E106*E15</f>
        <v>730.8</v>
      </c>
      <c r="F134" s="69" t="n">
        <f aca="false">F106*F15</f>
        <v>802.94</v>
      </c>
      <c r="G134" s="69" t="n">
        <f aca="false">G106*G15</f>
        <v>1279.2</v>
      </c>
      <c r="H134" s="69" t="n">
        <f aca="false">H106*H15</f>
        <v>1631.63</v>
      </c>
      <c r="I134" s="69" t="n">
        <f aca="false">I106*I15</f>
        <v>1775.37</v>
      </c>
      <c r="J134" s="69" t="n">
        <f aca="false">J106*J15</f>
        <v>2153.32</v>
      </c>
      <c r="K134" s="69" t="n">
        <f aca="false">K106*K15</f>
        <v>2265.9</v>
      </c>
      <c r="L134" s="69" t="n">
        <f aca="false">L106*L15</f>
        <v>2804.1</v>
      </c>
      <c r="M134" s="69" t="n">
        <f aca="false">M106*M15</f>
        <v>2753.82168555983</v>
      </c>
      <c r="N134" s="69" t="n">
        <f aca="false">N106*N15</f>
        <v>3264.3182205028</v>
      </c>
      <c r="O134" s="69" t="n">
        <f aca="false">O106*O15</f>
        <v>4825.08978327308</v>
      </c>
      <c r="P134" s="69" t="n">
        <f aca="false">P106*P15</f>
        <v>4415.717120752</v>
      </c>
      <c r="Q134" s="69" t="n">
        <f aca="false">Q106*Q15</f>
        <v>2883.33068754429</v>
      </c>
      <c r="R134" s="69" t="n">
        <f aca="false">R106*R15</f>
        <v>2810.34628127277</v>
      </c>
      <c r="S134" s="69" t="n">
        <f aca="false">S106*S15</f>
        <v>3312.7312414693</v>
      </c>
      <c r="T134" s="69" t="n">
        <f aca="false">T106*T15</f>
        <v>3586.74488848991</v>
      </c>
      <c r="U134" s="69" t="n">
        <f aca="false">U106*U15</f>
        <v>3960.20311194212</v>
      </c>
      <c r="V134" s="69" t="n">
        <f aca="false">V106*V15</f>
        <v>4022.43315599019</v>
      </c>
      <c r="W134" s="69" t="n">
        <f aca="false">W106*W15</f>
        <v>3992.83703824669</v>
      </c>
      <c r="X134" s="69" t="n">
        <f aca="false">X106*X15</f>
        <v>4090.68081230769</v>
      </c>
      <c r="Y134" s="69" t="n">
        <f aca="false">Y106*Y15</f>
        <v>4821.94177141526</v>
      </c>
      <c r="Z134" s="69" t="n">
        <f aca="false">Z106*Z15</f>
        <v>5715.8212041004</v>
      </c>
      <c r="AA134" s="69" t="n">
        <f aca="false">AA106*AA15</f>
        <v>8448.73221051116</v>
      </c>
      <c r="AB134" s="69" t="n">
        <f aca="false">AB106*AB15</f>
        <v>7731.92067843676</v>
      </c>
    </row>
    <row r="135" customFormat="false" ht="15" hidden="false" customHeight="true" outlineLevel="0" collapsed="false">
      <c r="A135" s="28" t="s">
        <v>1163</v>
      </c>
      <c r="B135" s="55" t="s">
        <v>1161</v>
      </c>
      <c r="C135" s="56" t="n">
        <f aca="false">SUM(E135:P135)</f>
        <v>26366.3633765865</v>
      </c>
      <c r="D135" s="56" t="n">
        <f aca="false">SUM(Q135:AB135)</f>
        <v>50456.6647371404</v>
      </c>
      <c r="E135" s="69" t="n">
        <f aca="false">E107*E16</f>
        <v>718.83</v>
      </c>
      <c r="F135" s="69" t="n">
        <f aca="false">F107*F16</f>
        <v>861.99</v>
      </c>
      <c r="G135" s="69" t="n">
        <f aca="false">G107*G16</f>
        <v>1114.16</v>
      </c>
      <c r="H135" s="69" t="n">
        <f aca="false">H107*H16</f>
        <v>1439.62</v>
      </c>
      <c r="I135" s="69" t="n">
        <f aca="false">I107*I16</f>
        <v>1766.4</v>
      </c>
      <c r="J135" s="69" t="n">
        <f aca="false">J107*J16</f>
        <v>1960.42</v>
      </c>
      <c r="K135" s="69" t="n">
        <f aca="false">K107*K16</f>
        <v>2151.8</v>
      </c>
      <c r="L135" s="69" t="n">
        <f aca="false">L107*L16</f>
        <v>2450.16</v>
      </c>
      <c r="M135" s="69" t="n">
        <f aca="false">M107*M16</f>
        <v>2509.10744974289</v>
      </c>
      <c r="N135" s="69" t="n">
        <f aca="false">N107*N16</f>
        <v>2974.23947539652</v>
      </c>
      <c r="O135" s="69" t="n">
        <f aca="false">O107*O16</f>
        <v>4396.31541300308</v>
      </c>
      <c r="P135" s="69" t="n">
        <f aca="false">P107*P16</f>
        <v>4023.32103844397</v>
      </c>
      <c r="Q135" s="69" t="n">
        <f aca="false">Q107*Q16</f>
        <v>2627.10782841372</v>
      </c>
      <c r="R135" s="69" t="n">
        <f aca="false">R107*R16</f>
        <v>2560.60907199416</v>
      </c>
      <c r="S135" s="69" t="n">
        <f aca="false">S107*S16</f>
        <v>3018.35034583108</v>
      </c>
      <c r="T135" s="69" t="n">
        <f aca="false">T107*T16</f>
        <v>3268.01418088468</v>
      </c>
      <c r="U135" s="69" t="n">
        <f aca="false">U107*U16</f>
        <v>3608.28559916324</v>
      </c>
      <c r="V135" s="69" t="n">
        <f aca="false">V107*V16</f>
        <v>3664.9856636364</v>
      </c>
      <c r="W135" s="69" t="n">
        <f aca="false">W107*W16</f>
        <v>3638.01956052846</v>
      </c>
      <c r="X135" s="69" t="n">
        <f aca="false">X107*X16</f>
        <v>3727.16859428571</v>
      </c>
      <c r="Y135" s="69" t="n">
        <f aca="false">Y107*Y16</f>
        <v>4393.44714449981</v>
      </c>
      <c r="Z135" s="69" t="n">
        <f aca="false">Z107*Z16</f>
        <v>5207.89332141932</v>
      </c>
      <c r="AA135" s="69" t="n">
        <f aca="false">AA107*AA16</f>
        <v>7697.9482881684</v>
      </c>
      <c r="AB135" s="69" t="n">
        <f aca="false">AB107*AB16</f>
        <v>7044.83513831539</v>
      </c>
    </row>
    <row r="136" customFormat="false" ht="15" hidden="false" customHeight="true" outlineLevel="0" collapsed="false">
      <c r="A136" s="28" t="s">
        <v>1164</v>
      </c>
      <c r="B136" s="55" t="s">
        <v>1161</v>
      </c>
      <c r="C136" s="56" t="n">
        <f aca="false">SUM(E136:P136)</f>
        <v>29580.2007002995</v>
      </c>
      <c r="D136" s="56" t="n">
        <f aca="false">SUM(Q136:AB136)</f>
        <v>57380.2554880198</v>
      </c>
      <c r="E136" s="69" t="n">
        <f aca="false">E108*E17</f>
        <v>814.59</v>
      </c>
      <c r="F136" s="69" t="n">
        <f aca="false">F108*F17</f>
        <v>944.64</v>
      </c>
      <c r="G136" s="69" t="n">
        <f aca="false">G108*G17</f>
        <v>1208.88</v>
      </c>
      <c r="H136" s="69" t="n">
        <f aca="false">H108*H17</f>
        <v>1593.57</v>
      </c>
      <c r="I136" s="69" t="n">
        <f aca="false">I108*I17</f>
        <v>1729</v>
      </c>
      <c r="J136" s="69" t="n">
        <f aca="false">J108*J17</f>
        <v>2254.2</v>
      </c>
      <c r="K136" s="69" t="n">
        <f aca="false">K108*K17</f>
        <v>2368.26</v>
      </c>
      <c r="L136" s="69" t="n">
        <f aca="false">L108*L17</f>
        <v>2856.33</v>
      </c>
      <c r="M136" s="69" t="n">
        <f aca="false">M108*M17</f>
        <v>2853.40355457868</v>
      </c>
      <c r="N136" s="69" t="n">
        <f aca="false">N108*N17</f>
        <v>3382.36032583391</v>
      </c>
      <c r="O136" s="69" t="n">
        <f aca="false">O108*O17</f>
        <v>4999.57147223706</v>
      </c>
      <c r="P136" s="69" t="n">
        <f aca="false">P108*P17</f>
        <v>4575.39534764985</v>
      </c>
      <c r="Q136" s="69" t="n">
        <f aca="false">Q108*Q17</f>
        <v>2987.59577499374</v>
      </c>
      <c r="R136" s="69" t="n">
        <f aca="false">R108*R17</f>
        <v>2911.97215514355</v>
      </c>
      <c r="S136" s="69" t="n">
        <f aca="false">S108*S17</f>
        <v>3432.52402627903</v>
      </c>
      <c r="T136" s="69" t="n">
        <f aca="false">T108*T17</f>
        <v>3716.44637263558</v>
      </c>
      <c r="U136" s="69" t="n">
        <f aca="false">U108*U17</f>
        <v>4103.40934408467</v>
      </c>
      <c r="V136" s="69" t="n">
        <f aca="false">V108*V17</f>
        <v>4167.88970961431</v>
      </c>
      <c r="W136" s="69" t="n">
        <f aca="false">W108*W17</f>
        <v>4137.22335673683</v>
      </c>
      <c r="X136" s="69" t="n">
        <f aca="false">X108*X17</f>
        <v>4238.60529230769</v>
      </c>
      <c r="Y136" s="69" t="n">
        <f aca="false">Y108*Y17</f>
        <v>4996.30962406727</v>
      </c>
      <c r="Z136" s="69" t="n">
        <f aca="false">Z108*Z17</f>
        <v>5922.51293053519</v>
      </c>
      <c r="AA136" s="69" t="n">
        <f aca="false">AA108*AA17</f>
        <v>8754.24964788709</v>
      </c>
      <c r="AB136" s="69" t="n">
        <f aca="false">AB108*AB17</f>
        <v>8011.51725373489</v>
      </c>
    </row>
    <row r="137" customFormat="false" ht="15" hidden="false" customHeight="true" outlineLevel="0" collapsed="false">
      <c r="A137" s="28" t="s">
        <v>1165</v>
      </c>
      <c r="B137" s="55" t="s">
        <v>1161</v>
      </c>
      <c r="C137" s="56" t="n">
        <f aca="false">SUM(E137:P137)</f>
        <v>14342.7538489277</v>
      </c>
      <c r="D137" s="56" t="n">
        <f aca="false">SUM(Q137:AB137)</f>
        <v>27944.0682806763</v>
      </c>
      <c r="E137" s="69" t="n">
        <f aca="false">E109*E18</f>
        <v>368.2</v>
      </c>
      <c r="F137" s="69" t="n">
        <f aca="false">F109*F18</f>
        <v>444.78</v>
      </c>
      <c r="G137" s="69" t="n">
        <f aca="false">G109*G18</f>
        <v>580.25</v>
      </c>
      <c r="H137" s="69" t="n">
        <f aca="false">H109*H18</f>
        <v>777.45</v>
      </c>
      <c r="I137" s="69" t="n">
        <f aca="false">I109*I18</f>
        <v>831.48</v>
      </c>
      <c r="J137" s="69" t="n">
        <f aca="false">J109*J18</f>
        <v>1059.3</v>
      </c>
      <c r="K137" s="69" t="n">
        <f aca="false">K109*K18</f>
        <v>1207.36</v>
      </c>
      <c r="L137" s="69" t="n">
        <f aca="false">L109*L18</f>
        <v>1374.14</v>
      </c>
      <c r="M137" s="69" t="n">
        <f aca="false">M109*M18</f>
        <v>1389.60175557459</v>
      </c>
      <c r="N137" s="69" t="n">
        <f aca="false">N109*N18</f>
        <v>1647.20263252727</v>
      </c>
      <c r="O137" s="69" t="n">
        <f aca="false">O109*O18</f>
        <v>2434.78118746757</v>
      </c>
      <c r="P137" s="69" t="n">
        <f aca="false">P109*P18</f>
        <v>2228.20827335825</v>
      </c>
      <c r="Q137" s="69" t="n">
        <f aca="false">Q109*Q18</f>
        <v>1454.95309530149</v>
      </c>
      <c r="R137" s="69" t="n">
        <f aca="false">R109*R18</f>
        <v>1418.12454550239</v>
      </c>
      <c r="S137" s="69" t="n">
        <f aca="false">S109*S18</f>
        <v>1671.6322531089</v>
      </c>
      <c r="T137" s="69" t="n">
        <f aca="false">T109*T18</f>
        <v>1809.90186110418</v>
      </c>
      <c r="U137" s="69" t="n">
        <f aca="false">U109*U18</f>
        <v>1998.35204495748</v>
      </c>
      <c r="V137" s="69" t="n">
        <f aca="false">V109*V18</f>
        <v>2029.75385245727</v>
      </c>
      <c r="W137" s="69" t="n">
        <f aca="false">W109*W18</f>
        <v>2014.81940067696</v>
      </c>
      <c r="X137" s="69" t="n">
        <f aca="false">X109*X18</f>
        <v>2064.19219809524</v>
      </c>
      <c r="Y137" s="69" t="n">
        <f aca="false">Y109*Y18</f>
        <v>2433.19267401111</v>
      </c>
      <c r="Z137" s="69" t="n">
        <f aca="false">Z109*Z18</f>
        <v>2884.25180955524</v>
      </c>
      <c r="AA137" s="69" t="n">
        <f aca="false">AA109*AA18</f>
        <v>4263.30185925572</v>
      </c>
      <c r="AB137" s="69" t="n">
        <f aca="false">AB109*AB18</f>
        <v>3901.5926866503</v>
      </c>
    </row>
    <row r="138" customFormat="false" ht="15" hidden="false" customHeight="true" outlineLevel="0" collapsed="false">
      <c r="A138" s="70" t="s">
        <v>1166</v>
      </c>
      <c r="B138" s="71" t="s">
        <v>310</v>
      </c>
      <c r="C138" s="72" t="n">
        <f aca="false">SUM(E138:P138)</f>
        <v>192891.14601821</v>
      </c>
      <c r="D138" s="72" t="n">
        <f aca="false">SUM(Q138:AB138)</f>
        <v>371883.28797695</v>
      </c>
      <c r="E138" s="72" t="n">
        <f aca="false">SUM(E133:E137)</f>
        <v>5066.32</v>
      </c>
      <c r="F138" s="72" t="n">
        <f aca="false">SUM(F133:F137)</f>
        <v>5746.41</v>
      </c>
      <c r="G138" s="72" t="n">
        <f aca="false">SUM(G133:G137)</f>
        <v>8299.21</v>
      </c>
      <c r="H138" s="72" t="n">
        <f aca="false">SUM(H133:H137)</f>
        <v>10565.43</v>
      </c>
      <c r="I138" s="72" t="n">
        <f aca="false">SUM(I133:I137)</f>
        <v>12384.43</v>
      </c>
      <c r="J138" s="72" t="n">
        <f aca="false">SUM(J133:J137)</f>
        <v>14764.04</v>
      </c>
      <c r="K138" s="72" t="n">
        <f aca="false">SUM(K133:K137)</f>
        <v>14931.02</v>
      </c>
      <c r="L138" s="72" t="n">
        <f aca="false">SUM(L133:L137)</f>
        <v>18664.43</v>
      </c>
      <c r="M138" s="72" t="n">
        <f aca="false">SUM(M133:M137)</f>
        <v>18493.0005413341</v>
      </c>
      <c r="N138" s="72" t="n">
        <f aca="false">SUM(N133:N137)</f>
        <v>21921.1864498673</v>
      </c>
      <c r="O138" s="72" t="n">
        <f aca="false">SUM(O133:O137)</f>
        <v>32402.3840911525</v>
      </c>
      <c r="P138" s="72" t="n">
        <f aca="false">SUM(P133:P137)</f>
        <v>29653.284935856</v>
      </c>
      <c r="Q138" s="72" t="n">
        <f aca="false">SUM(Q133:Q137)</f>
        <v>19362.7046533922</v>
      </c>
      <c r="R138" s="72" t="n">
        <f aca="false">SUM(R133:R137)</f>
        <v>18872.5855321123</v>
      </c>
      <c r="S138" s="72" t="n">
        <f aca="false">SUM(S133:S137)</f>
        <v>22246.2990116703</v>
      </c>
      <c r="T138" s="72" t="n">
        <f aca="false">SUM(T133:T137)</f>
        <v>24086.4089030466</v>
      </c>
      <c r="U138" s="72" t="n">
        <f aca="false">SUM(U133:U137)</f>
        <v>26594.3284116634</v>
      </c>
      <c r="V138" s="72" t="n">
        <f aca="false">SUM(V133:V137)</f>
        <v>27012.2277420023</v>
      </c>
      <c r="W138" s="72" t="n">
        <f aca="false">SUM(W133:W137)</f>
        <v>26813.4781191338</v>
      </c>
      <c r="X138" s="72" t="n">
        <f aca="false">SUM(X133:X137)</f>
        <v>27470.537716044</v>
      </c>
      <c r="Y138" s="72" t="n">
        <f aca="false">SUM(Y133:Y137)</f>
        <v>32381.2439478759</v>
      </c>
      <c r="Z138" s="72" t="n">
        <f aca="false">SUM(Z133:Z137)</f>
        <v>38383.9974737177</v>
      </c>
      <c r="AA138" s="72" t="n">
        <f aca="false">SUM(AA133:AA137)</f>
        <v>56736.574543608</v>
      </c>
      <c r="AB138" s="72" t="n">
        <f aca="false">SUM(AB133:AB137)</f>
        <v>51922.9019226839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14"/>
    <col collapsed="false" customWidth="true" hidden="false" outlineLevel="0" max="7" min="3" style="1" width="13"/>
    <col collapsed="false" customWidth="true" hidden="false" outlineLevel="0" max="8" min="8" style="1" width="60"/>
    <col collapsed="false" customWidth="true" hidden="false" outlineLevel="0" max="28" min="9" style="1" width="11.5"/>
  </cols>
  <sheetData>
    <row r="1" customFormat="false" ht="15" hidden="false" customHeight="true" outlineLevel="0" collapsed="false">
      <c r="A1" s="20" t="s">
        <v>1186</v>
      </c>
    </row>
    <row r="2" customFormat="false" ht="17.25" hidden="false" customHeight="true" outlineLevel="0" collapsed="false">
      <c r="A2" s="21" t="s">
        <v>1187</v>
      </c>
    </row>
    <row r="3" customFormat="false" ht="15" hidden="false" customHeight="true" outlineLevel="0" collapsed="false">
      <c r="A3" s="25" t="s">
        <v>1188</v>
      </c>
    </row>
    <row r="5" customFormat="false" ht="15" hidden="false" customHeight="true" outlineLevel="0" collapsed="false">
      <c r="A5" s="22" t="s">
        <v>1189</v>
      </c>
      <c r="B5" s="23"/>
      <c r="C5" s="23"/>
      <c r="D5" s="23"/>
      <c r="E5" s="23"/>
      <c r="F5" s="23"/>
      <c r="G5" s="23"/>
      <c r="H5" s="23"/>
    </row>
    <row r="6" customFormat="false" ht="15" hidden="false" customHeight="true" outlineLevel="0" collapsed="false">
      <c r="A6" s="28" t="s">
        <v>1190</v>
      </c>
      <c r="B6" s="55"/>
      <c r="C6" s="120" t="s">
        <v>1191</v>
      </c>
      <c r="D6" s="55" t="s">
        <v>1192</v>
      </c>
    </row>
    <row r="7" customFormat="false" ht="15" hidden="false" customHeight="true" outlineLevel="0" collapsed="false">
      <c r="A7" s="28" t="s">
        <v>1193</v>
      </c>
      <c r="B7" s="55"/>
      <c r="C7" s="120" t="s">
        <v>494</v>
      </c>
    </row>
    <row r="8" customFormat="false" ht="15" hidden="false" customHeight="true" outlineLevel="0" collapsed="false">
      <c r="A8" s="28" t="s">
        <v>1194</v>
      </c>
      <c r="B8" s="55" t="s">
        <v>1195</v>
      </c>
      <c r="C8" s="106" t="n">
        <v>46053</v>
      </c>
      <c r="D8" s="55" t="s">
        <v>1196</v>
      </c>
    </row>
    <row r="9" customFormat="false" ht="15" hidden="false" customHeight="true" outlineLevel="0" collapsed="false">
      <c r="A9" s="28" t="s">
        <v>1197</v>
      </c>
      <c r="B9" s="55" t="s">
        <v>1195</v>
      </c>
      <c r="C9" s="106" t="n">
        <v>46265</v>
      </c>
      <c r="D9" s="55" t="s">
        <v>1198</v>
      </c>
    </row>
    <row r="10" customFormat="false" ht="15" hidden="false" customHeight="true" outlineLevel="0" collapsed="false">
      <c r="A10" s="28" t="s">
        <v>1199</v>
      </c>
      <c r="B10" s="55" t="s">
        <v>1200</v>
      </c>
      <c r="C10" s="35" t="n">
        <f aca="false">MATCH(Assumptions!$C$9,Assumptions!$E$61:$AB$61,0)</f>
        <v>8</v>
      </c>
    </row>
    <row r="11" customFormat="false" ht="15" hidden="false" customHeight="true" outlineLevel="0" collapsed="false">
      <c r="A11" s="28" t="s">
        <v>1201</v>
      </c>
      <c r="B11" s="55" t="s">
        <v>865</v>
      </c>
      <c r="C11" s="130" t="n">
        <v>1</v>
      </c>
      <c r="D11" s="55" t="s">
        <v>1202</v>
      </c>
    </row>
    <row r="12" customFormat="false" ht="15" hidden="false" customHeight="true" outlineLevel="0" collapsed="false">
      <c r="A12" s="28" t="s">
        <v>1203</v>
      </c>
      <c r="B12" s="55" t="s">
        <v>1200</v>
      </c>
      <c r="C12" s="131" t="str">
        <f aca="false">CHOOSE(Assumptions!$C$11,"Base","Downside","Upside")</f>
        <v>Base</v>
      </c>
    </row>
    <row r="13" customFormat="false" ht="15" hidden="false" customHeight="true" outlineLevel="0" collapsed="false">
      <c r="A13" s="28" t="s">
        <v>618</v>
      </c>
      <c r="B13" s="55" t="s">
        <v>494</v>
      </c>
      <c r="C13" s="74" t="n">
        <v>150000</v>
      </c>
      <c r="D13" s="55" t="s">
        <v>1204</v>
      </c>
    </row>
    <row r="14" customFormat="false" ht="15" hidden="false" customHeight="true" outlineLevel="0" collapsed="false">
      <c r="A14" s="28" t="s">
        <v>623</v>
      </c>
      <c r="B14" s="55" t="s">
        <v>494</v>
      </c>
      <c r="C14" s="74" t="n">
        <v>150000</v>
      </c>
      <c r="D14" s="55" t="s">
        <v>1205</v>
      </c>
    </row>
    <row r="15" customFormat="false" ht="15" hidden="false" customHeight="true" outlineLevel="0" collapsed="false">
      <c r="A15" s="28" t="s">
        <v>1206</v>
      </c>
      <c r="B15" s="55" t="s">
        <v>494</v>
      </c>
      <c r="C15" s="74" t="n">
        <v>200000</v>
      </c>
      <c r="D15" s="55" t="s">
        <v>1207</v>
      </c>
    </row>
    <row r="16" customFormat="false" ht="15" hidden="false" customHeight="true" outlineLevel="0" collapsed="false">
      <c r="A16" s="28" t="s">
        <v>1208</v>
      </c>
      <c r="B16" s="55" t="s">
        <v>1209</v>
      </c>
      <c r="C16" s="121" t="n">
        <v>0.19</v>
      </c>
    </row>
    <row r="17" customFormat="false" ht="15" hidden="false" customHeight="true" outlineLevel="0" collapsed="false">
      <c r="A17" s="28" t="s">
        <v>1210</v>
      </c>
      <c r="B17" s="55" t="s">
        <v>1209</v>
      </c>
      <c r="C17" s="121" t="n">
        <v>0.258</v>
      </c>
    </row>
    <row r="18" customFormat="false" ht="15" hidden="false" customHeight="true" outlineLevel="0" collapsed="false">
      <c r="A18" s="28" t="s">
        <v>1211</v>
      </c>
      <c r="B18" s="55" t="s">
        <v>510</v>
      </c>
      <c r="C18" s="107" t="n">
        <v>4</v>
      </c>
      <c r="D18" s="55" t="s">
        <v>1212</v>
      </c>
    </row>
    <row r="19" customFormat="false" ht="15" hidden="false" customHeight="true" outlineLevel="0" collapsed="false">
      <c r="A19" s="28" t="s">
        <v>1213</v>
      </c>
      <c r="B19" s="55" t="s">
        <v>1209</v>
      </c>
      <c r="C19" s="121" t="n">
        <v>0.21</v>
      </c>
    </row>
    <row r="20" customFormat="false" ht="15" hidden="false" customHeight="true" outlineLevel="0" collapsed="false">
      <c r="A20" s="28" t="s">
        <v>1214</v>
      </c>
      <c r="B20" s="55" t="s">
        <v>1209</v>
      </c>
      <c r="C20" s="121" t="n">
        <v>0.205</v>
      </c>
      <c r="D20" s="55" t="s">
        <v>1215</v>
      </c>
    </row>
    <row r="21" customFormat="false" ht="15" hidden="false" customHeight="true" outlineLevel="0" collapsed="false">
      <c r="A21" s="28" t="s">
        <v>1216</v>
      </c>
      <c r="B21" s="55" t="s">
        <v>1209</v>
      </c>
      <c r="C21" s="121" t="n">
        <v>0.205</v>
      </c>
    </row>
    <row r="22" customFormat="false" ht="15" hidden="false" customHeight="true" outlineLevel="0" collapsed="false">
      <c r="A22" s="28" t="s">
        <v>1217</v>
      </c>
      <c r="B22" s="55" t="s">
        <v>1209</v>
      </c>
      <c r="C22" s="121" t="n">
        <v>0</v>
      </c>
      <c r="D22" s="55" t="s">
        <v>1218</v>
      </c>
    </row>
    <row r="23" customFormat="false" ht="15" hidden="false" customHeight="true" outlineLevel="0" collapsed="false">
      <c r="A23" s="28" t="s">
        <v>1219</v>
      </c>
      <c r="B23" s="55" t="s">
        <v>1220</v>
      </c>
      <c r="C23" s="121" t="n">
        <v>0.85</v>
      </c>
    </row>
    <row r="24" customFormat="false" ht="15" hidden="false" customHeight="true" outlineLevel="0" collapsed="false">
      <c r="A24" s="28" t="s">
        <v>1221</v>
      </c>
      <c r="B24" s="55" t="s">
        <v>1220</v>
      </c>
      <c r="C24" s="121" t="n">
        <v>0.55</v>
      </c>
      <c r="D24" s="55" t="s">
        <v>1222</v>
      </c>
    </row>
    <row r="25" customFormat="false" ht="15" hidden="false" customHeight="true" outlineLevel="0" collapsed="false">
      <c r="A25" s="28" t="s">
        <v>1223</v>
      </c>
      <c r="B25" s="55" t="s">
        <v>1220</v>
      </c>
      <c r="C25" s="121" t="n">
        <v>1</v>
      </c>
    </row>
    <row r="26" customFormat="false" ht="15" hidden="false" customHeight="true" outlineLevel="0" collapsed="false">
      <c r="A26" s="28" t="s">
        <v>1224</v>
      </c>
      <c r="B26" s="55" t="s">
        <v>1220</v>
      </c>
      <c r="C26" s="121" t="n">
        <v>0.32</v>
      </c>
    </row>
    <row r="27" customFormat="false" ht="15" hidden="false" customHeight="true" outlineLevel="0" collapsed="false">
      <c r="A27" s="28" t="s">
        <v>1225</v>
      </c>
      <c r="B27" s="55" t="s">
        <v>1226</v>
      </c>
      <c r="C27" s="107" t="n">
        <v>8</v>
      </c>
      <c r="D27" s="55" t="s">
        <v>1227</v>
      </c>
    </row>
    <row r="28" customFormat="false" ht="15" hidden="false" customHeight="true" outlineLevel="0" collapsed="false">
      <c r="A28" s="28" t="s">
        <v>1228</v>
      </c>
      <c r="B28" s="55" t="s">
        <v>1226</v>
      </c>
      <c r="C28" s="107" t="n">
        <v>8</v>
      </c>
    </row>
    <row r="29" customFormat="false" ht="15" hidden="false" customHeight="true" outlineLevel="0" collapsed="false">
      <c r="A29" s="28" t="s">
        <v>1229</v>
      </c>
      <c r="B29" s="55" t="s">
        <v>1226</v>
      </c>
      <c r="C29" s="107" t="n">
        <v>3</v>
      </c>
      <c r="D29" s="55" t="s">
        <v>1230</v>
      </c>
    </row>
    <row r="30" customFormat="false" ht="15" hidden="false" customHeight="true" outlineLevel="0" collapsed="false">
      <c r="A30" s="28" t="s">
        <v>1231</v>
      </c>
      <c r="B30" s="55" t="s">
        <v>1226</v>
      </c>
      <c r="C30" s="107" t="n">
        <v>3</v>
      </c>
    </row>
    <row r="31" customFormat="false" ht="15" hidden="false" customHeight="true" outlineLevel="0" collapsed="false">
      <c r="A31" s="28" t="s">
        <v>1232</v>
      </c>
      <c r="B31" s="55" t="s">
        <v>1233</v>
      </c>
      <c r="C31" s="107" t="n">
        <v>14</v>
      </c>
      <c r="D31" s="55" t="s">
        <v>1234</v>
      </c>
    </row>
    <row r="32" customFormat="false" ht="15" hidden="false" customHeight="true" outlineLevel="0" collapsed="false">
      <c r="A32" s="28" t="s">
        <v>1235</v>
      </c>
      <c r="B32" s="55" t="s">
        <v>1226</v>
      </c>
      <c r="C32" s="107" t="n">
        <v>7</v>
      </c>
    </row>
    <row r="33" customFormat="false" ht="15" hidden="false" customHeight="true" outlineLevel="0" collapsed="false">
      <c r="A33" s="28" t="s">
        <v>1236</v>
      </c>
      <c r="B33" s="55" t="s">
        <v>1209</v>
      </c>
      <c r="C33" s="121" t="n">
        <v>0.25</v>
      </c>
    </row>
    <row r="34" customFormat="false" ht="15" hidden="false" customHeight="true" outlineLevel="0" collapsed="false">
      <c r="A34" s="28" t="s">
        <v>1237</v>
      </c>
      <c r="B34" s="55" t="s">
        <v>1209</v>
      </c>
      <c r="C34" s="132" t="n">
        <v>0.003</v>
      </c>
    </row>
    <row r="35" customFormat="false" ht="15" hidden="false" customHeight="true" outlineLevel="0" collapsed="false">
      <c r="A35" s="28" t="s">
        <v>1238</v>
      </c>
      <c r="B35" s="55" t="s">
        <v>1220</v>
      </c>
      <c r="C35" s="121" t="n">
        <v>0.3</v>
      </c>
      <c r="D35" s="55" t="s">
        <v>1239</v>
      </c>
    </row>
    <row r="36" customFormat="false" ht="15" hidden="false" customHeight="true" outlineLevel="0" collapsed="false">
      <c r="A36" s="28" t="s">
        <v>1240</v>
      </c>
      <c r="B36" s="55" t="s">
        <v>1226</v>
      </c>
      <c r="C36" s="107" t="n">
        <v>3</v>
      </c>
    </row>
    <row r="37" customFormat="false" ht="15" hidden="false" customHeight="true" outlineLevel="0" collapsed="false">
      <c r="A37" s="28" t="s">
        <v>1241</v>
      </c>
      <c r="B37" s="55" t="s">
        <v>1226</v>
      </c>
      <c r="C37" s="107" t="n">
        <v>1</v>
      </c>
    </row>
    <row r="38" customFormat="false" ht="15" hidden="false" customHeight="true" outlineLevel="0" collapsed="false">
      <c r="A38" s="28" t="s">
        <v>1242</v>
      </c>
      <c r="B38" s="55" t="s">
        <v>1220</v>
      </c>
      <c r="C38" s="121" t="n">
        <v>0.22</v>
      </c>
    </row>
    <row r="39" customFormat="false" ht="15" hidden="false" customHeight="true" outlineLevel="0" collapsed="false">
      <c r="A39" s="28" t="s">
        <v>1243</v>
      </c>
      <c r="B39" s="55" t="s">
        <v>1220</v>
      </c>
      <c r="C39" s="121" t="n">
        <v>0.14</v>
      </c>
    </row>
    <row r="40" customFormat="false" ht="15" hidden="false" customHeight="true" outlineLevel="0" collapsed="false">
      <c r="A40" s="28" t="s">
        <v>1244</v>
      </c>
      <c r="B40" s="55" t="s">
        <v>1220</v>
      </c>
      <c r="C40" s="121" t="n">
        <v>0.06</v>
      </c>
    </row>
    <row r="41" customFormat="false" ht="15" hidden="false" customHeight="true" outlineLevel="0" collapsed="false">
      <c r="A41" s="28" t="s">
        <v>1245</v>
      </c>
      <c r="B41" s="55" t="s">
        <v>1220</v>
      </c>
      <c r="C41" s="121" t="n">
        <v>0.24</v>
      </c>
    </row>
    <row r="42" customFormat="false" ht="15" hidden="false" customHeight="true" outlineLevel="0" collapsed="false">
      <c r="A42" s="28" t="s">
        <v>1246</v>
      </c>
      <c r="B42" s="55" t="s">
        <v>1220</v>
      </c>
      <c r="C42" s="121" t="n">
        <v>0.2</v>
      </c>
    </row>
    <row r="43" customFormat="false" ht="15" hidden="false" customHeight="true" outlineLevel="0" collapsed="false">
      <c r="A43" s="28" t="s">
        <v>1247</v>
      </c>
      <c r="B43" s="55" t="s">
        <v>1248</v>
      </c>
      <c r="C43" s="133" t="n">
        <v>2.8</v>
      </c>
      <c r="D43" s="55" t="s">
        <v>1249</v>
      </c>
    </row>
    <row r="44" customFormat="false" ht="15" hidden="false" customHeight="true" outlineLevel="0" collapsed="false">
      <c r="A44" s="28" t="s">
        <v>1250</v>
      </c>
      <c r="B44" s="55" t="s">
        <v>1233</v>
      </c>
      <c r="C44" s="107" t="n">
        <v>30</v>
      </c>
    </row>
    <row r="45" customFormat="false" ht="15" hidden="false" customHeight="true" outlineLevel="0" collapsed="false">
      <c r="A45" s="28" t="s">
        <v>1251</v>
      </c>
      <c r="B45" s="55" t="s">
        <v>1233</v>
      </c>
      <c r="C45" s="107" t="n">
        <v>10</v>
      </c>
    </row>
    <row r="46" customFormat="false" ht="15" hidden="false" customHeight="true" outlineLevel="0" collapsed="false">
      <c r="A46" s="28" t="s">
        <v>1252</v>
      </c>
      <c r="B46" s="55" t="s">
        <v>1233</v>
      </c>
      <c r="C46" s="107" t="n">
        <v>25</v>
      </c>
    </row>
    <row r="47" customFormat="false" ht="15" hidden="false" customHeight="true" outlineLevel="0" collapsed="false">
      <c r="A47" s="28" t="s">
        <v>1253</v>
      </c>
      <c r="B47" s="55" t="s">
        <v>494</v>
      </c>
      <c r="C47" s="134" t="n">
        <v>0.7</v>
      </c>
    </row>
    <row r="48" customFormat="false" ht="15" hidden="false" customHeight="true" outlineLevel="0" collapsed="false">
      <c r="A48" s="28" t="s">
        <v>1254</v>
      </c>
      <c r="B48" s="55" t="s">
        <v>1209</v>
      </c>
      <c r="C48" s="132" t="n">
        <v>0.0015</v>
      </c>
    </row>
    <row r="49" customFormat="false" ht="15" hidden="false" customHeight="true" outlineLevel="0" collapsed="false">
      <c r="A49" s="28" t="s">
        <v>1255</v>
      </c>
      <c r="B49" s="55" t="s">
        <v>1209</v>
      </c>
      <c r="C49" s="121" t="n">
        <v>0.03</v>
      </c>
    </row>
    <row r="50" customFormat="false" ht="15" hidden="false" customHeight="true" outlineLevel="0" collapsed="false">
      <c r="A50" s="28" t="s">
        <v>1256</v>
      </c>
      <c r="B50" s="55" t="s">
        <v>1220</v>
      </c>
      <c r="C50" s="121" t="n">
        <v>0.7</v>
      </c>
    </row>
    <row r="51" customFormat="false" ht="15" hidden="false" customHeight="true" outlineLevel="0" collapsed="false">
      <c r="A51" s="28" t="s">
        <v>1257</v>
      </c>
      <c r="B51" s="55" t="s">
        <v>494</v>
      </c>
      <c r="C51" s="74" t="n">
        <v>400000</v>
      </c>
      <c r="D51" s="55" t="s">
        <v>1258</v>
      </c>
    </row>
    <row r="52" customFormat="false" ht="15" hidden="false" customHeight="true" outlineLevel="0" collapsed="false">
      <c r="A52" s="28" t="s">
        <v>1259</v>
      </c>
      <c r="B52" s="55" t="s">
        <v>1209</v>
      </c>
      <c r="C52" s="121" t="n">
        <v>0.075</v>
      </c>
    </row>
    <row r="53" customFormat="false" ht="15" hidden="false" customHeight="true" outlineLevel="0" collapsed="false">
      <c r="A53" s="28" t="s">
        <v>1260</v>
      </c>
      <c r="B53" s="55" t="s">
        <v>1226</v>
      </c>
      <c r="C53" s="107" t="n">
        <v>48</v>
      </c>
    </row>
    <row r="54" customFormat="false" ht="15" hidden="false" customHeight="true" outlineLevel="0" collapsed="false">
      <c r="A54" s="28" t="s">
        <v>1261</v>
      </c>
      <c r="B54" s="55" t="s">
        <v>494</v>
      </c>
      <c r="C54" s="74" t="n">
        <v>1500</v>
      </c>
    </row>
    <row r="55" customFormat="false" ht="15" hidden="false" customHeight="true" outlineLevel="0" collapsed="false">
      <c r="A55" s="28" t="s">
        <v>1262</v>
      </c>
      <c r="B55" s="55" t="s">
        <v>494</v>
      </c>
      <c r="C55" s="74" t="n">
        <v>30000</v>
      </c>
    </row>
    <row r="56" customFormat="false" ht="15" hidden="false" customHeight="true" outlineLevel="0" collapsed="false">
      <c r="A56" s="28" t="s">
        <v>1263</v>
      </c>
      <c r="B56" s="55" t="s">
        <v>1264</v>
      </c>
      <c r="C56" s="107" t="n">
        <v>5</v>
      </c>
    </row>
    <row r="57" customFormat="false" ht="15" hidden="false" customHeight="true" outlineLevel="0" collapsed="false">
      <c r="A57" s="28" t="s">
        <v>1265</v>
      </c>
      <c r="B57" s="55" t="s">
        <v>1264</v>
      </c>
      <c r="C57" s="107" t="n">
        <v>3</v>
      </c>
    </row>
    <row r="58" customFormat="false" ht="15" hidden="false" customHeight="true" outlineLevel="0" collapsed="false">
      <c r="A58" s="28" t="s">
        <v>1266</v>
      </c>
      <c r="B58" s="55" t="s">
        <v>1200</v>
      </c>
      <c r="C58" s="112" t="n">
        <f aca="false">Assumptions!$C$9</f>
        <v>46265</v>
      </c>
    </row>
    <row r="60" customFormat="false" ht="15" hidden="false" customHeight="true" outlineLevel="0" collapsed="false">
      <c r="A60" s="22" t="s">
        <v>1267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row>
    <row r="61" customFormat="false" ht="15" hidden="false" customHeight="true" outlineLevel="0" collapsed="false">
      <c r="A61" s="28" t="s">
        <v>1268</v>
      </c>
      <c r="E61" s="135" t="n">
        <f aca="false">Assumptions!$C$8</f>
        <v>46053</v>
      </c>
      <c r="F61" s="135" t="n">
        <f aca="false">EOMONTH(E61,1)</f>
        <v>46081</v>
      </c>
      <c r="G61" s="135" t="n">
        <f aca="false">EOMONTH(F61,1)</f>
        <v>46112</v>
      </c>
      <c r="H61" s="135" t="n">
        <f aca="false">EOMONTH(G61,1)</f>
        <v>46142</v>
      </c>
      <c r="I61" s="135" t="n">
        <f aca="false">EOMONTH(H61,1)</f>
        <v>46173</v>
      </c>
      <c r="J61" s="135" t="n">
        <f aca="false">EOMONTH(I61,1)</f>
        <v>46203</v>
      </c>
      <c r="K61" s="135" t="n">
        <f aca="false">EOMONTH(J61,1)</f>
        <v>46234</v>
      </c>
      <c r="L61" s="135" t="n">
        <f aca="false">EOMONTH(K61,1)</f>
        <v>46265</v>
      </c>
      <c r="M61" s="135" t="n">
        <f aca="false">EOMONTH(L61,1)</f>
        <v>46295</v>
      </c>
      <c r="N61" s="135" t="n">
        <f aca="false">EOMONTH(M61,1)</f>
        <v>46326</v>
      </c>
      <c r="O61" s="135" t="n">
        <f aca="false">EOMONTH(N61,1)</f>
        <v>46356</v>
      </c>
      <c r="P61" s="135" t="n">
        <f aca="false">EOMONTH(O61,1)</f>
        <v>46387</v>
      </c>
      <c r="Q61" s="135" t="n">
        <f aca="false">EOMONTH(P61,1)</f>
        <v>46418</v>
      </c>
      <c r="R61" s="135" t="n">
        <f aca="false">EOMONTH(Q61,1)</f>
        <v>46446</v>
      </c>
      <c r="S61" s="135" t="n">
        <f aca="false">EOMONTH(R61,1)</f>
        <v>46477</v>
      </c>
      <c r="T61" s="135" t="n">
        <f aca="false">EOMONTH(S61,1)</f>
        <v>46507</v>
      </c>
      <c r="U61" s="135" t="n">
        <f aca="false">EOMONTH(T61,1)</f>
        <v>46538</v>
      </c>
      <c r="V61" s="135" t="n">
        <f aca="false">EOMONTH(U61,1)</f>
        <v>46568</v>
      </c>
      <c r="W61" s="135" t="n">
        <f aca="false">EOMONTH(V61,1)</f>
        <v>46599</v>
      </c>
      <c r="X61" s="135" t="n">
        <f aca="false">EOMONTH(W61,1)</f>
        <v>46630</v>
      </c>
      <c r="Y61" s="135" t="n">
        <f aca="false">EOMONTH(X61,1)</f>
        <v>46660</v>
      </c>
      <c r="Z61" s="135" t="n">
        <f aca="false">EOMONTH(Y61,1)</f>
        <v>46691</v>
      </c>
      <c r="AA61" s="135" t="n">
        <f aca="false">EOMONTH(Z61,1)</f>
        <v>46721</v>
      </c>
      <c r="AB61" s="135" t="n">
        <f aca="false">EOMONTH(AA61,1)</f>
        <v>46752</v>
      </c>
    </row>
    <row r="62" customFormat="false" ht="15" hidden="false" customHeight="true" outlineLevel="0" collapsed="false">
      <c r="A62" s="28" t="s">
        <v>264</v>
      </c>
      <c r="E62" s="136" t="n">
        <v>1</v>
      </c>
      <c r="F62" s="136" t="n">
        <f aca="false">E62+1</f>
        <v>2</v>
      </c>
      <c r="G62" s="136" t="n">
        <f aca="false">F62+1</f>
        <v>3</v>
      </c>
      <c r="H62" s="136" t="n">
        <f aca="false">G62+1</f>
        <v>4</v>
      </c>
      <c r="I62" s="136" t="n">
        <f aca="false">H62+1</f>
        <v>5</v>
      </c>
      <c r="J62" s="136" t="n">
        <f aca="false">I62+1</f>
        <v>6</v>
      </c>
      <c r="K62" s="136" t="n">
        <f aca="false">J62+1</f>
        <v>7</v>
      </c>
      <c r="L62" s="136" t="n">
        <f aca="false">K62+1</f>
        <v>8</v>
      </c>
      <c r="M62" s="136" t="n">
        <f aca="false">L62+1</f>
        <v>9</v>
      </c>
      <c r="N62" s="136" t="n">
        <f aca="false">M62+1</f>
        <v>10</v>
      </c>
      <c r="O62" s="136" t="n">
        <f aca="false">N62+1</f>
        <v>11</v>
      </c>
      <c r="P62" s="136" t="n">
        <f aca="false">O62+1</f>
        <v>12</v>
      </c>
      <c r="Q62" s="136" t="n">
        <f aca="false">P62+1</f>
        <v>13</v>
      </c>
      <c r="R62" s="136" t="n">
        <f aca="false">Q62+1</f>
        <v>14</v>
      </c>
      <c r="S62" s="136" t="n">
        <f aca="false">R62+1</f>
        <v>15</v>
      </c>
      <c r="T62" s="136" t="n">
        <f aca="false">S62+1</f>
        <v>16</v>
      </c>
      <c r="U62" s="136" t="n">
        <f aca="false">T62+1</f>
        <v>17</v>
      </c>
      <c r="V62" s="136" t="n">
        <f aca="false">U62+1</f>
        <v>18</v>
      </c>
      <c r="W62" s="136" t="n">
        <f aca="false">V62+1</f>
        <v>19</v>
      </c>
      <c r="X62" s="136" t="n">
        <f aca="false">W62+1</f>
        <v>20</v>
      </c>
      <c r="Y62" s="136" t="n">
        <f aca="false">X62+1</f>
        <v>21</v>
      </c>
      <c r="Z62" s="136" t="n">
        <f aca="false">Y62+1</f>
        <v>22</v>
      </c>
      <c r="AA62" s="136" t="n">
        <f aca="false">Z62+1</f>
        <v>23</v>
      </c>
      <c r="AB62" s="136" t="n">
        <f aca="false">AA62+1</f>
        <v>24</v>
      </c>
    </row>
    <row r="63" customFormat="false" ht="15" hidden="false" customHeight="true" outlineLevel="0" collapsed="false">
      <c r="A63" s="28" t="s">
        <v>261</v>
      </c>
      <c r="E63" s="137" t="str">
        <f aca="false">IF(Assumptions!E$61&lt;=Assumptions!$C$9,"A","F")</f>
        <v>A</v>
      </c>
      <c r="F63" s="137" t="str">
        <f aca="false">IF(Assumptions!F$61&lt;=Assumptions!$C$9,"A","F")</f>
        <v>A</v>
      </c>
      <c r="G63" s="137" t="str">
        <f aca="false">IF(Assumptions!G$61&lt;=Assumptions!$C$9,"A","F")</f>
        <v>A</v>
      </c>
      <c r="H63" s="137" t="str">
        <f aca="false">IF(Assumptions!H$61&lt;=Assumptions!$C$9,"A","F")</f>
        <v>A</v>
      </c>
      <c r="I63" s="137" t="str">
        <f aca="false">IF(Assumptions!I$61&lt;=Assumptions!$C$9,"A","F")</f>
        <v>A</v>
      </c>
      <c r="J63" s="137" t="str">
        <f aca="false">IF(Assumptions!J$61&lt;=Assumptions!$C$9,"A","F")</f>
        <v>A</v>
      </c>
      <c r="K63" s="137" t="str">
        <f aca="false">IF(Assumptions!K$61&lt;=Assumptions!$C$9,"A","F")</f>
        <v>A</v>
      </c>
      <c r="L63" s="137" t="str">
        <f aca="false">IF(Assumptions!L$61&lt;=Assumptions!$C$9,"A","F")</f>
        <v>A</v>
      </c>
      <c r="M63" s="137" t="str">
        <f aca="false">IF(Assumptions!M$61&lt;=Assumptions!$C$9,"A","F")</f>
        <v>F</v>
      </c>
      <c r="N63" s="137" t="str">
        <f aca="false">IF(Assumptions!N$61&lt;=Assumptions!$C$9,"A","F")</f>
        <v>F</v>
      </c>
      <c r="O63" s="137" t="str">
        <f aca="false">IF(Assumptions!O$61&lt;=Assumptions!$C$9,"A","F")</f>
        <v>F</v>
      </c>
      <c r="P63" s="137" t="str">
        <f aca="false">IF(Assumptions!P$61&lt;=Assumptions!$C$9,"A","F")</f>
        <v>F</v>
      </c>
      <c r="Q63" s="137" t="str">
        <f aca="false">IF(Assumptions!Q$61&lt;=Assumptions!$C$9,"A","F")</f>
        <v>F</v>
      </c>
      <c r="R63" s="137" t="str">
        <f aca="false">IF(Assumptions!R$61&lt;=Assumptions!$C$9,"A","F")</f>
        <v>F</v>
      </c>
      <c r="S63" s="137" t="str">
        <f aca="false">IF(Assumptions!S$61&lt;=Assumptions!$C$9,"A","F")</f>
        <v>F</v>
      </c>
      <c r="T63" s="137" t="str">
        <f aca="false">IF(Assumptions!T$61&lt;=Assumptions!$C$9,"A","F")</f>
        <v>F</v>
      </c>
      <c r="U63" s="137" t="str">
        <f aca="false">IF(Assumptions!U$61&lt;=Assumptions!$C$9,"A","F")</f>
        <v>F</v>
      </c>
      <c r="V63" s="137" t="str">
        <f aca="false">IF(Assumptions!V$61&lt;=Assumptions!$C$9,"A","F")</f>
        <v>F</v>
      </c>
      <c r="W63" s="137" t="str">
        <f aca="false">IF(Assumptions!W$61&lt;=Assumptions!$C$9,"A","F")</f>
        <v>F</v>
      </c>
      <c r="X63" s="137" t="str">
        <f aca="false">IF(Assumptions!X$61&lt;=Assumptions!$C$9,"A","F")</f>
        <v>F</v>
      </c>
      <c r="Y63" s="137" t="str">
        <f aca="false">IF(Assumptions!Y$61&lt;=Assumptions!$C$9,"A","F")</f>
        <v>F</v>
      </c>
      <c r="Z63" s="137" t="str">
        <f aca="false">IF(Assumptions!Z$61&lt;=Assumptions!$C$9,"A","F")</f>
        <v>F</v>
      </c>
      <c r="AA63" s="137" t="str">
        <f aca="false">IF(Assumptions!AA$61&lt;=Assumptions!$C$9,"A","F")</f>
        <v>F</v>
      </c>
      <c r="AB63" s="137" t="str">
        <f aca="false">IF(Assumptions!AB$61&lt;=Assumptions!$C$9,"A","F")</f>
        <v>F</v>
      </c>
    </row>
    <row r="64" customFormat="false" ht="15" hidden="false" customHeight="true" outlineLevel="0" collapsed="false">
      <c r="A64" s="28" t="s">
        <v>1269</v>
      </c>
      <c r="E64" s="136" t="n">
        <f aca="false">YEAR(Assumptions!E$61)</f>
        <v>2026</v>
      </c>
      <c r="F64" s="136" t="n">
        <f aca="false">YEAR(Assumptions!F$61)</f>
        <v>2026</v>
      </c>
      <c r="G64" s="136" t="n">
        <f aca="false">YEAR(Assumptions!G$61)</f>
        <v>2026</v>
      </c>
      <c r="H64" s="136" t="n">
        <f aca="false">YEAR(Assumptions!H$61)</f>
        <v>2026</v>
      </c>
      <c r="I64" s="136" t="n">
        <f aca="false">YEAR(Assumptions!I$61)</f>
        <v>2026</v>
      </c>
      <c r="J64" s="136" t="n">
        <f aca="false">YEAR(Assumptions!J$61)</f>
        <v>2026</v>
      </c>
      <c r="K64" s="136" t="n">
        <f aca="false">YEAR(Assumptions!K$61)</f>
        <v>2026</v>
      </c>
      <c r="L64" s="136" t="n">
        <f aca="false">YEAR(Assumptions!L$61)</f>
        <v>2026</v>
      </c>
      <c r="M64" s="136" t="n">
        <f aca="false">YEAR(Assumptions!M$61)</f>
        <v>2026</v>
      </c>
      <c r="N64" s="136" t="n">
        <f aca="false">YEAR(Assumptions!N$61)</f>
        <v>2026</v>
      </c>
      <c r="O64" s="136" t="n">
        <f aca="false">YEAR(Assumptions!O$61)</f>
        <v>2026</v>
      </c>
      <c r="P64" s="136" t="n">
        <f aca="false">YEAR(Assumptions!P$61)</f>
        <v>2026</v>
      </c>
      <c r="Q64" s="136" t="n">
        <f aca="false">YEAR(Assumptions!Q$61)</f>
        <v>2027</v>
      </c>
      <c r="R64" s="136" t="n">
        <f aca="false">YEAR(Assumptions!R$61)</f>
        <v>2027</v>
      </c>
      <c r="S64" s="136" t="n">
        <f aca="false">YEAR(Assumptions!S$61)</f>
        <v>2027</v>
      </c>
      <c r="T64" s="136" t="n">
        <f aca="false">YEAR(Assumptions!T$61)</f>
        <v>2027</v>
      </c>
      <c r="U64" s="136" t="n">
        <f aca="false">YEAR(Assumptions!U$61)</f>
        <v>2027</v>
      </c>
      <c r="V64" s="136" t="n">
        <f aca="false">YEAR(Assumptions!V$61)</f>
        <v>2027</v>
      </c>
      <c r="W64" s="136" t="n">
        <f aca="false">YEAR(Assumptions!W$61)</f>
        <v>2027</v>
      </c>
      <c r="X64" s="136" t="n">
        <f aca="false">YEAR(Assumptions!X$61)</f>
        <v>2027</v>
      </c>
      <c r="Y64" s="136" t="n">
        <f aca="false">YEAR(Assumptions!Y$61)</f>
        <v>2027</v>
      </c>
      <c r="Z64" s="136" t="n">
        <f aca="false">YEAR(Assumptions!Z$61)</f>
        <v>2027</v>
      </c>
      <c r="AA64" s="136" t="n">
        <f aca="false">YEAR(Assumptions!AA$61)</f>
        <v>2027</v>
      </c>
      <c r="AB64" s="136" t="n">
        <f aca="false">YEAR(Assumptions!AB$61)</f>
        <v>2027</v>
      </c>
    </row>
    <row r="65" customFormat="false" ht="15" hidden="false" customHeight="true" outlineLevel="0" collapsed="false">
      <c r="A65" s="28" t="s">
        <v>1270</v>
      </c>
      <c r="E65" s="136" t="n">
        <f aca="false">MONTH(Assumptions!E$61)</f>
        <v>1</v>
      </c>
      <c r="F65" s="136" t="n">
        <f aca="false">MONTH(Assumptions!F$61)</f>
        <v>2</v>
      </c>
      <c r="G65" s="136" t="n">
        <f aca="false">MONTH(Assumptions!G$61)</f>
        <v>3</v>
      </c>
      <c r="H65" s="136" t="n">
        <f aca="false">MONTH(Assumptions!H$61)</f>
        <v>4</v>
      </c>
      <c r="I65" s="136" t="n">
        <f aca="false">MONTH(Assumptions!I$61)</f>
        <v>5</v>
      </c>
      <c r="J65" s="136" t="n">
        <f aca="false">MONTH(Assumptions!J$61)</f>
        <v>6</v>
      </c>
      <c r="K65" s="136" t="n">
        <f aca="false">MONTH(Assumptions!K$61)</f>
        <v>7</v>
      </c>
      <c r="L65" s="136" t="n">
        <f aca="false">MONTH(Assumptions!L$61)</f>
        <v>8</v>
      </c>
      <c r="M65" s="136" t="n">
        <f aca="false">MONTH(Assumptions!M$61)</f>
        <v>9</v>
      </c>
      <c r="N65" s="136" t="n">
        <f aca="false">MONTH(Assumptions!N$61)</f>
        <v>10</v>
      </c>
      <c r="O65" s="136" t="n">
        <f aca="false">MONTH(Assumptions!O$61)</f>
        <v>11</v>
      </c>
      <c r="P65" s="136" t="n">
        <f aca="false">MONTH(Assumptions!P$61)</f>
        <v>12</v>
      </c>
      <c r="Q65" s="136" t="n">
        <f aca="false">MONTH(Assumptions!Q$61)</f>
        <v>1</v>
      </c>
      <c r="R65" s="136" t="n">
        <f aca="false">MONTH(Assumptions!R$61)</f>
        <v>2</v>
      </c>
      <c r="S65" s="136" t="n">
        <f aca="false">MONTH(Assumptions!S$61)</f>
        <v>3</v>
      </c>
      <c r="T65" s="136" t="n">
        <f aca="false">MONTH(Assumptions!T$61)</f>
        <v>4</v>
      </c>
      <c r="U65" s="136" t="n">
        <f aca="false">MONTH(Assumptions!U$61)</f>
        <v>5</v>
      </c>
      <c r="V65" s="136" t="n">
        <f aca="false">MONTH(Assumptions!V$61)</f>
        <v>6</v>
      </c>
      <c r="W65" s="136" t="n">
        <f aca="false">MONTH(Assumptions!W$61)</f>
        <v>7</v>
      </c>
      <c r="X65" s="136" t="n">
        <f aca="false">MONTH(Assumptions!X$61)</f>
        <v>8</v>
      </c>
      <c r="Y65" s="136" t="n">
        <f aca="false">MONTH(Assumptions!Y$61)</f>
        <v>9</v>
      </c>
      <c r="Z65" s="136" t="n">
        <f aca="false">MONTH(Assumptions!Z$61)</f>
        <v>10</v>
      </c>
      <c r="AA65" s="136" t="n">
        <f aca="false">MONTH(Assumptions!AA$61)</f>
        <v>11</v>
      </c>
      <c r="AB65" s="136" t="n">
        <f aca="false">MONTH(Assumptions!AB$61)</f>
        <v>12</v>
      </c>
    </row>
    <row r="66" customFormat="false" ht="15" hidden="false" customHeight="true" outlineLevel="0" collapsed="false">
      <c r="A66" s="28" t="s">
        <v>1271</v>
      </c>
      <c r="E66" s="137" t="str">
        <f aca="false">YEAR(Assumptions!E$61)&amp;"-Q"&amp;ROUNDUP(MONTH(Assumptions!E$61)/3,0)</f>
        <v>2026-Q1</v>
      </c>
      <c r="F66" s="137" t="str">
        <f aca="false">YEAR(Assumptions!F$61)&amp;"-Q"&amp;ROUNDUP(MONTH(Assumptions!F$61)/3,0)</f>
        <v>2026-Q1</v>
      </c>
      <c r="G66" s="137" t="str">
        <f aca="false">YEAR(Assumptions!G$61)&amp;"-Q"&amp;ROUNDUP(MONTH(Assumptions!G$61)/3,0)</f>
        <v>2026-Q1</v>
      </c>
      <c r="H66" s="137" t="str">
        <f aca="false">YEAR(Assumptions!H$61)&amp;"-Q"&amp;ROUNDUP(MONTH(Assumptions!H$61)/3,0)</f>
        <v>2026-Q2</v>
      </c>
      <c r="I66" s="137" t="str">
        <f aca="false">YEAR(Assumptions!I$61)&amp;"-Q"&amp;ROUNDUP(MONTH(Assumptions!I$61)/3,0)</f>
        <v>2026-Q2</v>
      </c>
      <c r="J66" s="137" t="str">
        <f aca="false">YEAR(Assumptions!J$61)&amp;"-Q"&amp;ROUNDUP(MONTH(Assumptions!J$61)/3,0)</f>
        <v>2026-Q2</v>
      </c>
      <c r="K66" s="137" t="str">
        <f aca="false">YEAR(Assumptions!K$61)&amp;"-Q"&amp;ROUNDUP(MONTH(Assumptions!K$61)/3,0)</f>
        <v>2026-Q3</v>
      </c>
      <c r="L66" s="137" t="str">
        <f aca="false">YEAR(Assumptions!L$61)&amp;"-Q"&amp;ROUNDUP(MONTH(Assumptions!L$61)/3,0)</f>
        <v>2026-Q3</v>
      </c>
      <c r="M66" s="137" t="str">
        <f aca="false">YEAR(Assumptions!M$61)&amp;"-Q"&amp;ROUNDUP(MONTH(Assumptions!M$61)/3,0)</f>
        <v>2026-Q3</v>
      </c>
      <c r="N66" s="137" t="str">
        <f aca="false">YEAR(Assumptions!N$61)&amp;"-Q"&amp;ROUNDUP(MONTH(Assumptions!N$61)/3,0)</f>
        <v>2026-Q4</v>
      </c>
      <c r="O66" s="137" t="str">
        <f aca="false">YEAR(Assumptions!O$61)&amp;"-Q"&amp;ROUNDUP(MONTH(Assumptions!O$61)/3,0)</f>
        <v>2026-Q4</v>
      </c>
      <c r="P66" s="137" t="str">
        <f aca="false">YEAR(Assumptions!P$61)&amp;"-Q"&amp;ROUNDUP(MONTH(Assumptions!P$61)/3,0)</f>
        <v>2026-Q4</v>
      </c>
      <c r="Q66" s="137" t="str">
        <f aca="false">YEAR(Assumptions!Q$61)&amp;"-Q"&amp;ROUNDUP(MONTH(Assumptions!Q$61)/3,0)</f>
        <v>2027-Q1</v>
      </c>
      <c r="R66" s="137" t="str">
        <f aca="false">YEAR(Assumptions!R$61)&amp;"-Q"&amp;ROUNDUP(MONTH(Assumptions!R$61)/3,0)</f>
        <v>2027-Q1</v>
      </c>
      <c r="S66" s="137" t="str">
        <f aca="false">YEAR(Assumptions!S$61)&amp;"-Q"&amp;ROUNDUP(MONTH(Assumptions!S$61)/3,0)</f>
        <v>2027-Q1</v>
      </c>
      <c r="T66" s="137" t="str">
        <f aca="false">YEAR(Assumptions!T$61)&amp;"-Q"&amp;ROUNDUP(MONTH(Assumptions!T$61)/3,0)</f>
        <v>2027-Q2</v>
      </c>
      <c r="U66" s="137" t="str">
        <f aca="false">YEAR(Assumptions!U$61)&amp;"-Q"&amp;ROUNDUP(MONTH(Assumptions!U$61)/3,0)</f>
        <v>2027-Q2</v>
      </c>
      <c r="V66" s="137" t="str">
        <f aca="false">YEAR(Assumptions!V$61)&amp;"-Q"&amp;ROUNDUP(MONTH(Assumptions!V$61)/3,0)</f>
        <v>2027-Q2</v>
      </c>
      <c r="W66" s="137" t="str">
        <f aca="false">YEAR(Assumptions!W$61)&amp;"-Q"&amp;ROUNDUP(MONTH(Assumptions!W$61)/3,0)</f>
        <v>2027-Q3</v>
      </c>
      <c r="X66" s="137" t="str">
        <f aca="false">YEAR(Assumptions!X$61)&amp;"-Q"&amp;ROUNDUP(MONTH(Assumptions!X$61)/3,0)</f>
        <v>2027-Q3</v>
      </c>
      <c r="Y66" s="137" t="str">
        <f aca="false">YEAR(Assumptions!Y$61)&amp;"-Q"&amp;ROUNDUP(MONTH(Assumptions!Y$61)/3,0)</f>
        <v>2027-Q3</v>
      </c>
      <c r="Z66" s="137" t="str">
        <f aca="false">YEAR(Assumptions!Z$61)&amp;"-Q"&amp;ROUNDUP(MONTH(Assumptions!Z$61)/3,0)</f>
        <v>2027-Q4</v>
      </c>
      <c r="AA66" s="137" t="str">
        <f aca="false">YEAR(Assumptions!AA$61)&amp;"-Q"&amp;ROUNDUP(MONTH(Assumptions!AA$61)/3,0)</f>
        <v>2027-Q4</v>
      </c>
      <c r="AB66" s="137" t="str">
        <f aca="false">YEAR(Assumptions!AB$61)&amp;"-Q"&amp;ROUNDUP(MONTH(Assumptions!AB$61)/3,0)</f>
        <v>2027-Q4</v>
      </c>
    </row>
    <row r="67" customFormat="false" ht="15" hidden="false" customHeight="true" outlineLevel="0" collapsed="false">
      <c r="A67" s="28" t="s">
        <v>1272</v>
      </c>
      <c r="E67" s="136" t="n">
        <f aca="false">DAY(Assumptions!E$61)</f>
        <v>31</v>
      </c>
      <c r="F67" s="136" t="n">
        <f aca="false">DAY(Assumptions!F$61)</f>
        <v>28</v>
      </c>
      <c r="G67" s="136" t="n">
        <f aca="false">DAY(Assumptions!G$61)</f>
        <v>31</v>
      </c>
      <c r="H67" s="136" t="n">
        <f aca="false">DAY(Assumptions!H$61)</f>
        <v>30</v>
      </c>
      <c r="I67" s="136" t="n">
        <f aca="false">DAY(Assumptions!I$61)</f>
        <v>31</v>
      </c>
      <c r="J67" s="136" t="n">
        <f aca="false">DAY(Assumptions!J$61)</f>
        <v>30</v>
      </c>
      <c r="K67" s="136" t="n">
        <f aca="false">DAY(Assumptions!K$61)</f>
        <v>31</v>
      </c>
      <c r="L67" s="136" t="n">
        <f aca="false">DAY(Assumptions!L$61)</f>
        <v>31</v>
      </c>
      <c r="M67" s="136" t="n">
        <f aca="false">DAY(Assumptions!M$61)</f>
        <v>30</v>
      </c>
      <c r="N67" s="136" t="n">
        <f aca="false">DAY(Assumptions!N$61)</f>
        <v>31</v>
      </c>
      <c r="O67" s="136" t="n">
        <f aca="false">DAY(Assumptions!O$61)</f>
        <v>30</v>
      </c>
      <c r="P67" s="136" t="n">
        <f aca="false">DAY(Assumptions!P$61)</f>
        <v>31</v>
      </c>
      <c r="Q67" s="136" t="n">
        <f aca="false">DAY(Assumptions!Q$61)</f>
        <v>31</v>
      </c>
      <c r="R67" s="136" t="n">
        <f aca="false">DAY(Assumptions!R$61)</f>
        <v>28</v>
      </c>
      <c r="S67" s="136" t="n">
        <f aca="false">DAY(Assumptions!S$61)</f>
        <v>31</v>
      </c>
      <c r="T67" s="136" t="n">
        <f aca="false">DAY(Assumptions!T$61)</f>
        <v>30</v>
      </c>
      <c r="U67" s="136" t="n">
        <f aca="false">DAY(Assumptions!U$61)</f>
        <v>31</v>
      </c>
      <c r="V67" s="136" t="n">
        <f aca="false">DAY(Assumptions!V$61)</f>
        <v>30</v>
      </c>
      <c r="W67" s="136" t="n">
        <f aca="false">DAY(Assumptions!W$61)</f>
        <v>31</v>
      </c>
      <c r="X67" s="136" t="n">
        <f aca="false">DAY(Assumptions!X$61)</f>
        <v>31</v>
      </c>
      <c r="Y67" s="136" t="n">
        <f aca="false">DAY(Assumptions!Y$61)</f>
        <v>30</v>
      </c>
      <c r="Z67" s="136" t="n">
        <f aca="false">DAY(Assumptions!Z$61)</f>
        <v>31</v>
      </c>
      <c r="AA67" s="136" t="n">
        <f aca="false">DAY(Assumptions!AA$61)</f>
        <v>30</v>
      </c>
      <c r="AB67" s="136" t="n">
        <f aca="false">DAY(Assumptions!AB$61)</f>
        <v>31</v>
      </c>
    </row>
    <row r="68" customFormat="false" ht="15" hidden="false" customHeight="true" outlineLevel="0" collapsed="false">
      <c r="A68" s="28" t="s">
        <v>1273</v>
      </c>
      <c r="E68" s="136" t="n">
        <f aca="false">MAX(0,Assumptions!E$62-Assumptions!$C$10)</f>
        <v>0</v>
      </c>
      <c r="F68" s="136" t="n">
        <f aca="false">MAX(0,Assumptions!F$62-Assumptions!$C$10)</f>
        <v>0</v>
      </c>
      <c r="G68" s="136" t="n">
        <f aca="false">MAX(0,Assumptions!G$62-Assumptions!$C$10)</f>
        <v>0</v>
      </c>
      <c r="H68" s="136" t="n">
        <f aca="false">MAX(0,Assumptions!H$62-Assumptions!$C$10)</f>
        <v>0</v>
      </c>
      <c r="I68" s="136" t="n">
        <f aca="false">MAX(0,Assumptions!I$62-Assumptions!$C$10)</f>
        <v>0</v>
      </c>
      <c r="J68" s="136" t="n">
        <f aca="false">MAX(0,Assumptions!J$62-Assumptions!$C$10)</f>
        <v>0</v>
      </c>
      <c r="K68" s="136" t="n">
        <f aca="false">MAX(0,Assumptions!K$62-Assumptions!$C$10)</f>
        <v>0</v>
      </c>
      <c r="L68" s="136" t="n">
        <f aca="false">MAX(0,Assumptions!L$62-Assumptions!$C$10)</f>
        <v>0</v>
      </c>
      <c r="M68" s="136" t="n">
        <f aca="false">MAX(0,Assumptions!M$62-Assumptions!$C$10)</f>
        <v>1</v>
      </c>
      <c r="N68" s="136" t="n">
        <f aca="false">MAX(0,Assumptions!N$62-Assumptions!$C$10)</f>
        <v>2</v>
      </c>
      <c r="O68" s="136" t="n">
        <f aca="false">MAX(0,Assumptions!O$62-Assumptions!$C$10)</f>
        <v>3</v>
      </c>
      <c r="P68" s="136" t="n">
        <f aca="false">MAX(0,Assumptions!P$62-Assumptions!$C$10)</f>
        <v>4</v>
      </c>
      <c r="Q68" s="136" t="n">
        <f aca="false">MAX(0,Assumptions!Q$62-Assumptions!$C$10)</f>
        <v>5</v>
      </c>
      <c r="R68" s="136" t="n">
        <f aca="false">MAX(0,Assumptions!R$62-Assumptions!$C$10)</f>
        <v>6</v>
      </c>
      <c r="S68" s="136" t="n">
        <f aca="false">MAX(0,Assumptions!S$62-Assumptions!$C$10)</f>
        <v>7</v>
      </c>
      <c r="T68" s="136" t="n">
        <f aca="false">MAX(0,Assumptions!T$62-Assumptions!$C$10)</f>
        <v>8</v>
      </c>
      <c r="U68" s="136" t="n">
        <f aca="false">MAX(0,Assumptions!U$62-Assumptions!$C$10)</f>
        <v>9</v>
      </c>
      <c r="V68" s="136" t="n">
        <f aca="false">MAX(0,Assumptions!V$62-Assumptions!$C$10)</f>
        <v>10</v>
      </c>
      <c r="W68" s="136" t="n">
        <f aca="false">MAX(0,Assumptions!W$62-Assumptions!$C$10)</f>
        <v>11</v>
      </c>
      <c r="X68" s="136" t="n">
        <f aca="false">MAX(0,Assumptions!X$62-Assumptions!$C$10)</f>
        <v>12</v>
      </c>
      <c r="Y68" s="136" t="n">
        <f aca="false">MAX(0,Assumptions!Y$62-Assumptions!$C$10)</f>
        <v>13</v>
      </c>
      <c r="Z68" s="136" t="n">
        <f aca="false">MAX(0,Assumptions!Z$62-Assumptions!$C$10)</f>
        <v>14</v>
      </c>
      <c r="AA68" s="136" t="n">
        <f aca="false">MAX(0,Assumptions!AA$62-Assumptions!$C$10)</f>
        <v>15</v>
      </c>
      <c r="AB68" s="136" t="n">
        <f aca="false">MAX(0,Assumptions!AB$62-Assumptions!$C$10)</f>
        <v>16</v>
      </c>
    </row>
    <row r="69" customFormat="false" ht="15" hidden="false" customHeight="true" outlineLevel="0" collapsed="false">
      <c r="A69" s="28" t="s">
        <v>1274</v>
      </c>
      <c r="E69" s="138" t="n">
        <v>0.86</v>
      </c>
      <c r="F69" s="138" t="n">
        <v>0.8</v>
      </c>
      <c r="G69" s="138" t="n">
        <v>0.9</v>
      </c>
      <c r="H69" s="138" t="n">
        <v>0.93</v>
      </c>
      <c r="I69" s="138" t="n">
        <v>0.98</v>
      </c>
      <c r="J69" s="138" t="n">
        <v>0.95</v>
      </c>
      <c r="K69" s="138" t="n">
        <v>0.9</v>
      </c>
      <c r="L69" s="138" t="n">
        <v>0.88</v>
      </c>
      <c r="M69" s="138" t="n">
        <v>0.99</v>
      </c>
      <c r="N69" s="138" t="n">
        <v>1.12</v>
      </c>
      <c r="O69" s="138" t="n">
        <v>1.58</v>
      </c>
      <c r="P69" s="138" t="n">
        <v>1.38</v>
      </c>
      <c r="Q69" s="139" t="n">
        <f aca="false">E69</f>
        <v>0.86</v>
      </c>
      <c r="R69" s="139" t="n">
        <f aca="false">F69</f>
        <v>0.8</v>
      </c>
      <c r="S69" s="139" t="n">
        <f aca="false">G69</f>
        <v>0.9</v>
      </c>
      <c r="T69" s="139" t="n">
        <f aca="false">H69</f>
        <v>0.93</v>
      </c>
      <c r="U69" s="139" t="n">
        <f aca="false">I69</f>
        <v>0.98</v>
      </c>
      <c r="V69" s="139" t="n">
        <f aca="false">J69</f>
        <v>0.95</v>
      </c>
      <c r="W69" s="139" t="n">
        <f aca="false">K69</f>
        <v>0.9</v>
      </c>
      <c r="X69" s="139" t="n">
        <f aca="false">L69</f>
        <v>0.88</v>
      </c>
      <c r="Y69" s="139" t="n">
        <f aca="false">M69</f>
        <v>0.99</v>
      </c>
      <c r="Z69" s="139" t="n">
        <f aca="false">N69</f>
        <v>1.12</v>
      </c>
      <c r="AA69" s="139" t="n">
        <f aca="false">O69</f>
        <v>1.58</v>
      </c>
      <c r="AB69" s="139" t="n">
        <f aca="false">P69</f>
        <v>1.38</v>
      </c>
    </row>
    <row r="70" customFormat="false" ht="15" hidden="false" customHeight="true" outlineLevel="0" collapsed="false">
      <c r="A70" s="28" t="s">
        <v>1275</v>
      </c>
      <c r="E70" s="140" t="n">
        <v>1.036</v>
      </c>
      <c r="F70" s="140" t="n">
        <v>1.041</v>
      </c>
      <c r="G70" s="140" t="n">
        <v>1.052</v>
      </c>
      <c r="H70" s="140" t="n">
        <v>1.078</v>
      </c>
      <c r="I70" s="140" t="n">
        <v>1.094</v>
      </c>
      <c r="J70" s="140" t="n">
        <v>1.108</v>
      </c>
      <c r="K70" s="140" t="n">
        <v>1.121</v>
      </c>
      <c r="L70" s="140" t="n">
        <v>1.116</v>
      </c>
      <c r="M70" s="141" t="n">
        <f aca="false">Assumptions!$F$119</f>
        <v>1.1</v>
      </c>
      <c r="N70" s="141" t="n">
        <f aca="false">Assumptions!$F$119</f>
        <v>1.1</v>
      </c>
      <c r="O70" s="141" t="n">
        <f aca="false">Assumptions!$F$119</f>
        <v>1.1</v>
      </c>
      <c r="P70" s="141" t="n">
        <f aca="false">Assumptions!$F$119</f>
        <v>1.1</v>
      </c>
      <c r="Q70" s="141" t="n">
        <f aca="false">Assumptions!$F$119</f>
        <v>1.1</v>
      </c>
      <c r="R70" s="141" t="n">
        <f aca="false">Assumptions!$F$119</f>
        <v>1.1</v>
      </c>
      <c r="S70" s="141" t="n">
        <f aca="false">Assumptions!$F$119</f>
        <v>1.1</v>
      </c>
      <c r="T70" s="141" t="n">
        <f aca="false">Assumptions!$F$119</f>
        <v>1.1</v>
      </c>
      <c r="U70" s="141" t="n">
        <f aca="false">Assumptions!$F$119</f>
        <v>1.1</v>
      </c>
      <c r="V70" s="141" t="n">
        <f aca="false">Assumptions!$F$119</f>
        <v>1.1</v>
      </c>
      <c r="W70" s="141" t="n">
        <f aca="false">Assumptions!$F$119</f>
        <v>1.1</v>
      </c>
      <c r="X70" s="141" t="n">
        <f aca="false">Assumptions!$F$119</f>
        <v>1.1</v>
      </c>
      <c r="Y70" s="141" t="n">
        <f aca="false">Assumptions!$F$119</f>
        <v>1.1</v>
      </c>
      <c r="Z70" s="141" t="n">
        <f aca="false">Assumptions!$F$119</f>
        <v>1.1</v>
      </c>
      <c r="AA70" s="141" t="n">
        <f aca="false">Assumptions!$F$119</f>
        <v>1.1</v>
      </c>
      <c r="AB70" s="141" t="n">
        <f aca="false">Assumptions!$F$119</f>
        <v>1.1</v>
      </c>
    </row>
    <row r="71" customFormat="false" ht="15" hidden="false" customHeight="true" outlineLevel="0" collapsed="false">
      <c r="A71" s="28" t="s">
        <v>1276</v>
      </c>
      <c r="E71" s="142" t="n">
        <f aca="false">IF(Assumptions!E$65&gt;=10,Assumptions!$C$43,1)</f>
        <v>1</v>
      </c>
      <c r="F71" s="142" t="n">
        <f aca="false">IF(Assumptions!F$65&gt;=10,Assumptions!$C$43,1)</f>
        <v>1</v>
      </c>
      <c r="G71" s="142" t="n">
        <f aca="false">IF(Assumptions!G$65&gt;=10,Assumptions!$C$43,1)</f>
        <v>1</v>
      </c>
      <c r="H71" s="142" t="n">
        <f aca="false">IF(Assumptions!H$65&gt;=10,Assumptions!$C$43,1)</f>
        <v>1</v>
      </c>
      <c r="I71" s="142" t="n">
        <f aca="false">IF(Assumptions!I$65&gt;=10,Assumptions!$C$43,1)</f>
        <v>1</v>
      </c>
      <c r="J71" s="142" t="n">
        <f aca="false">IF(Assumptions!J$65&gt;=10,Assumptions!$C$43,1)</f>
        <v>1</v>
      </c>
      <c r="K71" s="142" t="n">
        <f aca="false">IF(Assumptions!K$65&gt;=10,Assumptions!$C$43,1)</f>
        <v>1</v>
      </c>
      <c r="L71" s="142" t="n">
        <f aca="false">IF(Assumptions!L$65&gt;=10,Assumptions!$C$43,1)</f>
        <v>1</v>
      </c>
      <c r="M71" s="142" t="n">
        <f aca="false">IF(Assumptions!M$65&gt;=10,Assumptions!$C$43,1)</f>
        <v>1</v>
      </c>
      <c r="N71" s="142" t="n">
        <f aca="false">IF(Assumptions!N$65&gt;=10,Assumptions!$C$43,1)</f>
        <v>2.8</v>
      </c>
      <c r="O71" s="142" t="n">
        <f aca="false">IF(Assumptions!O$65&gt;=10,Assumptions!$C$43,1)</f>
        <v>2.8</v>
      </c>
      <c r="P71" s="142" t="n">
        <f aca="false">IF(Assumptions!P$65&gt;=10,Assumptions!$C$43,1)</f>
        <v>2.8</v>
      </c>
      <c r="Q71" s="142" t="n">
        <f aca="false">IF(Assumptions!Q$65&gt;=10,Assumptions!$C$43,1)</f>
        <v>1</v>
      </c>
      <c r="R71" s="142" t="n">
        <f aca="false">IF(Assumptions!R$65&gt;=10,Assumptions!$C$43,1)</f>
        <v>1</v>
      </c>
      <c r="S71" s="142" t="n">
        <f aca="false">IF(Assumptions!S$65&gt;=10,Assumptions!$C$43,1)</f>
        <v>1</v>
      </c>
      <c r="T71" s="142" t="n">
        <f aca="false">IF(Assumptions!T$65&gt;=10,Assumptions!$C$43,1)</f>
        <v>1</v>
      </c>
      <c r="U71" s="142" t="n">
        <f aca="false">IF(Assumptions!U$65&gt;=10,Assumptions!$C$43,1)</f>
        <v>1</v>
      </c>
      <c r="V71" s="142" t="n">
        <f aca="false">IF(Assumptions!V$65&gt;=10,Assumptions!$C$43,1)</f>
        <v>1</v>
      </c>
      <c r="W71" s="142" t="n">
        <f aca="false">IF(Assumptions!W$65&gt;=10,Assumptions!$C$43,1)</f>
        <v>1</v>
      </c>
      <c r="X71" s="142" t="n">
        <f aca="false">IF(Assumptions!X$65&gt;=10,Assumptions!$C$43,1)</f>
        <v>1</v>
      </c>
      <c r="Y71" s="142" t="n">
        <f aca="false">IF(Assumptions!Y$65&gt;=10,Assumptions!$C$43,1)</f>
        <v>1</v>
      </c>
      <c r="Z71" s="142" t="n">
        <f aca="false">IF(Assumptions!Z$65&gt;=10,Assumptions!$C$43,1)</f>
        <v>2.8</v>
      </c>
      <c r="AA71" s="142" t="n">
        <f aca="false">IF(Assumptions!AA$65&gt;=10,Assumptions!$C$43,1)</f>
        <v>2.8</v>
      </c>
      <c r="AB71" s="142" t="n">
        <f aca="false">IF(Assumptions!AB$65&gt;=10,Assumptions!$C$43,1)</f>
        <v>2.8</v>
      </c>
    </row>
    <row r="72" customFormat="false" ht="15" hidden="false" customHeight="true" outlineLevel="0" collapsed="false">
      <c r="A72" s="28" t="s">
        <v>1277</v>
      </c>
      <c r="E72" s="136" t="n">
        <f aca="false">IF(OR(Assumptions!E$65=1,Assumptions!E$65=4,Assumptions!E$65=7,Assumptions!E$65=10),1,0)</f>
        <v>1</v>
      </c>
      <c r="F72" s="136" t="n">
        <f aca="false">IF(OR(Assumptions!F$65=1,Assumptions!F$65=4,Assumptions!F$65=7,Assumptions!F$65=10),1,0)</f>
        <v>0</v>
      </c>
      <c r="G72" s="136" t="n">
        <f aca="false">IF(OR(Assumptions!G$65=1,Assumptions!G$65=4,Assumptions!G$65=7,Assumptions!G$65=10),1,0)</f>
        <v>0</v>
      </c>
      <c r="H72" s="136" t="n">
        <f aca="false">IF(OR(Assumptions!H$65=1,Assumptions!H$65=4,Assumptions!H$65=7,Assumptions!H$65=10),1,0)</f>
        <v>1</v>
      </c>
      <c r="I72" s="136" t="n">
        <f aca="false">IF(OR(Assumptions!I$65=1,Assumptions!I$65=4,Assumptions!I$65=7,Assumptions!I$65=10),1,0)</f>
        <v>0</v>
      </c>
      <c r="J72" s="136" t="n">
        <f aca="false">IF(OR(Assumptions!J$65=1,Assumptions!J$65=4,Assumptions!J$65=7,Assumptions!J$65=10),1,0)</f>
        <v>0</v>
      </c>
      <c r="K72" s="136" t="n">
        <f aca="false">IF(OR(Assumptions!K$65=1,Assumptions!K$65=4,Assumptions!K$65=7,Assumptions!K$65=10),1,0)</f>
        <v>1</v>
      </c>
      <c r="L72" s="136" t="n">
        <f aca="false">IF(OR(Assumptions!L$65=1,Assumptions!L$65=4,Assumptions!L$65=7,Assumptions!L$65=10),1,0)</f>
        <v>0</v>
      </c>
      <c r="M72" s="136" t="n">
        <f aca="false">IF(OR(Assumptions!M$65=1,Assumptions!M$65=4,Assumptions!M$65=7,Assumptions!M$65=10),1,0)</f>
        <v>0</v>
      </c>
      <c r="N72" s="136" t="n">
        <f aca="false">IF(OR(Assumptions!N$65=1,Assumptions!N$65=4,Assumptions!N$65=7,Assumptions!N$65=10),1,0)</f>
        <v>1</v>
      </c>
      <c r="O72" s="136" t="n">
        <f aca="false">IF(OR(Assumptions!O$65=1,Assumptions!O$65=4,Assumptions!O$65=7,Assumptions!O$65=10),1,0)</f>
        <v>0</v>
      </c>
      <c r="P72" s="136" t="n">
        <f aca="false">IF(OR(Assumptions!P$65=1,Assumptions!P$65=4,Assumptions!P$65=7,Assumptions!P$65=10),1,0)</f>
        <v>0</v>
      </c>
      <c r="Q72" s="136" t="n">
        <f aca="false">IF(OR(Assumptions!Q$65=1,Assumptions!Q$65=4,Assumptions!Q$65=7,Assumptions!Q$65=10),1,0)</f>
        <v>1</v>
      </c>
      <c r="R72" s="136" t="n">
        <f aca="false">IF(OR(Assumptions!R$65=1,Assumptions!R$65=4,Assumptions!R$65=7,Assumptions!R$65=10),1,0)</f>
        <v>0</v>
      </c>
      <c r="S72" s="136" t="n">
        <f aca="false">IF(OR(Assumptions!S$65=1,Assumptions!S$65=4,Assumptions!S$65=7,Assumptions!S$65=10),1,0)</f>
        <v>0</v>
      </c>
      <c r="T72" s="136" t="n">
        <f aca="false">IF(OR(Assumptions!T$65=1,Assumptions!T$65=4,Assumptions!T$65=7,Assumptions!T$65=10),1,0)</f>
        <v>1</v>
      </c>
      <c r="U72" s="136" t="n">
        <f aca="false">IF(OR(Assumptions!U$65=1,Assumptions!U$65=4,Assumptions!U$65=7,Assumptions!U$65=10),1,0)</f>
        <v>0</v>
      </c>
      <c r="V72" s="136" t="n">
        <f aca="false">IF(OR(Assumptions!V$65=1,Assumptions!V$65=4,Assumptions!V$65=7,Assumptions!V$65=10),1,0)</f>
        <v>0</v>
      </c>
      <c r="W72" s="136" t="n">
        <f aca="false">IF(OR(Assumptions!W$65=1,Assumptions!W$65=4,Assumptions!W$65=7,Assumptions!W$65=10),1,0)</f>
        <v>1</v>
      </c>
      <c r="X72" s="136" t="n">
        <f aca="false">IF(OR(Assumptions!X$65=1,Assumptions!X$65=4,Assumptions!X$65=7,Assumptions!X$65=10),1,0)</f>
        <v>0</v>
      </c>
      <c r="Y72" s="136" t="n">
        <f aca="false">IF(OR(Assumptions!Y$65=1,Assumptions!Y$65=4,Assumptions!Y$65=7,Assumptions!Y$65=10),1,0)</f>
        <v>0</v>
      </c>
      <c r="Z72" s="136" t="n">
        <f aca="false">IF(OR(Assumptions!Z$65=1,Assumptions!Z$65=4,Assumptions!Z$65=7,Assumptions!Z$65=10),1,0)</f>
        <v>1</v>
      </c>
      <c r="AA72" s="136" t="n">
        <f aca="false">IF(OR(Assumptions!AA$65=1,Assumptions!AA$65=4,Assumptions!AA$65=7,Assumptions!AA$65=10),1,0)</f>
        <v>0</v>
      </c>
      <c r="AB72" s="136" t="n">
        <f aca="false">IF(OR(Assumptions!AB$65=1,Assumptions!AB$65=4,Assumptions!AB$65=7,Assumptions!AB$65=10),1,0)</f>
        <v>0</v>
      </c>
    </row>
    <row r="73" customFormat="false" ht="15" hidden="false" customHeight="true" outlineLevel="0" collapsed="false">
      <c r="A73" s="28" t="s">
        <v>1278</v>
      </c>
      <c r="E73" s="136" t="n">
        <f aca="false">IF(Assumptions!E$65=Assumptions!$C$18,1,0)</f>
        <v>0</v>
      </c>
      <c r="F73" s="136" t="n">
        <f aca="false">IF(Assumptions!F$65=Assumptions!$C$18,1,0)</f>
        <v>0</v>
      </c>
      <c r="G73" s="136" t="n">
        <f aca="false">IF(Assumptions!G$65=Assumptions!$C$18,1,0)</f>
        <v>0</v>
      </c>
      <c r="H73" s="136" t="n">
        <f aca="false">IF(Assumptions!H$65=Assumptions!$C$18,1,0)</f>
        <v>1</v>
      </c>
      <c r="I73" s="136" t="n">
        <f aca="false">IF(Assumptions!I$65=Assumptions!$C$18,1,0)</f>
        <v>0</v>
      </c>
      <c r="J73" s="136" t="n">
        <f aca="false">IF(Assumptions!J$65=Assumptions!$C$18,1,0)</f>
        <v>0</v>
      </c>
      <c r="K73" s="136" t="n">
        <f aca="false">IF(Assumptions!K$65=Assumptions!$C$18,1,0)</f>
        <v>0</v>
      </c>
      <c r="L73" s="136" t="n">
        <f aca="false">IF(Assumptions!L$65=Assumptions!$C$18,1,0)</f>
        <v>0</v>
      </c>
      <c r="M73" s="136" t="n">
        <f aca="false">IF(Assumptions!M$65=Assumptions!$C$18,1,0)</f>
        <v>0</v>
      </c>
      <c r="N73" s="136" t="n">
        <f aca="false">IF(Assumptions!N$65=Assumptions!$C$18,1,0)</f>
        <v>0</v>
      </c>
      <c r="O73" s="136" t="n">
        <f aca="false">IF(Assumptions!O$65=Assumptions!$C$18,1,0)</f>
        <v>0</v>
      </c>
      <c r="P73" s="136" t="n">
        <f aca="false">IF(Assumptions!P$65=Assumptions!$C$18,1,0)</f>
        <v>0</v>
      </c>
      <c r="Q73" s="136" t="n">
        <f aca="false">IF(Assumptions!Q$65=Assumptions!$C$18,1,0)</f>
        <v>0</v>
      </c>
      <c r="R73" s="136" t="n">
        <f aca="false">IF(Assumptions!R$65=Assumptions!$C$18,1,0)</f>
        <v>0</v>
      </c>
      <c r="S73" s="136" t="n">
        <f aca="false">IF(Assumptions!S$65=Assumptions!$C$18,1,0)</f>
        <v>0</v>
      </c>
      <c r="T73" s="136" t="n">
        <f aca="false">IF(Assumptions!T$65=Assumptions!$C$18,1,0)</f>
        <v>1</v>
      </c>
      <c r="U73" s="136" t="n">
        <f aca="false">IF(Assumptions!U$65=Assumptions!$C$18,1,0)</f>
        <v>0</v>
      </c>
      <c r="V73" s="136" t="n">
        <f aca="false">IF(Assumptions!V$65=Assumptions!$C$18,1,0)</f>
        <v>0</v>
      </c>
      <c r="W73" s="136" t="n">
        <f aca="false">IF(Assumptions!W$65=Assumptions!$C$18,1,0)</f>
        <v>0</v>
      </c>
      <c r="X73" s="136" t="n">
        <f aca="false">IF(Assumptions!X$65=Assumptions!$C$18,1,0)</f>
        <v>0</v>
      </c>
      <c r="Y73" s="136" t="n">
        <f aca="false">IF(Assumptions!Y$65=Assumptions!$C$18,1,0)</f>
        <v>0</v>
      </c>
      <c r="Z73" s="136" t="n">
        <f aca="false">IF(Assumptions!Z$65=Assumptions!$C$18,1,0)</f>
        <v>0</v>
      </c>
      <c r="AA73" s="136" t="n">
        <f aca="false">IF(Assumptions!AA$65=Assumptions!$C$18,1,0)</f>
        <v>0</v>
      </c>
      <c r="AB73" s="136" t="n">
        <f aca="false">IF(Assumptions!AB$65=Assumptions!$C$18,1,0)</f>
        <v>0</v>
      </c>
    </row>
    <row r="74" customFormat="false" ht="15" hidden="false" customHeight="true" outlineLevel="0" collapsed="false">
      <c r="A74" s="28" t="s">
        <v>1279</v>
      </c>
      <c r="E74" s="143" t="n">
        <f aca="false">(1+Assumptions!$C$49)^(Assumptions!E$64-YEAR(Assumptions!$C$8))</f>
        <v>1</v>
      </c>
      <c r="F74" s="143" t="n">
        <f aca="false">(1+Assumptions!$C$49)^(Assumptions!F$64-YEAR(Assumptions!$C$8))</f>
        <v>1</v>
      </c>
      <c r="G74" s="143" t="n">
        <f aca="false">(1+Assumptions!$C$49)^(Assumptions!G$64-YEAR(Assumptions!$C$8))</f>
        <v>1</v>
      </c>
      <c r="H74" s="143" t="n">
        <f aca="false">(1+Assumptions!$C$49)^(Assumptions!H$64-YEAR(Assumptions!$C$8))</f>
        <v>1</v>
      </c>
      <c r="I74" s="143" t="n">
        <f aca="false">(1+Assumptions!$C$49)^(Assumptions!I$64-YEAR(Assumptions!$C$8))</f>
        <v>1</v>
      </c>
      <c r="J74" s="143" t="n">
        <f aca="false">(1+Assumptions!$C$49)^(Assumptions!J$64-YEAR(Assumptions!$C$8))</f>
        <v>1</v>
      </c>
      <c r="K74" s="143" t="n">
        <f aca="false">(1+Assumptions!$C$49)^(Assumptions!K$64-YEAR(Assumptions!$C$8))</f>
        <v>1</v>
      </c>
      <c r="L74" s="143" t="n">
        <f aca="false">(1+Assumptions!$C$49)^(Assumptions!L$64-YEAR(Assumptions!$C$8))</f>
        <v>1</v>
      </c>
      <c r="M74" s="143" t="n">
        <f aca="false">(1+Assumptions!$C$49)^(Assumptions!M$64-YEAR(Assumptions!$C$8))</f>
        <v>1</v>
      </c>
      <c r="N74" s="143" t="n">
        <f aca="false">(1+Assumptions!$C$49)^(Assumptions!N$64-YEAR(Assumptions!$C$8))</f>
        <v>1</v>
      </c>
      <c r="O74" s="143" t="n">
        <f aca="false">(1+Assumptions!$C$49)^(Assumptions!O$64-YEAR(Assumptions!$C$8))</f>
        <v>1</v>
      </c>
      <c r="P74" s="143" t="n">
        <f aca="false">(1+Assumptions!$C$49)^(Assumptions!P$64-YEAR(Assumptions!$C$8))</f>
        <v>1</v>
      </c>
      <c r="Q74" s="143" t="n">
        <f aca="false">(1+Assumptions!$C$49)^(Assumptions!Q$64-YEAR(Assumptions!$C$8))</f>
        <v>1.03</v>
      </c>
      <c r="R74" s="143" t="n">
        <f aca="false">(1+Assumptions!$C$49)^(Assumptions!R$64-YEAR(Assumptions!$C$8))</f>
        <v>1.03</v>
      </c>
      <c r="S74" s="143" t="n">
        <f aca="false">(1+Assumptions!$C$49)^(Assumptions!S$64-YEAR(Assumptions!$C$8))</f>
        <v>1.03</v>
      </c>
      <c r="T74" s="143" t="n">
        <f aca="false">(1+Assumptions!$C$49)^(Assumptions!T$64-YEAR(Assumptions!$C$8))</f>
        <v>1.03</v>
      </c>
      <c r="U74" s="143" t="n">
        <f aca="false">(1+Assumptions!$C$49)^(Assumptions!U$64-YEAR(Assumptions!$C$8))</f>
        <v>1.03</v>
      </c>
      <c r="V74" s="143" t="n">
        <f aca="false">(1+Assumptions!$C$49)^(Assumptions!V$64-YEAR(Assumptions!$C$8))</f>
        <v>1.03</v>
      </c>
      <c r="W74" s="143" t="n">
        <f aca="false">(1+Assumptions!$C$49)^(Assumptions!W$64-YEAR(Assumptions!$C$8))</f>
        <v>1.03</v>
      </c>
      <c r="X74" s="143" t="n">
        <f aca="false">(1+Assumptions!$C$49)^(Assumptions!X$64-YEAR(Assumptions!$C$8))</f>
        <v>1.03</v>
      </c>
      <c r="Y74" s="143" t="n">
        <f aca="false">(1+Assumptions!$C$49)^(Assumptions!Y$64-YEAR(Assumptions!$C$8))</f>
        <v>1.03</v>
      </c>
      <c r="Z74" s="143" t="n">
        <f aca="false">(1+Assumptions!$C$49)^(Assumptions!Z$64-YEAR(Assumptions!$C$8))</f>
        <v>1.03</v>
      </c>
      <c r="AA74" s="143" t="n">
        <f aca="false">(1+Assumptions!$C$49)^(Assumptions!AA$64-YEAR(Assumptions!$C$8))</f>
        <v>1.03</v>
      </c>
      <c r="AB74" s="143" t="n">
        <f aca="false">(1+Assumptions!$C$49)^(Assumptions!AB$64-YEAR(Assumptions!$C$8))</f>
        <v>1.03</v>
      </c>
    </row>
    <row r="76" customFormat="false" ht="15" hidden="false" customHeight="true" outlineLevel="0" collapsed="false">
      <c r="A76" s="22" t="s">
        <v>1280</v>
      </c>
      <c r="B76" s="23"/>
      <c r="C76" s="23"/>
      <c r="D76" s="23"/>
      <c r="E76" s="23"/>
      <c r="F76" s="23"/>
      <c r="G76" s="23"/>
      <c r="H76" s="23"/>
    </row>
    <row r="77" customFormat="false" ht="15" hidden="false" customHeight="true" outlineLevel="0" collapsed="false">
      <c r="A77" s="26" t="s">
        <v>1281</v>
      </c>
      <c r="B77" s="26" t="s">
        <v>487</v>
      </c>
      <c r="C77" s="27" t="s">
        <v>488</v>
      </c>
      <c r="D77" s="27" t="s">
        <v>489</v>
      </c>
      <c r="E77" s="27" t="s">
        <v>490</v>
      </c>
      <c r="F77" s="27" t="s">
        <v>1282</v>
      </c>
      <c r="G77" s="27" t="s">
        <v>449</v>
      </c>
      <c r="H77" s="27" t="s">
        <v>1283</v>
      </c>
    </row>
    <row r="78" customFormat="false" ht="15" hidden="false" customHeight="true" outlineLevel="0" collapsed="false">
      <c r="A78" s="28" t="s">
        <v>1284</v>
      </c>
      <c r="B78" s="55"/>
      <c r="C78" s="121" t="n">
        <v>0.22</v>
      </c>
      <c r="D78" s="121" t="n">
        <v>0.05</v>
      </c>
      <c r="E78" s="121" t="n">
        <v>0.32</v>
      </c>
      <c r="F78" s="59" t="n">
        <f aca="false">CHOOSE(Assumptions!$C$11,C78,D78,E78)</f>
        <v>0.22</v>
      </c>
      <c r="H78" s="55" t="s">
        <v>1285</v>
      </c>
    </row>
    <row r="79" customFormat="false" ht="15" hidden="false" customHeight="true" outlineLevel="0" collapsed="false">
      <c r="A79" s="28" t="s">
        <v>1286</v>
      </c>
      <c r="B79" s="55"/>
      <c r="C79" s="121" t="n">
        <v>0.28</v>
      </c>
      <c r="D79" s="121" t="n">
        <v>0.1</v>
      </c>
      <c r="E79" s="121" t="n">
        <v>0.38</v>
      </c>
      <c r="F79" s="59" t="n">
        <f aca="false">CHOOSE(Assumptions!$C$11,C79,D79,E79)</f>
        <v>0.28</v>
      </c>
    </row>
    <row r="80" customFormat="false" ht="15" hidden="false" customHeight="true" outlineLevel="0" collapsed="false">
      <c r="A80" s="28" t="s">
        <v>1287</v>
      </c>
      <c r="B80" s="55"/>
      <c r="C80" s="121" t="n">
        <v>0.7</v>
      </c>
      <c r="D80" s="121" t="n">
        <v>0.25</v>
      </c>
      <c r="E80" s="121" t="n">
        <v>1.1</v>
      </c>
      <c r="F80" s="59" t="n">
        <f aca="false">CHOOSE(Assumptions!$C$11,C80,D80,E80)</f>
        <v>0.7</v>
      </c>
      <c r="H80" s="55" t="s">
        <v>1288</v>
      </c>
    </row>
    <row r="81" customFormat="false" ht="15" hidden="false" customHeight="true" outlineLevel="0" collapsed="false">
      <c r="A81" s="28" t="s">
        <v>1289</v>
      </c>
      <c r="B81" s="55"/>
      <c r="C81" s="121" t="n">
        <v>0.03</v>
      </c>
      <c r="D81" s="121" t="n">
        <v>0</v>
      </c>
      <c r="E81" s="121" t="n">
        <v>0.04</v>
      </c>
      <c r="F81" s="59" t="n">
        <f aca="false">CHOOSE(Assumptions!$C$11,C81,D81,E81)</f>
        <v>0.03</v>
      </c>
    </row>
    <row r="82" customFormat="false" ht="15" hidden="false" customHeight="true" outlineLevel="0" collapsed="false">
      <c r="A82" s="28" t="s">
        <v>1290</v>
      </c>
      <c r="B82" s="55"/>
      <c r="C82" s="121" t="n">
        <v>0.02</v>
      </c>
      <c r="D82" s="121" t="n">
        <v>0</v>
      </c>
      <c r="E82" s="121" t="n">
        <v>0.03</v>
      </c>
      <c r="F82" s="59" t="n">
        <f aca="false">CHOOSE(Assumptions!$C$11,C82,D82,E82)</f>
        <v>0.02</v>
      </c>
    </row>
    <row r="83" customFormat="false" ht="15" hidden="false" customHeight="true" outlineLevel="0" collapsed="false">
      <c r="A83" s="28" t="s">
        <v>1291</v>
      </c>
      <c r="B83" s="55"/>
      <c r="C83" s="121" t="n">
        <v>0.02</v>
      </c>
      <c r="D83" s="121" t="n">
        <v>0</v>
      </c>
      <c r="E83" s="121" t="n">
        <v>0.03</v>
      </c>
      <c r="F83" s="59" t="n">
        <f aca="false">CHOOSE(Assumptions!$C$11,C83,D83,E83)</f>
        <v>0.02</v>
      </c>
    </row>
    <row r="84" customFormat="false" ht="15" hidden="false" customHeight="true" outlineLevel="0" collapsed="false">
      <c r="A84" s="28" t="s">
        <v>1292</v>
      </c>
      <c r="B84" s="55"/>
      <c r="C84" s="121" t="n">
        <v>0.085</v>
      </c>
      <c r="D84" s="121" t="n">
        <v>0.1</v>
      </c>
      <c r="E84" s="121" t="n">
        <v>0.075</v>
      </c>
      <c r="F84" s="59" t="n">
        <f aca="false">CHOOSE(Assumptions!$C$11,C84,D84,E84)</f>
        <v>0.085</v>
      </c>
      <c r="G84" s="60" t="n">
        <f aca="false">IFERROR(-SUMIFS(Channel_PL!$E$14:$AB$14,Assumptions!$E$63:$AB$63,"A")/SUMIFS(Channel_PL!$E$13:$AB$13,Assumptions!$E$63:$AB$63,"A"),0)</f>
        <v>0.0843811024186058</v>
      </c>
    </row>
    <row r="85" customFormat="false" ht="15" hidden="false" customHeight="true" outlineLevel="0" collapsed="false">
      <c r="A85" s="28" t="s">
        <v>1293</v>
      </c>
      <c r="B85" s="55"/>
      <c r="C85" s="121" t="n">
        <v>0.04</v>
      </c>
      <c r="D85" s="121" t="n">
        <v>0.05</v>
      </c>
      <c r="E85" s="121" t="n">
        <v>0.035</v>
      </c>
      <c r="F85" s="59" t="n">
        <f aca="false">CHOOSE(Assumptions!$C$11,C85,D85,E85)</f>
        <v>0.04</v>
      </c>
      <c r="G85" s="60" t="n">
        <f aca="false">IFERROR(-SUMIFS(Channel_PL!$E$52:$AB$52,Assumptions!$E$63:$AB$63,"A")/SUMIFS(Channel_PL!$E$51:$AB$51,Assumptions!$E$63:$AB$63,"A"),0)</f>
        <v>0.0396986976395687</v>
      </c>
    </row>
    <row r="86" customFormat="false" ht="15" hidden="false" customHeight="true" outlineLevel="0" collapsed="false">
      <c r="A86" s="28" t="s">
        <v>1294</v>
      </c>
      <c r="B86" s="55"/>
      <c r="C86" s="121" t="n">
        <v>0.05</v>
      </c>
      <c r="D86" s="121" t="n">
        <v>0.06</v>
      </c>
      <c r="E86" s="121" t="n">
        <v>0.045</v>
      </c>
      <c r="F86" s="59" t="n">
        <f aca="false">CHOOSE(Assumptions!$C$11,C86,D86,E86)</f>
        <v>0.05</v>
      </c>
      <c r="G86" s="60" t="n">
        <f aca="false">IFERROR(-SUMIFS(Channel_PL!$E$86:$AB$86,Assumptions!$E$63:$AB$63,"A")/SUMIFS(Channel_PL!$E$85:$AB$85,Assumptions!$E$63:$AB$63,"A"),0)</f>
        <v>0.048854919369333</v>
      </c>
    </row>
    <row r="87" customFormat="false" ht="15" hidden="false" customHeight="true" outlineLevel="0" collapsed="false">
      <c r="A87" s="28" t="s">
        <v>1295</v>
      </c>
      <c r="B87" s="55"/>
      <c r="C87" s="121" t="n">
        <v>0.065</v>
      </c>
      <c r="D87" s="121" t="n">
        <v>0.08</v>
      </c>
      <c r="E87" s="121" t="n">
        <v>0.055</v>
      </c>
      <c r="F87" s="59" t="n">
        <f aca="false">CHOOSE(Assumptions!$C$11,C87,D87,E87)</f>
        <v>0.065</v>
      </c>
      <c r="G87" s="60" t="n">
        <f aca="false">IFERROR(-SUMIFS(Channel_PL!$E$15:$AB$15,Assumptions!$E$63:$AB$63,"A")/SUMIFS(Channel_PL!$E$13:$AB$13,Assumptions!$E$63:$AB$63,"A"),0)</f>
        <v>0.0623641705988653</v>
      </c>
      <c r="H87" s="55" t="s">
        <v>1296</v>
      </c>
    </row>
    <row r="88" customFormat="false" ht="15" hidden="false" customHeight="true" outlineLevel="0" collapsed="false">
      <c r="A88" s="28" t="s">
        <v>1297</v>
      </c>
      <c r="B88" s="55"/>
      <c r="C88" s="121" t="n">
        <v>0.075</v>
      </c>
      <c r="D88" s="121" t="n">
        <v>0.09</v>
      </c>
      <c r="E88" s="121" t="n">
        <v>0.07</v>
      </c>
      <c r="F88" s="59" t="n">
        <f aca="false">CHOOSE(Assumptions!$C$11,C88,D88,E88)</f>
        <v>0.075</v>
      </c>
      <c r="G88" s="60" t="n">
        <f aca="false">IFERROR(-SUMIFS(Channel_PL!$E$53:$AB$53,Assumptions!$E$63:$AB$63,"A")/SUMIFS(Channel_PL!$E$51:$AB$51,Assumptions!$E$63:$AB$63,"A"),0)</f>
        <v>0.072799224331912</v>
      </c>
    </row>
    <row r="89" customFormat="false" ht="15" hidden="false" customHeight="true" outlineLevel="0" collapsed="false">
      <c r="A89" s="28" t="s">
        <v>1298</v>
      </c>
      <c r="B89" s="55"/>
      <c r="C89" s="121" t="n">
        <v>0.085</v>
      </c>
      <c r="D89" s="121" t="n">
        <v>0.1</v>
      </c>
      <c r="E89" s="121" t="n">
        <v>0.08</v>
      </c>
      <c r="F89" s="59" t="n">
        <f aca="false">CHOOSE(Assumptions!$C$11,C89,D89,E89)</f>
        <v>0.085</v>
      </c>
      <c r="G89" s="60" t="n">
        <f aca="false">IFERROR(-SUMIFS(Channel_PL!$E$87:$AB$87,Assumptions!$E$63:$AB$63,"A")/SUMIFS(Channel_PL!$E$85:$AB$85,Assumptions!$E$63:$AB$63,"A"),0)</f>
        <v>0.0859339548107504</v>
      </c>
    </row>
    <row r="90" customFormat="false" ht="15" hidden="false" customHeight="true" outlineLevel="0" collapsed="false">
      <c r="A90" s="28" t="s">
        <v>1299</v>
      </c>
      <c r="B90" s="55" t="s">
        <v>1300</v>
      </c>
      <c r="C90" s="144" t="n">
        <v>1.35</v>
      </c>
      <c r="D90" s="144" t="n">
        <v>1.32</v>
      </c>
      <c r="E90" s="144" t="n">
        <v>1.38</v>
      </c>
      <c r="F90" s="114" t="n">
        <f aca="false">CHOOSE(Assumptions!$C$11,C90,D90,E90)</f>
        <v>1.35</v>
      </c>
      <c r="G90" s="94" t="n">
        <f aca="false">IFERROR(SUMIFS(Channel_PL!$E$10:$AB$10,Assumptions!$E$63:$AB$63,"A")/SUMIFS(Channel_PL!$E$11:$AB$11,Assumptions!$E$63:$AB$63,"A"),0)</f>
        <v>1.33988728064557</v>
      </c>
    </row>
    <row r="91" customFormat="false" ht="15" hidden="false" customHeight="true" outlineLevel="0" collapsed="false">
      <c r="A91" s="28" t="s">
        <v>1301</v>
      </c>
      <c r="B91" s="55" t="s">
        <v>1300</v>
      </c>
      <c r="C91" s="144" t="n">
        <v>1.15</v>
      </c>
      <c r="D91" s="144" t="n">
        <v>1.13</v>
      </c>
      <c r="E91" s="144" t="n">
        <v>1.17</v>
      </c>
      <c r="F91" s="114" t="n">
        <f aca="false">CHOOSE(Assumptions!$C$11,C91,D91,E91)</f>
        <v>1.15</v>
      </c>
      <c r="G91" s="94" t="n">
        <f aca="false">IFERROR(SUMIFS(Channel_PL!$E$48:$AB$48,Assumptions!$E$63:$AB$63,"A")/SUMIFS(Channel_PL!$E$49:$AB$49,Assumptions!$E$63:$AB$63,"A"),0)</f>
        <v>1.15011202389843</v>
      </c>
    </row>
    <row r="92" customFormat="false" ht="15" hidden="false" customHeight="true" outlineLevel="0" collapsed="false">
      <c r="A92" s="28" t="s">
        <v>1302</v>
      </c>
      <c r="B92" s="55" t="s">
        <v>1300</v>
      </c>
      <c r="C92" s="144" t="n">
        <v>1.2</v>
      </c>
      <c r="D92" s="144" t="n">
        <v>1.18</v>
      </c>
      <c r="E92" s="144" t="n">
        <v>1.22</v>
      </c>
      <c r="F92" s="114" t="n">
        <f aca="false">CHOOSE(Assumptions!$C$11,C92,D92,E92)</f>
        <v>1.2</v>
      </c>
      <c r="G92" s="94" t="n">
        <f aca="false">IFERROR(SUMIFS(Channel_PL!$E$82:$AB$82,Assumptions!$E$63:$AB$63,"A")/SUMIFS(Channel_PL!$E$83:$AB$83,Assumptions!$E$63:$AB$63,"A"),0)</f>
        <v>1.20785550458716</v>
      </c>
    </row>
    <row r="93" customFormat="false" ht="15" hidden="false" customHeight="true" outlineLevel="0" collapsed="false">
      <c r="A93" s="28" t="s">
        <v>1303</v>
      </c>
      <c r="B93" s="55" t="s">
        <v>494</v>
      </c>
      <c r="C93" s="134" t="n">
        <v>3.4</v>
      </c>
      <c r="D93" s="134" t="n">
        <v>3.2</v>
      </c>
      <c r="E93" s="134" t="n">
        <v>3.5</v>
      </c>
      <c r="F93" s="61" t="n">
        <f aca="false">CHOOSE(Assumptions!$C$11,C93,D93,E93)</f>
        <v>3.4</v>
      </c>
      <c r="G93" s="65" t="n">
        <f aca="false">IFERROR(SUMIFS(Channel_PL!$E$17:$AB$17,Assumptions!$E$63:$AB$63,"A")/SUMIFS(Channel_PL!$E$11:$AB$11,Assumptions!$E$63:$AB$63,"A"),0)</f>
        <v>3.43460996541565</v>
      </c>
    </row>
    <row r="94" customFormat="false" ht="15" hidden="false" customHeight="true" outlineLevel="0" collapsed="false">
      <c r="A94" s="28" t="s">
        <v>1304</v>
      </c>
      <c r="B94" s="55"/>
      <c r="C94" s="121" t="n">
        <v>0.03</v>
      </c>
      <c r="D94" s="121" t="n">
        <v>0.07</v>
      </c>
      <c r="E94" s="121" t="n">
        <v>0.01</v>
      </c>
      <c r="F94" s="59" t="n">
        <f aca="false">CHOOSE(Assumptions!$C$11,C94,D94,E94)</f>
        <v>0.03</v>
      </c>
      <c r="H94" s="55" t="s">
        <v>1305</v>
      </c>
    </row>
    <row r="95" customFormat="false" ht="15" hidden="false" customHeight="true" outlineLevel="0" collapsed="false">
      <c r="A95" s="28" t="s">
        <v>1306</v>
      </c>
      <c r="B95" s="55"/>
      <c r="C95" s="121" t="n">
        <v>0.65</v>
      </c>
      <c r="D95" s="121" t="n">
        <v>0.55</v>
      </c>
      <c r="E95" s="121" t="n">
        <v>0.7</v>
      </c>
      <c r="F95" s="59" t="n">
        <f aca="false">CHOOSE(Assumptions!$C$11,C95,D95,E95)</f>
        <v>0.65</v>
      </c>
      <c r="G95" s="60" t="n">
        <f aca="false">IFERROR(SUMIFS(Channel_PL!$E$123:$AB$123,Assumptions!$E$63:$AB$63,"A")/(SUMIFS(Channel_PL!$E$121:$AB$121,Assumptions!$E$63:$AB$63,"A")*(-SUMIFS(Channel_PL!$E$122:$AB$122,Assumptions!$E$63:$AB$63,"A")/SUMIFS(Channel_PL!$E$115:$AB$115,Assumptions!$E$63:$AB$63,"A"))),0)</f>
        <v>0.649643694523049</v>
      </c>
    </row>
    <row r="96" customFormat="false" ht="15" hidden="false" customHeight="true" outlineLevel="0" collapsed="false">
      <c r="A96" s="28" t="s">
        <v>1307</v>
      </c>
      <c r="B96" s="55"/>
      <c r="C96" s="121" t="n">
        <v>0.15</v>
      </c>
      <c r="D96" s="121" t="n">
        <v>0.15</v>
      </c>
      <c r="E96" s="121" t="n">
        <v>0.15</v>
      </c>
      <c r="F96" s="59" t="n">
        <f aca="false">CHOOSE(Assumptions!$C$11,C96,D96,E96)</f>
        <v>0.15</v>
      </c>
    </row>
    <row r="97" customFormat="false" ht="15" hidden="false" customHeight="true" outlineLevel="0" collapsed="false">
      <c r="A97" s="28" t="s">
        <v>1308</v>
      </c>
      <c r="B97" s="55"/>
      <c r="C97" s="121" t="n">
        <v>0.2</v>
      </c>
      <c r="D97" s="121" t="n">
        <v>0.2</v>
      </c>
      <c r="E97" s="121" t="n">
        <v>0.2</v>
      </c>
      <c r="F97" s="59" t="n">
        <f aca="false">CHOOSE(Assumptions!$C$11,C97,D97,E97)</f>
        <v>0.2</v>
      </c>
    </row>
    <row r="98" customFormat="false" ht="15" hidden="false" customHeight="true" outlineLevel="0" collapsed="false">
      <c r="A98" s="28" t="s">
        <v>1309</v>
      </c>
      <c r="B98" s="55" t="s">
        <v>494</v>
      </c>
      <c r="C98" s="134" t="n">
        <v>5.4</v>
      </c>
      <c r="D98" s="134" t="n">
        <v>5.65</v>
      </c>
      <c r="E98" s="134" t="n">
        <v>5.35</v>
      </c>
      <c r="F98" s="61" t="n">
        <f aca="false">CHOOSE(Assumptions!$C$11,C98,D98,E98)</f>
        <v>5.4</v>
      </c>
      <c r="G98" s="65" t="n">
        <f aca="false">IFERROR(-SUMIFS(Channel_PL!$E$63:$AB$63,Assumptions!$E$63:$AB$63,"A")/SUMIFS(Channel_PL!$E$48:$AB$48,Assumptions!$E$63:$AB$63,"A"),0)</f>
        <v>5.32551020408163</v>
      </c>
    </row>
    <row r="99" customFormat="false" ht="15" hidden="false" customHeight="true" outlineLevel="0" collapsed="false">
      <c r="A99" s="28" t="s">
        <v>1310</v>
      </c>
      <c r="B99" s="55" t="s">
        <v>494</v>
      </c>
      <c r="C99" s="134" t="n">
        <v>0.58</v>
      </c>
      <c r="D99" s="134" t="n">
        <v>0.66</v>
      </c>
      <c r="E99" s="134" t="n">
        <v>0.55</v>
      </c>
      <c r="F99" s="61" t="n">
        <f aca="false">CHOOSE(Assumptions!$C$11,C99,D99,E99)</f>
        <v>0.58</v>
      </c>
      <c r="G99" s="65" t="n">
        <f aca="false">IFERROR(-SUMIFS(Channel_PL!$E$64:$AB$64,Assumptions!$E$63:$AB$63,"A")/SUMIFS(Channel_PL!$E$48:$AB$48,Assumptions!$E$63:$AB$63,"A"),0)</f>
        <v>0.623654916512059</v>
      </c>
      <c r="H99" s="55" t="s">
        <v>1311</v>
      </c>
    </row>
    <row r="100" customFormat="false" ht="15" hidden="false" customHeight="true" outlineLevel="0" collapsed="false">
      <c r="A100" s="28" t="s">
        <v>1312</v>
      </c>
      <c r="B100" s="55" t="s">
        <v>494</v>
      </c>
      <c r="C100" s="134" t="n">
        <v>0.45</v>
      </c>
      <c r="D100" s="134" t="n">
        <v>0.5</v>
      </c>
      <c r="E100" s="134" t="n">
        <v>0.43</v>
      </c>
      <c r="F100" s="61" t="n">
        <f aca="false">CHOOSE(Assumptions!$C$11,C100,D100,E100)</f>
        <v>0.45</v>
      </c>
      <c r="G100" s="65" t="n">
        <f aca="false">IFERROR(-SUMIFS(Channel_PL!$E$65:$AB$65,Assumptions!$E$63:$AB$63,"A")/SUMIFS(Channel_PL!$E$48:$AB$48,Assumptions!$E$63:$AB$63,"A"),0)</f>
        <v>0.454452690166976</v>
      </c>
    </row>
    <row r="101" customFormat="false" ht="15" hidden="false" customHeight="true" outlineLevel="0" collapsed="false">
      <c r="A101" s="28" t="s">
        <v>1313</v>
      </c>
      <c r="B101" s="55"/>
      <c r="C101" s="121" t="n">
        <v>0.15</v>
      </c>
      <c r="D101" s="121" t="n">
        <v>0.15</v>
      </c>
      <c r="E101" s="121" t="n">
        <v>0.15</v>
      </c>
      <c r="F101" s="59" t="n">
        <f aca="false">CHOOSE(Assumptions!$C$11,C101,D101,E101)</f>
        <v>0.15</v>
      </c>
    </row>
    <row r="102" customFormat="false" ht="15" hidden="false" customHeight="true" outlineLevel="0" collapsed="false">
      <c r="A102" s="28" t="s">
        <v>1314</v>
      </c>
      <c r="B102" s="55" t="s">
        <v>1315</v>
      </c>
      <c r="C102" s="134" t="n">
        <v>6.25</v>
      </c>
      <c r="D102" s="134" t="n">
        <v>6.5</v>
      </c>
      <c r="E102" s="134" t="n">
        <v>6.15</v>
      </c>
      <c r="F102" s="61" t="n">
        <f aca="false">CHOOSE(Assumptions!$C$11,C102,D102,E102)</f>
        <v>6.25</v>
      </c>
      <c r="G102" s="65" t="n">
        <f aca="false">IFERROR(SUMIFS(Inputs_Actuals!$E$73:$AB$73,Assumptions!$E$63:$AB$63,"A")/SUMIFS(Channel_PL!$E$82:$AB$82,Assumptions!$E$63:$AB$63,"A"),0)</f>
        <v>6.27628768098742</v>
      </c>
    </row>
    <row r="103" customFormat="false" ht="15" hidden="false" customHeight="true" outlineLevel="0" collapsed="false">
      <c r="A103" s="28" t="s">
        <v>1316</v>
      </c>
      <c r="B103" s="55" t="s">
        <v>1315</v>
      </c>
      <c r="C103" s="134" t="n">
        <v>0.6</v>
      </c>
      <c r="D103" s="134" t="n">
        <v>0.66</v>
      </c>
      <c r="E103" s="134" t="n">
        <v>0.58</v>
      </c>
      <c r="F103" s="61" t="n">
        <f aca="false">CHOOSE(Assumptions!$C$11,C103,D103,E103)</f>
        <v>0.6</v>
      </c>
      <c r="G103" s="65" t="n">
        <f aca="false">IFERROR(SUMIFS(Inputs_Actuals!$E$74:$AB$74,Assumptions!$E$63:$AB$63,"A")/SUMIFS(Channel_PL!$E$82:$AB$82,Assumptions!$E$63:$AB$63,"A"),0)</f>
        <v>0.591739852836459</v>
      </c>
    </row>
    <row r="104" customFormat="false" ht="15" hidden="false" customHeight="true" outlineLevel="0" collapsed="false">
      <c r="A104" s="28" t="s">
        <v>1317</v>
      </c>
      <c r="B104" s="55"/>
      <c r="C104" s="132" t="n">
        <v>0.019</v>
      </c>
      <c r="D104" s="132" t="n">
        <v>0.019</v>
      </c>
      <c r="E104" s="132" t="n">
        <v>0.019</v>
      </c>
      <c r="F104" s="145" t="n">
        <f aca="false">CHOOSE(Assumptions!$C$11,C104,D104,E104)</f>
        <v>0.019</v>
      </c>
    </row>
    <row r="105" customFormat="false" ht="15" hidden="false" customHeight="true" outlineLevel="0" collapsed="false">
      <c r="A105" s="28" t="s">
        <v>1318</v>
      </c>
      <c r="B105" s="55" t="s">
        <v>494</v>
      </c>
      <c r="C105" s="134" t="n">
        <v>0.25</v>
      </c>
      <c r="D105" s="134" t="n">
        <v>0.25</v>
      </c>
      <c r="E105" s="134" t="n">
        <v>0.25</v>
      </c>
      <c r="F105" s="61" t="n">
        <f aca="false">CHOOSE(Assumptions!$C$11,C105,D105,E105)</f>
        <v>0.25</v>
      </c>
    </row>
    <row r="106" customFormat="false" ht="15" hidden="false" customHeight="true" outlineLevel="0" collapsed="false">
      <c r="A106" s="28" t="s">
        <v>1319</v>
      </c>
      <c r="B106" s="55"/>
      <c r="C106" s="132" t="n">
        <v>0.0012</v>
      </c>
      <c r="D106" s="132" t="n">
        <v>0.002</v>
      </c>
      <c r="E106" s="132" t="n">
        <v>0.001</v>
      </c>
      <c r="F106" s="145" t="n">
        <f aca="false">CHOOSE(Assumptions!$C$11,C106,D106,E106)</f>
        <v>0.0012</v>
      </c>
    </row>
    <row r="107" customFormat="false" ht="15" hidden="false" customHeight="true" outlineLevel="0" collapsed="false">
      <c r="A107" s="28" t="s">
        <v>1320</v>
      </c>
      <c r="B107" s="55" t="s">
        <v>494</v>
      </c>
      <c r="C107" s="134" t="n">
        <v>6.35</v>
      </c>
      <c r="D107" s="134" t="n">
        <v>6.8</v>
      </c>
      <c r="E107" s="134" t="n">
        <v>6.2</v>
      </c>
      <c r="F107" s="61" t="n">
        <f aca="false">CHOOSE(Assumptions!$C$11,C107,D107,E107)</f>
        <v>6.35</v>
      </c>
      <c r="G107" s="65" t="n">
        <f aca="false">IFERROR(-SUMIFS(Channel_PL!$E$26:$AB$26,Assumptions!$E$63:$AB$63,"A")/SUMIFS(Channel_PL!$E$11:$AB$11,Assumptions!$E$63:$AB$63,"A"),0)</f>
        <v>6.31157935186371</v>
      </c>
      <c r="H107" s="55" t="s">
        <v>1321</v>
      </c>
    </row>
    <row r="108" customFormat="false" ht="15" hidden="false" customHeight="true" outlineLevel="0" collapsed="false">
      <c r="A108" s="28" t="s">
        <v>1322</v>
      </c>
      <c r="B108" s="55" t="s">
        <v>494</v>
      </c>
      <c r="C108" s="134" t="n">
        <v>3.8</v>
      </c>
      <c r="D108" s="134" t="n">
        <v>3.95</v>
      </c>
      <c r="E108" s="134" t="n">
        <v>3.75</v>
      </c>
      <c r="F108" s="61" t="n">
        <f aca="false">CHOOSE(Assumptions!$C$11,C108,D108,E108)</f>
        <v>3.8</v>
      </c>
      <c r="G108" s="65" t="n">
        <f aca="false">IFERROR(-SUMIFS(Channel_PL!$E$27:$AB$27,Assumptions!$E$63:$AB$63,"A")/SUMIFS(Channel_PL!$E$11:$AB$11,Assumptions!$E$63:$AB$63,"A"),0)</f>
        <v>3.77661073395671</v>
      </c>
    </row>
    <row r="109" customFormat="false" ht="15" hidden="false" customHeight="true" outlineLevel="0" collapsed="false">
      <c r="A109" s="28" t="s">
        <v>1323</v>
      </c>
      <c r="B109" s="55"/>
      <c r="C109" s="121" t="n">
        <v>0.19</v>
      </c>
      <c r="D109" s="121" t="n">
        <v>0.23</v>
      </c>
      <c r="E109" s="121" t="n">
        <v>0.17</v>
      </c>
      <c r="F109" s="59" t="n">
        <f aca="false">CHOOSE(Assumptions!$C$11,C109,D109,E109)</f>
        <v>0.19</v>
      </c>
      <c r="G109" s="60" t="n">
        <f aca="false">IFERROR(-SUMIFS(Channel_PL!$E$33:$AB$33,Assumptions!$E$63:$AB$63,"A")/SUMIFS(Channel_PL!$E$18:$AB$18,Assumptions!$E$63:$AB$63,"A"),0)</f>
        <v>0.184849885964824</v>
      </c>
    </row>
    <row r="110" customFormat="false" ht="15" hidden="false" customHeight="true" outlineLevel="0" collapsed="false">
      <c r="A110" s="28" t="s">
        <v>1324</v>
      </c>
      <c r="B110" s="55"/>
      <c r="C110" s="121" t="n">
        <v>0.095</v>
      </c>
      <c r="D110" s="121" t="n">
        <v>0.115</v>
      </c>
      <c r="E110" s="121" t="n">
        <v>0.085</v>
      </c>
      <c r="F110" s="59" t="n">
        <f aca="false">CHOOSE(Assumptions!$C$11,C110,D110,E110)</f>
        <v>0.095</v>
      </c>
      <c r="G110" s="60" t="n">
        <f aca="false">IFERROR(-SUMIFS(Channel_PL!$E$69:$AB$69,Assumptions!$E$63:$AB$63,"A")/SUMIFS(Channel_PL!$E$55:$AB$55,Assumptions!$E$63:$AB$63,"A"),0)</f>
        <v>0.0942465347574725</v>
      </c>
    </row>
    <row r="111" customFormat="false" ht="15" hidden="false" customHeight="true" outlineLevel="0" collapsed="false">
      <c r="A111" s="28" t="s">
        <v>1325</v>
      </c>
      <c r="B111" s="55"/>
      <c r="C111" s="121" t="n">
        <v>0.12</v>
      </c>
      <c r="D111" s="121" t="n">
        <v>0.15</v>
      </c>
      <c r="E111" s="121" t="n">
        <v>0.1</v>
      </c>
      <c r="F111" s="59" t="n">
        <f aca="false">CHOOSE(Assumptions!$C$11,C111,D111,E111)</f>
        <v>0.12</v>
      </c>
      <c r="G111" s="60" t="n">
        <f aca="false">IFERROR(-SUMIFS(Channel_PL!$E$102:$AB$102,Assumptions!$E$63:$AB$63,"A")/SUMIFS(Channel_PL!$E$89:$AB$89,Assumptions!$E$63:$AB$63,"A"),0)</f>
        <v>0.134008585989226</v>
      </c>
    </row>
    <row r="112" customFormat="false" ht="15" hidden="false" customHeight="true" outlineLevel="0" collapsed="false">
      <c r="A112" s="28" t="s">
        <v>1326</v>
      </c>
      <c r="B112" s="55"/>
      <c r="C112" s="121" t="n">
        <v>0.6</v>
      </c>
      <c r="D112" s="121" t="n">
        <v>0.55</v>
      </c>
      <c r="E112" s="121" t="n">
        <v>0.62</v>
      </c>
      <c r="F112" s="59" t="n">
        <f aca="false">CHOOSE(Assumptions!$C$11,C112,D112,E112)</f>
        <v>0.6</v>
      </c>
      <c r="G112" s="60" t="n">
        <f aca="false">IFERROR(SUMIFS(Channel_PL!$E$43:$AB$43,Assumptions!$E$63:$AB$63,"A")/SUMIFS(Channel_PL!$E$11:$AB$11,Assumptions!$E$63:$AB$63,"A"),0)</f>
        <v>0.590303573715896</v>
      </c>
    </row>
    <row r="113" customFormat="false" ht="15" hidden="false" customHeight="true" outlineLevel="0" collapsed="false">
      <c r="A113" s="28" t="s">
        <v>1327</v>
      </c>
      <c r="B113" s="55" t="s">
        <v>1233</v>
      </c>
      <c r="C113" s="107" t="n">
        <v>3</v>
      </c>
      <c r="D113" s="107" t="n">
        <v>3</v>
      </c>
      <c r="E113" s="107" t="n">
        <v>3</v>
      </c>
      <c r="F113" s="146" t="n">
        <f aca="false">CHOOSE(Assumptions!$C$11,C113,D113,E113)</f>
        <v>3</v>
      </c>
      <c r="G113" s="92" t="n">
        <f aca="false">IFERROR(AVERAGEIFS(Settlements!$E$17:$AB$17,Assumptions!$E$63:$AB$63,"A"),0)</f>
        <v>3.10460053943776</v>
      </c>
    </row>
    <row r="114" customFormat="false" ht="15" hidden="false" customHeight="true" outlineLevel="0" collapsed="false">
      <c r="A114" s="28" t="s">
        <v>1328</v>
      </c>
      <c r="B114" s="55" t="s">
        <v>1233</v>
      </c>
      <c r="C114" s="107" t="n">
        <v>21</v>
      </c>
      <c r="D114" s="107" t="n">
        <v>28</v>
      </c>
      <c r="E114" s="107" t="n">
        <v>21</v>
      </c>
      <c r="F114" s="146" t="n">
        <f aca="false">CHOOSE(Assumptions!$C$11,C114,D114,E114)</f>
        <v>21</v>
      </c>
      <c r="G114" s="92" t="n">
        <f aca="false">IFERROR(AVERAGEIFS(Settlements!$E$28:$AB$28,Assumptions!$E$63:$AB$63,"A"),0)</f>
        <v>21.4345634623776</v>
      </c>
      <c r="H114" s="55" t="s">
        <v>1329</v>
      </c>
    </row>
    <row r="115" customFormat="false" ht="15" hidden="false" customHeight="true" outlineLevel="0" collapsed="false">
      <c r="A115" s="28" t="s">
        <v>1330</v>
      </c>
      <c r="B115" s="55" t="s">
        <v>1233</v>
      </c>
      <c r="C115" s="107" t="n">
        <v>24</v>
      </c>
      <c r="D115" s="107" t="n">
        <v>30</v>
      </c>
      <c r="E115" s="107" t="n">
        <v>24</v>
      </c>
      <c r="F115" s="146" t="n">
        <f aca="false">CHOOSE(Assumptions!$C$11,C115,D115,E115)</f>
        <v>24</v>
      </c>
      <c r="G115" s="92" t="n">
        <f aca="false">IFERROR(AVERAGEIFS(Settlements!$E$39:$AB$39,Assumptions!$E$63:$AB$63,"A"),0)</f>
        <v>24.5746596231302</v>
      </c>
    </row>
    <row r="116" customFormat="false" ht="15" hidden="false" customHeight="true" outlineLevel="0" collapsed="false">
      <c r="A116" s="28" t="s">
        <v>1331</v>
      </c>
      <c r="B116" s="55" t="s">
        <v>1233</v>
      </c>
      <c r="C116" s="107" t="n">
        <v>75</v>
      </c>
      <c r="D116" s="107" t="n">
        <v>65</v>
      </c>
      <c r="E116" s="107" t="n">
        <v>80</v>
      </c>
      <c r="F116" s="146" t="n">
        <f aca="false">CHOOSE(Assumptions!$C$11,C116,D116,E116)</f>
        <v>75</v>
      </c>
      <c r="H116" s="55" t="s">
        <v>1332</v>
      </c>
    </row>
    <row r="117" customFormat="false" ht="15" hidden="false" customHeight="true" outlineLevel="0" collapsed="false">
      <c r="A117" s="28" t="s">
        <v>1333</v>
      </c>
      <c r="B117" s="55" t="s">
        <v>1248</v>
      </c>
      <c r="C117" s="144" t="n">
        <v>1</v>
      </c>
      <c r="D117" s="144" t="n">
        <v>0.9</v>
      </c>
      <c r="E117" s="144" t="n">
        <v>1.05</v>
      </c>
      <c r="F117" s="114" t="n">
        <f aca="false">CHOOSE(Assumptions!$C$11,C117,D117,E117)</f>
        <v>1</v>
      </c>
    </row>
    <row r="118" customFormat="false" ht="15" hidden="false" customHeight="true" outlineLevel="0" collapsed="false">
      <c r="A118" s="28" t="s">
        <v>1334</v>
      </c>
      <c r="B118" s="55" t="s">
        <v>1335</v>
      </c>
      <c r="C118" s="107" t="n">
        <v>1</v>
      </c>
      <c r="D118" s="107" t="n">
        <v>0</v>
      </c>
      <c r="E118" s="107" t="n">
        <v>1</v>
      </c>
      <c r="F118" s="146" t="n">
        <f aca="false">CHOOSE(Assumptions!$C$11,C118,D118,E118)</f>
        <v>1</v>
      </c>
    </row>
    <row r="119" customFormat="false" ht="15" hidden="false" customHeight="true" outlineLevel="0" collapsed="false">
      <c r="A119" s="28" t="s">
        <v>1336</v>
      </c>
      <c r="B119" s="55" t="s">
        <v>1209</v>
      </c>
      <c r="C119" s="147" t="n">
        <v>1.1</v>
      </c>
      <c r="D119" s="147" t="n">
        <v>1.16</v>
      </c>
      <c r="E119" s="147" t="n">
        <v>1.06</v>
      </c>
      <c r="F119" s="148" t="n">
        <f aca="false">CHOOSE(Assumptions!$C$11,C119,D119,E119)</f>
        <v>1.1</v>
      </c>
      <c r="H119" s="55" t="s">
        <v>1337</v>
      </c>
    </row>
  </sheetData>
  <dataValidations count="1">
    <dataValidation allowBlank="false" errorStyle="stop" operator="between" showDropDown="false" showErrorMessage="false" showInputMessage="false" sqref="C11" type="list">
      <formula1>"1,2,3"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139"/>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28"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1338</v>
      </c>
    </row>
    <row r="3" customFormat="false" ht="15" hidden="false" customHeight="true" outlineLevel="0" collapsed="false">
      <c r="A3" s="25" t="s">
        <v>1339</v>
      </c>
    </row>
    <row r="4" customFormat="false" ht="15" hidden="false" customHeight="true" outlineLevel="0" collapsed="false">
      <c r="A4" s="26" t="s">
        <v>257</v>
      </c>
      <c r="B4" s="26" t="s">
        <v>258</v>
      </c>
      <c r="C4" s="27" t="s">
        <v>259</v>
      </c>
      <c r="D4" s="27" t="s">
        <v>260</v>
      </c>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c r="Q4" s="49" t="n">
        <f aca="false">Assumptions!Q$61</f>
        <v>46418</v>
      </c>
      <c r="R4" s="49" t="n">
        <f aca="false">Assumptions!R$61</f>
        <v>46446</v>
      </c>
      <c r="S4" s="49" t="n">
        <f aca="false">Assumptions!S$61</f>
        <v>46477</v>
      </c>
      <c r="T4" s="49" t="n">
        <f aca="false">Assumptions!T$61</f>
        <v>46507</v>
      </c>
      <c r="U4" s="49" t="n">
        <f aca="false">Assumptions!U$61</f>
        <v>46538</v>
      </c>
      <c r="V4" s="49" t="n">
        <f aca="false">Assumptions!V$61</f>
        <v>46568</v>
      </c>
      <c r="W4" s="49" t="n">
        <f aca="false">Assumptions!W$61</f>
        <v>46599</v>
      </c>
      <c r="X4" s="49" t="n">
        <f aca="false">Assumptions!X$61</f>
        <v>46630</v>
      </c>
      <c r="Y4" s="49" t="n">
        <f aca="false">Assumptions!Y$61</f>
        <v>46660</v>
      </c>
      <c r="Z4" s="49" t="n">
        <f aca="false">Assumptions!Z$61</f>
        <v>46691</v>
      </c>
      <c r="AA4" s="49" t="n">
        <f aca="false">Assumptions!AA$61</f>
        <v>46721</v>
      </c>
      <c r="AB4" s="49" t="n">
        <f aca="false">Assumptions!AB$61</f>
        <v>46752</v>
      </c>
    </row>
    <row r="5" customFormat="false" ht="15" hidden="false" customHeight="true" outlineLevel="0" collapsed="false">
      <c r="A5" s="50" t="s">
        <v>261</v>
      </c>
      <c r="B5" s="51"/>
      <c r="C5" s="52" t="s">
        <v>262</v>
      </c>
      <c r="D5" s="52" t="s">
        <v>263</v>
      </c>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c r="Q5" s="52" t="str">
        <f aca="false">Assumptions!Q$63</f>
        <v>F</v>
      </c>
      <c r="R5" s="52" t="str">
        <f aca="false">Assumptions!R$63</f>
        <v>F</v>
      </c>
      <c r="S5" s="52" t="str">
        <f aca="false">Assumptions!S$63</f>
        <v>F</v>
      </c>
      <c r="T5" s="52" t="str">
        <f aca="false">Assumptions!T$63</f>
        <v>F</v>
      </c>
      <c r="U5" s="52" t="str">
        <f aca="false">Assumptions!U$63</f>
        <v>F</v>
      </c>
      <c r="V5" s="52" t="str">
        <f aca="false">Assumptions!V$63</f>
        <v>F</v>
      </c>
      <c r="W5" s="52" t="str">
        <f aca="false">Assumptions!W$63</f>
        <v>F</v>
      </c>
      <c r="X5" s="52" t="str">
        <f aca="false">Assumptions!X$63</f>
        <v>F</v>
      </c>
      <c r="Y5" s="52" t="str">
        <f aca="false">Assumptions!Y$63</f>
        <v>F</v>
      </c>
      <c r="Z5" s="52" t="str">
        <f aca="false">Assumptions!Z$63</f>
        <v>F</v>
      </c>
      <c r="AA5" s="52" t="str">
        <f aca="false">Assumptions!AA$63</f>
        <v>F</v>
      </c>
      <c r="AB5" s="52" t="str">
        <f aca="false">Assumptions!AB$63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c r="Q6" s="54" t="n">
        <f aca="false">Assumptions!Q$62</f>
        <v>13</v>
      </c>
      <c r="R6" s="54" t="n">
        <f aca="false">Assumptions!R$62</f>
        <v>14</v>
      </c>
      <c r="S6" s="54" t="n">
        <f aca="false">Assumptions!S$62</f>
        <v>15</v>
      </c>
      <c r="T6" s="54" t="n">
        <f aca="false">Assumptions!T$62</f>
        <v>16</v>
      </c>
      <c r="U6" s="54" t="n">
        <f aca="false">Assumptions!U$62</f>
        <v>17</v>
      </c>
      <c r="V6" s="54" t="n">
        <f aca="false">Assumptions!V$62</f>
        <v>18</v>
      </c>
      <c r="W6" s="54" t="n">
        <f aca="false">Assumptions!W$62</f>
        <v>19</v>
      </c>
      <c r="X6" s="54" t="n">
        <f aca="false">Assumptions!X$62</f>
        <v>20</v>
      </c>
      <c r="Y6" s="54" t="n">
        <f aca="false">Assumptions!Y$62</f>
        <v>21</v>
      </c>
      <c r="Z6" s="54" t="n">
        <f aca="false">Assumptions!Z$62</f>
        <v>22</v>
      </c>
      <c r="AA6" s="54" t="n">
        <f aca="false">Assumptions!AA$62</f>
        <v>23</v>
      </c>
      <c r="AB6" s="54" t="n">
        <f aca="false">Assumptions!AB$62</f>
        <v>24</v>
      </c>
    </row>
    <row r="8" customFormat="false" ht="15" hidden="false" customHeight="true" outlineLevel="0" collapsed="false">
      <c r="A8" s="22" t="s">
        <v>1340</v>
      </c>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customFormat="false" ht="15" hidden="false" customHeight="true" outlineLevel="0" collapsed="false">
      <c r="A9" s="28" t="s">
        <v>457</v>
      </c>
      <c r="B9" s="55" t="s">
        <v>1341</v>
      </c>
      <c r="C9" s="56" t="n">
        <f aca="false">SUM(E9:P9)</f>
        <v>15614</v>
      </c>
      <c r="E9" s="74" t="n">
        <v>1715</v>
      </c>
      <c r="F9" s="74" t="n">
        <v>1697</v>
      </c>
      <c r="G9" s="74" t="n">
        <v>1954</v>
      </c>
      <c r="H9" s="74" t="n">
        <v>1940</v>
      </c>
      <c r="I9" s="74" t="n">
        <v>2188</v>
      </c>
      <c r="J9" s="74" t="n">
        <v>2135</v>
      </c>
      <c r="K9" s="74" t="n">
        <v>2007</v>
      </c>
      <c r="L9" s="74" t="n">
        <v>1978</v>
      </c>
    </row>
    <row r="10" customFormat="false" ht="15" hidden="false" customHeight="true" outlineLevel="0" collapsed="false">
      <c r="A10" s="28" t="s">
        <v>1342</v>
      </c>
      <c r="B10" s="55" t="s">
        <v>1341</v>
      </c>
      <c r="C10" s="56" t="n">
        <f aca="false">SUM(E10:P10)</f>
        <v>4640</v>
      </c>
      <c r="E10" s="74" t="n">
        <v>502</v>
      </c>
      <c r="F10" s="74" t="n">
        <v>520</v>
      </c>
      <c r="G10" s="74" t="n">
        <v>571</v>
      </c>
      <c r="H10" s="74" t="n">
        <v>566</v>
      </c>
      <c r="I10" s="74" t="n">
        <v>688</v>
      </c>
      <c r="J10" s="74" t="n">
        <v>636</v>
      </c>
      <c r="K10" s="74" t="n">
        <v>578</v>
      </c>
      <c r="L10" s="74" t="n">
        <v>579</v>
      </c>
    </row>
    <row r="11" customFormat="false" ht="15" hidden="false" customHeight="true" outlineLevel="0" collapsed="false">
      <c r="A11" s="28" t="s">
        <v>1343</v>
      </c>
      <c r="B11" s="55" t="s">
        <v>1341</v>
      </c>
      <c r="C11" s="56" t="n">
        <f aca="false">SUM(E11:P11)</f>
        <v>2976</v>
      </c>
      <c r="E11" s="74" t="n">
        <v>346</v>
      </c>
      <c r="F11" s="74" t="n">
        <v>316</v>
      </c>
      <c r="G11" s="74" t="n">
        <v>369</v>
      </c>
      <c r="H11" s="74" t="n">
        <v>379</v>
      </c>
      <c r="I11" s="74" t="n">
        <v>395</v>
      </c>
      <c r="J11" s="74" t="n">
        <v>414</v>
      </c>
      <c r="K11" s="74" t="n">
        <v>369</v>
      </c>
      <c r="L11" s="74" t="n">
        <v>388</v>
      </c>
    </row>
    <row r="12" customFormat="false" ht="15" hidden="false" customHeight="true" outlineLevel="0" collapsed="false">
      <c r="A12" s="28" t="s">
        <v>1344</v>
      </c>
      <c r="B12" s="55" t="s">
        <v>1341</v>
      </c>
      <c r="C12" s="56" t="n">
        <f aca="false">SUM(E12:P12)</f>
        <v>5781</v>
      </c>
      <c r="E12" s="74" t="n">
        <v>630</v>
      </c>
      <c r="F12" s="74" t="n">
        <v>623</v>
      </c>
      <c r="G12" s="74" t="n">
        <v>751</v>
      </c>
      <c r="H12" s="74" t="n">
        <v>751</v>
      </c>
      <c r="I12" s="74" t="n">
        <v>795</v>
      </c>
      <c r="J12" s="74" t="n">
        <v>754</v>
      </c>
      <c r="K12" s="74" t="n">
        <v>744</v>
      </c>
      <c r="L12" s="74" t="n">
        <v>733</v>
      </c>
    </row>
    <row r="13" customFormat="false" ht="15" hidden="false" customHeight="true" outlineLevel="0" collapsed="false">
      <c r="A13" s="28" t="s">
        <v>1345</v>
      </c>
      <c r="B13" s="55" t="s">
        <v>1341</v>
      </c>
      <c r="C13" s="56" t="n">
        <f aca="false">SUM(E13:P13)</f>
        <v>4093</v>
      </c>
      <c r="E13" s="74" t="n">
        <v>449</v>
      </c>
      <c r="F13" s="74" t="n">
        <v>448</v>
      </c>
      <c r="G13" s="74" t="n">
        <v>526</v>
      </c>
      <c r="H13" s="74" t="n">
        <v>483</v>
      </c>
      <c r="I13" s="74" t="n">
        <v>583</v>
      </c>
      <c r="J13" s="74" t="n">
        <v>548</v>
      </c>
      <c r="K13" s="74" t="n">
        <v>521</v>
      </c>
      <c r="L13" s="74" t="n">
        <v>535</v>
      </c>
    </row>
    <row r="14" customFormat="false" ht="15" hidden="false" customHeight="true" outlineLevel="0" collapsed="false">
      <c r="A14" s="28" t="s">
        <v>1346</v>
      </c>
      <c r="B14" s="55" t="s">
        <v>1341</v>
      </c>
      <c r="C14" s="56" t="n">
        <f aca="false">SUM(E14:P14)</f>
        <v>3431</v>
      </c>
      <c r="E14" s="74" t="n">
        <v>369</v>
      </c>
      <c r="F14" s="74" t="n">
        <v>363</v>
      </c>
      <c r="G14" s="74" t="n">
        <v>432</v>
      </c>
      <c r="H14" s="74" t="n">
        <v>451</v>
      </c>
      <c r="I14" s="74" t="n">
        <v>468</v>
      </c>
      <c r="J14" s="74" t="n">
        <v>469</v>
      </c>
      <c r="K14" s="74" t="n">
        <v>447</v>
      </c>
      <c r="L14" s="74" t="n">
        <v>432</v>
      </c>
    </row>
    <row r="15" customFormat="false" ht="15" hidden="false" customHeight="true" outlineLevel="0" collapsed="false">
      <c r="A15" s="70" t="s">
        <v>1347</v>
      </c>
      <c r="B15" s="71" t="s">
        <v>1348</v>
      </c>
      <c r="C15" s="72" t="n">
        <f aca="false">SUM(E15:P15)</f>
        <v>20921</v>
      </c>
      <c r="D15" s="149"/>
      <c r="E15" s="72" t="n">
        <f aca="false">SUM(E10:E14)</f>
        <v>2296</v>
      </c>
      <c r="F15" s="72" t="n">
        <f aca="false">SUM(F10:F14)</f>
        <v>2270</v>
      </c>
      <c r="G15" s="72" t="n">
        <f aca="false">SUM(G10:G14)</f>
        <v>2649</v>
      </c>
      <c r="H15" s="72" t="n">
        <f aca="false">SUM(H10:H14)</f>
        <v>2630</v>
      </c>
      <c r="I15" s="72" t="n">
        <f aca="false">SUM(I10:I14)</f>
        <v>2929</v>
      </c>
      <c r="J15" s="72" t="n">
        <f aca="false">SUM(J10:J14)</f>
        <v>2821</v>
      </c>
      <c r="K15" s="72" t="n">
        <f aca="false">SUM(K10:K14)</f>
        <v>2659</v>
      </c>
      <c r="L15" s="72" t="n">
        <f aca="false">SUM(L10:L14)</f>
        <v>2667</v>
      </c>
      <c r="M15" s="149"/>
      <c r="N15" s="149"/>
      <c r="O15" s="149"/>
      <c r="P15" s="149"/>
      <c r="Q15" s="149"/>
      <c r="R15" s="149"/>
      <c r="S15" s="149"/>
      <c r="T15" s="149"/>
      <c r="U15" s="149"/>
      <c r="V15" s="149"/>
      <c r="W15" s="149"/>
      <c r="X15" s="149"/>
      <c r="Y15" s="149"/>
      <c r="Z15" s="149"/>
      <c r="AA15" s="149"/>
      <c r="AB15" s="149"/>
    </row>
    <row r="16" customFormat="false" ht="15" hidden="false" customHeight="true" outlineLevel="0" collapsed="false">
      <c r="A16" s="28" t="s">
        <v>458</v>
      </c>
      <c r="B16" s="55" t="s">
        <v>1341</v>
      </c>
      <c r="C16" s="56" t="n">
        <f aca="false">SUM(E16:P16)</f>
        <v>18746</v>
      </c>
      <c r="E16" s="74" t="n">
        <v>2273</v>
      </c>
      <c r="F16" s="74" t="n">
        <v>1962</v>
      </c>
      <c r="G16" s="74" t="n">
        <v>2308</v>
      </c>
      <c r="H16" s="74" t="n">
        <v>2509</v>
      </c>
      <c r="I16" s="74" t="n">
        <v>2690</v>
      </c>
      <c r="J16" s="74" t="n">
        <v>2489</v>
      </c>
      <c r="K16" s="74" t="n">
        <v>2287</v>
      </c>
      <c r="L16" s="74" t="n">
        <v>2228</v>
      </c>
    </row>
    <row r="17" customFormat="false" ht="15" hidden="false" customHeight="true" outlineLevel="0" collapsed="false">
      <c r="A17" s="28" t="s">
        <v>1349</v>
      </c>
      <c r="B17" s="55" t="s">
        <v>1341</v>
      </c>
      <c r="C17" s="56" t="n">
        <f aca="false">SUM(E17:P17)</f>
        <v>3837</v>
      </c>
      <c r="E17" s="74" t="n">
        <v>470</v>
      </c>
      <c r="F17" s="74" t="n">
        <v>405</v>
      </c>
      <c r="G17" s="74" t="n">
        <v>495</v>
      </c>
      <c r="H17" s="74" t="n">
        <v>505</v>
      </c>
      <c r="I17" s="74" t="n">
        <v>550</v>
      </c>
      <c r="J17" s="74" t="n">
        <v>537</v>
      </c>
      <c r="K17" s="74" t="n">
        <v>441</v>
      </c>
      <c r="L17" s="74" t="n">
        <v>434</v>
      </c>
    </row>
    <row r="18" customFormat="false" ht="15" hidden="false" customHeight="true" outlineLevel="0" collapsed="false">
      <c r="A18" s="28" t="s">
        <v>1350</v>
      </c>
      <c r="B18" s="55" t="s">
        <v>1341</v>
      </c>
      <c r="C18" s="56" t="n">
        <f aca="false">SUM(E18:P18)</f>
        <v>4307</v>
      </c>
      <c r="E18" s="74" t="n">
        <v>515</v>
      </c>
      <c r="F18" s="74" t="n">
        <v>451</v>
      </c>
      <c r="G18" s="74" t="n">
        <v>506</v>
      </c>
      <c r="H18" s="74" t="n">
        <v>590</v>
      </c>
      <c r="I18" s="74" t="n">
        <v>636</v>
      </c>
      <c r="J18" s="74" t="n">
        <v>580</v>
      </c>
      <c r="K18" s="74" t="n">
        <v>526</v>
      </c>
      <c r="L18" s="74" t="n">
        <v>503</v>
      </c>
    </row>
    <row r="19" customFormat="false" ht="15" hidden="false" customHeight="true" outlineLevel="0" collapsed="false">
      <c r="A19" s="28" t="s">
        <v>1351</v>
      </c>
      <c r="B19" s="55" t="s">
        <v>1341</v>
      </c>
      <c r="C19" s="56" t="n">
        <f aca="false">SUM(E19:P19)</f>
        <v>4724</v>
      </c>
      <c r="E19" s="74" t="n">
        <v>574</v>
      </c>
      <c r="F19" s="74" t="n">
        <v>489</v>
      </c>
      <c r="G19" s="74" t="n">
        <v>600</v>
      </c>
      <c r="H19" s="74" t="n">
        <v>662</v>
      </c>
      <c r="I19" s="74" t="n">
        <v>690</v>
      </c>
      <c r="J19" s="74" t="n">
        <v>571</v>
      </c>
      <c r="K19" s="74" t="n">
        <v>554</v>
      </c>
      <c r="L19" s="74" t="n">
        <v>584</v>
      </c>
    </row>
    <row r="20" customFormat="false" ht="15" hidden="false" customHeight="true" outlineLevel="0" collapsed="false">
      <c r="A20" s="28" t="s">
        <v>1352</v>
      </c>
      <c r="B20" s="55" t="s">
        <v>1341</v>
      </c>
      <c r="C20" s="56" t="n">
        <f aca="false">SUM(E20:P20)</f>
        <v>5218</v>
      </c>
      <c r="E20" s="74" t="n">
        <v>614</v>
      </c>
      <c r="F20" s="74" t="n">
        <v>542</v>
      </c>
      <c r="G20" s="74" t="n">
        <v>618</v>
      </c>
      <c r="H20" s="74" t="n">
        <v>685</v>
      </c>
      <c r="I20" s="74" t="n">
        <v>761</v>
      </c>
      <c r="J20" s="74" t="n">
        <v>685</v>
      </c>
      <c r="K20" s="74" t="n">
        <v>679</v>
      </c>
      <c r="L20" s="74" t="n">
        <v>634</v>
      </c>
    </row>
    <row r="21" customFormat="false" ht="15" hidden="false" customHeight="true" outlineLevel="0" collapsed="false">
      <c r="A21" s="28" t="s">
        <v>1353</v>
      </c>
      <c r="B21" s="55" t="s">
        <v>1341</v>
      </c>
      <c r="C21" s="56" t="n">
        <f aca="false">SUM(E21:P21)</f>
        <v>3474</v>
      </c>
      <c r="E21" s="74" t="n">
        <v>444</v>
      </c>
      <c r="F21" s="74" t="n">
        <v>369</v>
      </c>
      <c r="G21" s="74" t="n">
        <v>432</v>
      </c>
      <c r="H21" s="74" t="n">
        <v>434</v>
      </c>
      <c r="I21" s="74" t="n">
        <v>489</v>
      </c>
      <c r="J21" s="74" t="n">
        <v>485</v>
      </c>
      <c r="K21" s="74" t="n">
        <v>403</v>
      </c>
      <c r="L21" s="74" t="n">
        <v>418</v>
      </c>
    </row>
    <row r="22" customFormat="false" ht="15" hidden="false" customHeight="true" outlineLevel="0" collapsed="false">
      <c r="A22" s="70" t="s">
        <v>1354</v>
      </c>
      <c r="B22" s="71" t="s">
        <v>1348</v>
      </c>
      <c r="C22" s="72" t="n">
        <f aca="false">SUM(E22:P22)</f>
        <v>21560</v>
      </c>
      <c r="D22" s="149"/>
      <c r="E22" s="72" t="n">
        <f aca="false">SUM(E17:E21)</f>
        <v>2617</v>
      </c>
      <c r="F22" s="72" t="n">
        <f aca="false">SUM(F17:F21)</f>
        <v>2256</v>
      </c>
      <c r="G22" s="72" t="n">
        <f aca="false">SUM(G17:G21)</f>
        <v>2651</v>
      </c>
      <c r="H22" s="72" t="n">
        <f aca="false">SUM(H17:H21)</f>
        <v>2876</v>
      </c>
      <c r="I22" s="72" t="n">
        <f aca="false">SUM(I17:I21)</f>
        <v>3126</v>
      </c>
      <c r="J22" s="72" t="n">
        <f aca="false">SUM(J17:J21)</f>
        <v>2858</v>
      </c>
      <c r="K22" s="72" t="n">
        <f aca="false">SUM(K17:K21)</f>
        <v>2603</v>
      </c>
      <c r="L22" s="72" t="n">
        <f aca="false">SUM(L17:L21)</f>
        <v>2573</v>
      </c>
      <c r="M22" s="149"/>
      <c r="N22" s="149"/>
      <c r="O22" s="149"/>
      <c r="P22" s="149"/>
      <c r="Q22" s="149"/>
      <c r="R22" s="149"/>
      <c r="S22" s="149"/>
      <c r="T22" s="149"/>
      <c r="U22" s="149"/>
      <c r="V22" s="149"/>
      <c r="W22" s="149"/>
      <c r="X22" s="149"/>
      <c r="Y22" s="149"/>
      <c r="Z22" s="149"/>
      <c r="AA22" s="149"/>
      <c r="AB22" s="149"/>
    </row>
    <row r="23" customFormat="false" ht="15" hidden="false" customHeight="true" outlineLevel="0" collapsed="false">
      <c r="A23" s="28" t="s">
        <v>459</v>
      </c>
      <c r="B23" s="55" t="s">
        <v>1341</v>
      </c>
      <c r="C23" s="56" t="n">
        <f aca="false">SUM(E23:P23)</f>
        <v>3488</v>
      </c>
      <c r="E23" s="74" t="n">
        <v>202</v>
      </c>
      <c r="F23" s="74" t="n">
        <v>233</v>
      </c>
      <c r="G23" s="74" t="n">
        <v>319</v>
      </c>
      <c r="H23" s="74" t="n">
        <v>411</v>
      </c>
      <c r="I23" s="74" t="n">
        <v>472</v>
      </c>
      <c r="J23" s="74" t="n">
        <v>560</v>
      </c>
      <c r="K23" s="74" t="n">
        <v>584</v>
      </c>
      <c r="L23" s="74" t="n">
        <v>707</v>
      </c>
    </row>
    <row r="24" customFormat="false" ht="15" hidden="false" customHeight="true" outlineLevel="0" collapsed="false">
      <c r="A24" s="28" t="s">
        <v>1355</v>
      </c>
      <c r="B24" s="55" t="s">
        <v>1341</v>
      </c>
      <c r="C24" s="56" t="n">
        <f aca="false">SUM(E24:P24)</f>
        <v>1081</v>
      </c>
      <c r="E24" s="74" t="n">
        <v>61</v>
      </c>
      <c r="F24" s="74" t="n">
        <v>67</v>
      </c>
      <c r="G24" s="74" t="n">
        <v>102</v>
      </c>
      <c r="H24" s="74" t="n">
        <v>126</v>
      </c>
      <c r="I24" s="74" t="n">
        <v>153</v>
      </c>
      <c r="J24" s="74" t="n">
        <v>180</v>
      </c>
      <c r="K24" s="74" t="n">
        <v>170</v>
      </c>
      <c r="L24" s="74" t="n">
        <v>222</v>
      </c>
    </row>
    <row r="25" customFormat="false" ht="15" hidden="false" customHeight="true" outlineLevel="0" collapsed="false">
      <c r="A25" s="28" t="s">
        <v>1356</v>
      </c>
      <c r="B25" s="55" t="s">
        <v>1341</v>
      </c>
      <c r="C25" s="56" t="n">
        <f aca="false">SUM(E25:P25)</f>
        <v>629</v>
      </c>
      <c r="E25" s="74" t="n">
        <v>35</v>
      </c>
      <c r="F25" s="74" t="n">
        <v>38</v>
      </c>
      <c r="G25" s="74" t="n">
        <v>60</v>
      </c>
      <c r="H25" s="74" t="n">
        <v>77</v>
      </c>
      <c r="I25" s="74" t="n">
        <v>83</v>
      </c>
      <c r="J25" s="74" t="n">
        <v>101</v>
      </c>
      <c r="K25" s="74" t="n">
        <v>105</v>
      </c>
      <c r="L25" s="74" t="n">
        <v>130</v>
      </c>
    </row>
    <row r="26" customFormat="false" ht="15" hidden="false" customHeight="true" outlineLevel="0" collapsed="false">
      <c r="A26" s="28" t="s">
        <v>1357</v>
      </c>
      <c r="B26" s="55" t="s">
        <v>1341</v>
      </c>
      <c r="C26" s="56" t="n">
        <f aca="false">SUM(E26:P26)</f>
        <v>844</v>
      </c>
      <c r="E26" s="74" t="n">
        <v>49</v>
      </c>
      <c r="F26" s="74" t="n">
        <v>59</v>
      </c>
      <c r="G26" s="74" t="n">
        <v>76</v>
      </c>
      <c r="H26" s="74" t="n">
        <v>98</v>
      </c>
      <c r="I26" s="74" t="n">
        <v>120</v>
      </c>
      <c r="J26" s="74" t="n">
        <v>133</v>
      </c>
      <c r="K26" s="74" t="n">
        <v>145</v>
      </c>
      <c r="L26" s="74" t="n">
        <v>164</v>
      </c>
    </row>
    <row r="27" customFormat="false" ht="15" hidden="false" customHeight="true" outlineLevel="0" collapsed="false">
      <c r="A27" s="28" t="s">
        <v>1358</v>
      </c>
      <c r="B27" s="55" t="s">
        <v>1341</v>
      </c>
      <c r="C27" s="56" t="n">
        <f aca="false">SUM(E27:P27)</f>
        <v>1038</v>
      </c>
      <c r="E27" s="74" t="n">
        <v>63</v>
      </c>
      <c r="F27" s="74" t="n">
        <v>72</v>
      </c>
      <c r="G27" s="74" t="n">
        <v>92</v>
      </c>
      <c r="H27" s="74" t="n">
        <v>121</v>
      </c>
      <c r="I27" s="74" t="n">
        <v>130</v>
      </c>
      <c r="J27" s="74" t="n">
        <v>170</v>
      </c>
      <c r="K27" s="74" t="n">
        <v>177</v>
      </c>
      <c r="L27" s="74" t="n">
        <v>213</v>
      </c>
    </row>
    <row r="28" customFormat="false" ht="15" hidden="false" customHeight="true" outlineLevel="0" collapsed="false">
      <c r="A28" s="28" t="s">
        <v>1359</v>
      </c>
      <c r="B28" s="55" t="s">
        <v>1341</v>
      </c>
      <c r="C28" s="56" t="n">
        <f aca="false">SUM(E28:P28)</f>
        <v>621</v>
      </c>
      <c r="E28" s="74" t="n">
        <v>35</v>
      </c>
      <c r="F28" s="74" t="n">
        <v>42</v>
      </c>
      <c r="G28" s="74" t="n">
        <v>55</v>
      </c>
      <c r="H28" s="74" t="n">
        <v>73</v>
      </c>
      <c r="I28" s="74" t="n">
        <v>78</v>
      </c>
      <c r="J28" s="74" t="n">
        <v>99</v>
      </c>
      <c r="K28" s="74" t="n">
        <v>112</v>
      </c>
      <c r="L28" s="74" t="n">
        <v>127</v>
      </c>
    </row>
    <row r="29" customFormat="false" ht="15" hidden="false" customHeight="true" outlineLevel="0" collapsed="false">
      <c r="A29" s="70" t="s">
        <v>1360</v>
      </c>
      <c r="B29" s="71" t="s">
        <v>1348</v>
      </c>
      <c r="C29" s="72" t="n">
        <f aca="false">SUM(E29:P29)</f>
        <v>4213</v>
      </c>
      <c r="D29" s="149"/>
      <c r="E29" s="72" t="n">
        <f aca="false">SUM(E24:E28)</f>
        <v>243</v>
      </c>
      <c r="F29" s="72" t="n">
        <f aca="false">SUM(F24:F28)</f>
        <v>278</v>
      </c>
      <c r="G29" s="72" t="n">
        <f aca="false">SUM(G24:G28)</f>
        <v>385</v>
      </c>
      <c r="H29" s="72" t="n">
        <f aca="false">SUM(H24:H28)</f>
        <v>495</v>
      </c>
      <c r="I29" s="72" t="n">
        <f aca="false">SUM(I24:I28)</f>
        <v>564</v>
      </c>
      <c r="J29" s="72" t="n">
        <f aca="false">SUM(J24:J28)</f>
        <v>683</v>
      </c>
      <c r="K29" s="72" t="n">
        <f aca="false">SUM(K24:K28)</f>
        <v>709</v>
      </c>
      <c r="L29" s="72" t="n">
        <f aca="false">SUM(L24:L28)</f>
        <v>856</v>
      </c>
      <c r="M29" s="149"/>
      <c r="N29" s="149"/>
      <c r="O29" s="149"/>
      <c r="P29" s="149"/>
      <c r="Q29" s="149"/>
      <c r="R29" s="149"/>
      <c r="S29" s="149"/>
      <c r="T29" s="149"/>
      <c r="U29" s="149"/>
      <c r="V29" s="149"/>
      <c r="W29" s="149"/>
      <c r="X29" s="149"/>
      <c r="Y29" s="149"/>
      <c r="Z29" s="149"/>
      <c r="AA29" s="149"/>
      <c r="AB29" s="149"/>
    </row>
    <row r="30" customFormat="false" ht="15" hidden="false" customHeight="true" outlineLevel="0" collapsed="false">
      <c r="A30" s="28" t="s">
        <v>1361</v>
      </c>
      <c r="B30" s="55" t="s">
        <v>1362</v>
      </c>
      <c r="C30" s="56" t="n">
        <f aca="false">SUM(E30:P30)</f>
        <v>9217</v>
      </c>
      <c r="E30" s="74" t="n">
        <v>1027</v>
      </c>
      <c r="F30" s="74" t="n">
        <v>1008</v>
      </c>
      <c r="G30" s="74" t="n">
        <v>1156</v>
      </c>
      <c r="H30" s="74" t="n">
        <v>1102</v>
      </c>
      <c r="I30" s="74" t="n">
        <v>1332</v>
      </c>
      <c r="J30" s="74" t="n">
        <v>1325</v>
      </c>
      <c r="K30" s="74" t="n">
        <v>1140</v>
      </c>
      <c r="L30" s="74" t="n">
        <v>1127</v>
      </c>
    </row>
    <row r="31" customFormat="false" ht="15" hidden="false" customHeight="true" outlineLevel="0" collapsed="false">
      <c r="A31" s="22" t="s">
        <v>1363</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row>
    <row r="32" customFormat="false" ht="15" hidden="false" customHeight="true" outlineLevel="0" collapsed="false">
      <c r="A32" s="28" t="s">
        <v>1364</v>
      </c>
      <c r="B32" s="55" t="s">
        <v>1341</v>
      </c>
      <c r="C32" s="61" t="n">
        <f aca="false">AVERAGE(E32:P32)</f>
        <v>118.07875</v>
      </c>
      <c r="E32" s="134" t="n">
        <v>118.53</v>
      </c>
      <c r="F32" s="134" t="n">
        <v>119.7</v>
      </c>
      <c r="G32" s="134" t="n">
        <v>116.56</v>
      </c>
      <c r="H32" s="134" t="n">
        <v>119.15</v>
      </c>
      <c r="I32" s="134" t="n">
        <v>118.83</v>
      </c>
      <c r="J32" s="134" t="n">
        <v>114.96</v>
      </c>
      <c r="K32" s="134" t="n">
        <v>116.58</v>
      </c>
      <c r="L32" s="134" t="n">
        <v>120.32</v>
      </c>
    </row>
    <row r="33" customFormat="false" ht="15" hidden="false" customHeight="true" outlineLevel="0" collapsed="false">
      <c r="A33" s="28" t="s">
        <v>1365</v>
      </c>
      <c r="B33" s="55" t="s">
        <v>1341</v>
      </c>
      <c r="C33" s="61" t="n">
        <f aca="false">AVERAGE(E33:P33)</f>
        <v>72.01875</v>
      </c>
      <c r="E33" s="134" t="n">
        <v>71.3</v>
      </c>
      <c r="F33" s="134" t="n">
        <v>71.43</v>
      </c>
      <c r="G33" s="134" t="n">
        <v>72.25</v>
      </c>
      <c r="H33" s="134" t="n">
        <v>71.68</v>
      </c>
      <c r="I33" s="134" t="n">
        <v>73.46</v>
      </c>
      <c r="J33" s="134" t="n">
        <v>71.4</v>
      </c>
      <c r="K33" s="134" t="n">
        <v>71.53</v>
      </c>
      <c r="L33" s="134" t="n">
        <v>73.1</v>
      </c>
    </row>
    <row r="34" customFormat="false" ht="15" hidden="false" customHeight="true" outlineLevel="0" collapsed="false">
      <c r="A34" s="28" t="s">
        <v>1366</v>
      </c>
      <c r="B34" s="55" t="s">
        <v>1341</v>
      </c>
      <c r="C34" s="61" t="n">
        <f aca="false">AVERAGE(E34:P34)</f>
        <v>46.2275</v>
      </c>
      <c r="E34" s="134" t="n">
        <v>45.84</v>
      </c>
      <c r="F34" s="134" t="n">
        <v>46.37</v>
      </c>
      <c r="G34" s="134" t="n">
        <v>46.55</v>
      </c>
      <c r="H34" s="134" t="n">
        <v>45.86</v>
      </c>
      <c r="I34" s="134" t="n">
        <v>46.29</v>
      </c>
      <c r="J34" s="134" t="n">
        <v>46.3</v>
      </c>
      <c r="K34" s="134" t="n">
        <v>47.13</v>
      </c>
      <c r="L34" s="134" t="n">
        <v>45.48</v>
      </c>
    </row>
    <row r="35" customFormat="false" ht="15" hidden="false" customHeight="true" outlineLevel="0" collapsed="false">
      <c r="A35" s="28" t="s">
        <v>1367</v>
      </c>
      <c r="B35" s="55" t="s">
        <v>1341</v>
      </c>
      <c r="C35" s="61" t="n">
        <f aca="false">AVERAGE(E35:P35)</f>
        <v>37.7875</v>
      </c>
      <c r="E35" s="134" t="n">
        <v>37.58</v>
      </c>
      <c r="F35" s="134" t="n">
        <v>38.06</v>
      </c>
      <c r="G35" s="134" t="n">
        <v>37.9</v>
      </c>
      <c r="H35" s="134" t="n">
        <v>38.44</v>
      </c>
      <c r="I35" s="134" t="n">
        <v>36.97</v>
      </c>
      <c r="J35" s="134" t="n">
        <v>37.49</v>
      </c>
      <c r="K35" s="134" t="n">
        <v>38.03</v>
      </c>
      <c r="L35" s="134" t="n">
        <v>37.83</v>
      </c>
    </row>
    <row r="36" customFormat="false" ht="15" hidden="false" customHeight="true" outlineLevel="0" collapsed="false">
      <c r="A36" s="28" t="s">
        <v>1368</v>
      </c>
      <c r="B36" s="55" t="s">
        <v>1341</v>
      </c>
      <c r="C36" s="61" t="n">
        <f aca="false">AVERAGE(E36:P36)</f>
        <v>29.13125</v>
      </c>
      <c r="E36" s="134" t="n">
        <v>29.08</v>
      </c>
      <c r="F36" s="134" t="n">
        <v>29.37</v>
      </c>
      <c r="G36" s="134" t="n">
        <v>29.16</v>
      </c>
      <c r="H36" s="134" t="n">
        <v>29.38</v>
      </c>
      <c r="I36" s="134" t="n">
        <v>28.63</v>
      </c>
      <c r="J36" s="134" t="n">
        <v>28.73</v>
      </c>
      <c r="K36" s="134" t="n">
        <v>29.41</v>
      </c>
      <c r="L36" s="134" t="n">
        <v>29.29</v>
      </c>
    </row>
    <row r="37" customFormat="false" ht="15" hidden="false" customHeight="true" outlineLevel="0" collapsed="false">
      <c r="A37" s="28" t="s">
        <v>1369</v>
      </c>
      <c r="B37" s="55" t="s">
        <v>1341</v>
      </c>
      <c r="C37" s="61" t="n">
        <f aca="false">AVERAGE(E37:P37)</f>
        <v>109.23125</v>
      </c>
      <c r="E37" s="134" t="n">
        <v>108.02</v>
      </c>
      <c r="F37" s="134" t="n">
        <v>110.39</v>
      </c>
      <c r="G37" s="134" t="n">
        <v>109.04</v>
      </c>
      <c r="H37" s="134" t="n">
        <v>108.35</v>
      </c>
      <c r="I37" s="134" t="n">
        <v>111.4</v>
      </c>
      <c r="J37" s="134" t="n">
        <v>109.46</v>
      </c>
      <c r="K37" s="134" t="n">
        <v>108.06</v>
      </c>
      <c r="L37" s="134" t="n">
        <v>109.13</v>
      </c>
    </row>
    <row r="38" customFormat="false" ht="15" hidden="false" customHeight="true" outlineLevel="0" collapsed="false">
      <c r="A38" s="28" t="s">
        <v>1370</v>
      </c>
      <c r="B38" s="55" t="s">
        <v>1341</v>
      </c>
      <c r="C38" s="61" t="n">
        <f aca="false">AVERAGE(E38:P38)</f>
        <v>65.74875</v>
      </c>
      <c r="E38" s="134" t="n">
        <v>65.67</v>
      </c>
      <c r="F38" s="134" t="n">
        <v>65.86</v>
      </c>
      <c r="G38" s="134" t="n">
        <v>65.27</v>
      </c>
      <c r="H38" s="134" t="n">
        <v>65.58</v>
      </c>
      <c r="I38" s="134" t="n">
        <v>65.69</v>
      </c>
      <c r="J38" s="134" t="n">
        <v>65</v>
      </c>
      <c r="K38" s="134" t="n">
        <v>66.26</v>
      </c>
      <c r="L38" s="134" t="n">
        <v>66.66</v>
      </c>
    </row>
    <row r="39" customFormat="false" ht="15" hidden="false" customHeight="true" outlineLevel="0" collapsed="false">
      <c r="A39" s="28" t="s">
        <v>1371</v>
      </c>
      <c r="B39" s="55" t="s">
        <v>1341</v>
      </c>
      <c r="C39" s="61" t="n">
        <f aca="false">AVERAGE(E39:P39)</f>
        <v>42.0075</v>
      </c>
      <c r="E39" s="134" t="n">
        <v>42.59</v>
      </c>
      <c r="F39" s="134" t="n">
        <v>41.78</v>
      </c>
      <c r="G39" s="134" t="n">
        <v>41.54</v>
      </c>
      <c r="H39" s="134" t="n">
        <v>42.23</v>
      </c>
      <c r="I39" s="134" t="n">
        <v>42.48</v>
      </c>
      <c r="J39" s="134" t="n">
        <v>42.44</v>
      </c>
      <c r="K39" s="134" t="n">
        <v>40.84</v>
      </c>
      <c r="L39" s="134" t="n">
        <v>42.16</v>
      </c>
    </row>
    <row r="40" customFormat="false" ht="15" hidden="false" customHeight="true" outlineLevel="0" collapsed="false">
      <c r="A40" s="28" t="s">
        <v>1372</v>
      </c>
      <c r="B40" s="55" t="s">
        <v>1341</v>
      </c>
      <c r="C40" s="61" t="n">
        <f aca="false">AVERAGE(E40:P40)</f>
        <v>34.8475</v>
      </c>
      <c r="E40" s="134" t="n">
        <v>35</v>
      </c>
      <c r="F40" s="134" t="n">
        <v>35.01</v>
      </c>
      <c r="G40" s="134" t="n">
        <v>34.96</v>
      </c>
      <c r="H40" s="134" t="n">
        <v>34.35</v>
      </c>
      <c r="I40" s="134" t="n">
        <v>34.62</v>
      </c>
      <c r="J40" s="134" t="n">
        <v>34.87</v>
      </c>
      <c r="K40" s="134" t="n">
        <v>34.79</v>
      </c>
      <c r="L40" s="134" t="n">
        <v>35.18</v>
      </c>
    </row>
    <row r="41" customFormat="false" ht="15" hidden="false" customHeight="true" outlineLevel="0" collapsed="false">
      <c r="A41" s="28" t="s">
        <v>1373</v>
      </c>
      <c r="B41" s="55" t="s">
        <v>1341</v>
      </c>
      <c r="C41" s="61" t="n">
        <f aca="false">AVERAGE(E41:P41)</f>
        <v>26.945</v>
      </c>
      <c r="E41" s="134" t="n">
        <v>27.34</v>
      </c>
      <c r="F41" s="134" t="n">
        <v>27.17</v>
      </c>
      <c r="G41" s="134" t="n">
        <v>27.02</v>
      </c>
      <c r="H41" s="134" t="n">
        <v>26.75</v>
      </c>
      <c r="I41" s="134" t="n">
        <v>26.78</v>
      </c>
      <c r="J41" s="134" t="n">
        <v>26.91</v>
      </c>
      <c r="K41" s="134" t="n">
        <v>27.04</v>
      </c>
      <c r="L41" s="134" t="n">
        <v>26.55</v>
      </c>
    </row>
    <row r="42" customFormat="false" ht="15" hidden="false" customHeight="true" outlineLevel="0" collapsed="false">
      <c r="A42" s="28" t="s">
        <v>1374</v>
      </c>
      <c r="B42" s="55" t="s">
        <v>1341</v>
      </c>
      <c r="C42" s="61" t="n">
        <f aca="false">AVERAGE(E42:P42)</f>
        <v>128.9525</v>
      </c>
      <c r="E42" s="134" t="n">
        <v>131.13</v>
      </c>
      <c r="F42" s="134" t="n">
        <v>126.45</v>
      </c>
      <c r="G42" s="134" t="n">
        <v>127.61</v>
      </c>
      <c r="H42" s="134" t="n">
        <v>130.37</v>
      </c>
      <c r="I42" s="134" t="n">
        <v>129.77</v>
      </c>
      <c r="J42" s="134" t="n">
        <v>130.78</v>
      </c>
      <c r="K42" s="134" t="n">
        <v>129.7</v>
      </c>
      <c r="L42" s="134" t="n">
        <v>125.81</v>
      </c>
    </row>
    <row r="43" customFormat="false" ht="15" hidden="false" customHeight="true" outlineLevel="0" collapsed="false">
      <c r="A43" s="28" t="s">
        <v>1375</v>
      </c>
      <c r="B43" s="55" t="s">
        <v>1341</v>
      </c>
      <c r="C43" s="61" t="n">
        <f aca="false">AVERAGE(E43:P43)</f>
        <v>79.26375</v>
      </c>
      <c r="E43" s="134" t="n">
        <v>79.69</v>
      </c>
      <c r="F43" s="134" t="n">
        <v>79.22</v>
      </c>
      <c r="G43" s="134" t="n">
        <v>79.01</v>
      </c>
      <c r="H43" s="134" t="n">
        <v>79.14</v>
      </c>
      <c r="I43" s="134" t="n">
        <v>79.82</v>
      </c>
      <c r="J43" s="134" t="n">
        <v>79.52</v>
      </c>
      <c r="K43" s="134" t="n">
        <v>79.73</v>
      </c>
      <c r="L43" s="134" t="n">
        <v>77.98</v>
      </c>
    </row>
    <row r="44" customFormat="false" ht="15" hidden="false" customHeight="true" outlineLevel="0" collapsed="false">
      <c r="A44" s="28" t="s">
        <v>1376</v>
      </c>
      <c r="B44" s="55" t="s">
        <v>1341</v>
      </c>
      <c r="C44" s="61" t="n">
        <f aca="false">AVERAGE(E44:P44)</f>
        <v>48.79875</v>
      </c>
      <c r="E44" s="134" t="n">
        <v>48.78</v>
      </c>
      <c r="F44" s="134" t="n">
        <v>48.68</v>
      </c>
      <c r="G44" s="134" t="n">
        <v>48.35</v>
      </c>
      <c r="H44" s="134" t="n">
        <v>49.35</v>
      </c>
      <c r="I44" s="134" t="n">
        <v>48.13</v>
      </c>
      <c r="J44" s="134" t="n">
        <v>49.46</v>
      </c>
      <c r="K44" s="134" t="n">
        <v>48.7</v>
      </c>
      <c r="L44" s="134" t="n">
        <v>48.94</v>
      </c>
    </row>
    <row r="45" customFormat="false" ht="15" hidden="false" customHeight="true" outlineLevel="0" collapsed="false">
      <c r="A45" s="28" t="s">
        <v>1377</v>
      </c>
      <c r="B45" s="55" t="s">
        <v>1341</v>
      </c>
      <c r="C45" s="61" t="n">
        <f aca="false">AVERAGE(E45:P45)</f>
        <v>42.02125</v>
      </c>
      <c r="E45" s="134" t="n">
        <v>41.75</v>
      </c>
      <c r="F45" s="134" t="n">
        <v>41.92</v>
      </c>
      <c r="G45" s="134" t="n">
        <v>41.98</v>
      </c>
      <c r="H45" s="134" t="n">
        <v>41.97</v>
      </c>
      <c r="I45" s="134" t="n">
        <v>42.67</v>
      </c>
      <c r="J45" s="134" t="n">
        <v>42.07</v>
      </c>
      <c r="K45" s="134" t="n">
        <v>41.66</v>
      </c>
      <c r="L45" s="134" t="n">
        <v>42.15</v>
      </c>
    </row>
    <row r="46" customFormat="false" ht="15" hidden="false" customHeight="true" outlineLevel="0" collapsed="false">
      <c r="A46" s="28" t="s">
        <v>1378</v>
      </c>
      <c r="B46" s="55" t="s">
        <v>1341</v>
      </c>
      <c r="C46" s="61" t="n">
        <f aca="false">AVERAGE(E46:P46)</f>
        <v>31.92</v>
      </c>
      <c r="E46" s="134" t="n">
        <v>32.14</v>
      </c>
      <c r="F46" s="134" t="n">
        <v>31.31</v>
      </c>
      <c r="G46" s="134" t="n">
        <v>32.42</v>
      </c>
      <c r="H46" s="134" t="n">
        <v>32.22</v>
      </c>
      <c r="I46" s="134" t="n">
        <v>31.87</v>
      </c>
      <c r="J46" s="134" t="n">
        <v>31.81</v>
      </c>
      <c r="K46" s="134" t="n">
        <v>31.72</v>
      </c>
      <c r="L46" s="134" t="n">
        <v>31.87</v>
      </c>
    </row>
    <row r="47" customFormat="false" ht="15" hidden="false" customHeight="true" outlineLevel="0" collapsed="false">
      <c r="A47" s="22" t="s">
        <v>1379</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row>
    <row r="48" customFormat="false" ht="15" hidden="false" customHeight="true" outlineLevel="0" collapsed="false">
      <c r="A48" s="28" t="s">
        <v>1380</v>
      </c>
      <c r="B48" s="55" t="s">
        <v>1381</v>
      </c>
      <c r="C48" s="56" t="n">
        <f aca="false">SUM(E48:P48)</f>
        <v>108331</v>
      </c>
      <c r="E48" s="74" t="n">
        <v>11197</v>
      </c>
      <c r="F48" s="74" t="n">
        <v>12487</v>
      </c>
      <c r="G48" s="74" t="n">
        <v>13854</v>
      </c>
      <c r="H48" s="74" t="n">
        <v>14295</v>
      </c>
      <c r="I48" s="74" t="n">
        <v>13958</v>
      </c>
      <c r="J48" s="74" t="n">
        <v>14197</v>
      </c>
      <c r="K48" s="74" t="n">
        <v>14759</v>
      </c>
      <c r="L48" s="74" t="n">
        <v>13584</v>
      </c>
    </row>
    <row r="49" customFormat="false" ht="15" hidden="false" customHeight="true" outlineLevel="0" collapsed="false">
      <c r="A49" s="28" t="s">
        <v>1382</v>
      </c>
      <c r="B49" s="55" t="s">
        <v>1383</v>
      </c>
      <c r="C49" s="56" t="n">
        <f aca="false">SUM(E49:P49)</f>
        <v>80065</v>
      </c>
      <c r="E49" s="74" t="n">
        <v>8595</v>
      </c>
      <c r="F49" s="74" t="n">
        <v>7412</v>
      </c>
      <c r="G49" s="74" t="n">
        <v>9280</v>
      </c>
      <c r="H49" s="74" t="n">
        <v>10168</v>
      </c>
      <c r="I49" s="74" t="n">
        <v>11576</v>
      </c>
      <c r="J49" s="74" t="n">
        <v>10932</v>
      </c>
      <c r="K49" s="74" t="n">
        <v>10534</v>
      </c>
      <c r="L49" s="74" t="n">
        <v>11568</v>
      </c>
    </row>
    <row r="50" customFormat="false" ht="15" hidden="false" customHeight="true" outlineLevel="0" collapsed="false">
      <c r="A50" s="28" t="s">
        <v>1384</v>
      </c>
      <c r="B50" s="55" t="s">
        <v>1385</v>
      </c>
      <c r="C50" s="56" t="n">
        <f aca="false">SUM(E50:P50)</f>
        <v>1290</v>
      </c>
      <c r="E50" s="74" t="n">
        <v>132</v>
      </c>
      <c r="F50" s="74" t="n">
        <v>117</v>
      </c>
      <c r="G50" s="74" t="n">
        <v>161</v>
      </c>
      <c r="H50" s="74" t="n">
        <v>163</v>
      </c>
      <c r="I50" s="74" t="n">
        <v>190</v>
      </c>
      <c r="J50" s="74" t="n">
        <v>178</v>
      </c>
      <c r="K50" s="74" t="n">
        <v>174</v>
      </c>
      <c r="L50" s="74" t="n">
        <v>175</v>
      </c>
    </row>
    <row r="51" customFormat="false" ht="15" hidden="false" customHeight="true" outlineLevel="0" collapsed="false">
      <c r="A51" s="28" t="s">
        <v>1386</v>
      </c>
      <c r="B51" s="55" t="s">
        <v>1387</v>
      </c>
      <c r="C51" s="56" t="n">
        <f aca="false">SUM(E51:P51)</f>
        <v>17125</v>
      </c>
      <c r="E51" s="74" t="n">
        <v>1733</v>
      </c>
      <c r="F51" s="74" t="n">
        <v>1544</v>
      </c>
      <c r="G51" s="74" t="n">
        <v>1936</v>
      </c>
      <c r="H51" s="74" t="n">
        <v>2047</v>
      </c>
      <c r="I51" s="74" t="n">
        <v>2557</v>
      </c>
      <c r="J51" s="74" t="n">
        <v>2614</v>
      </c>
      <c r="K51" s="74" t="n">
        <v>2331</v>
      </c>
      <c r="L51" s="74" t="n">
        <v>2363</v>
      </c>
    </row>
    <row r="52" customFormat="false" ht="15" hidden="false" customHeight="true" outlineLevel="0" collapsed="false">
      <c r="A52" s="28" t="s">
        <v>1388</v>
      </c>
      <c r="B52" s="55" t="s">
        <v>1381</v>
      </c>
      <c r="C52" s="56" t="n">
        <f aca="false">SUM(E52:P52)</f>
        <v>46695</v>
      </c>
      <c r="E52" s="74" t="n">
        <v>5030</v>
      </c>
      <c r="F52" s="74" t="n">
        <v>5358</v>
      </c>
      <c r="G52" s="74" t="n">
        <v>6412</v>
      </c>
      <c r="H52" s="74" t="n">
        <v>5829</v>
      </c>
      <c r="I52" s="74" t="n">
        <v>7505</v>
      </c>
      <c r="J52" s="74" t="n">
        <v>6226</v>
      </c>
      <c r="K52" s="74" t="n">
        <v>4869</v>
      </c>
      <c r="L52" s="74" t="n">
        <v>5466</v>
      </c>
    </row>
    <row r="53" customFormat="false" ht="15" hidden="false" customHeight="true" outlineLevel="0" collapsed="false">
      <c r="A53" s="28" t="s">
        <v>1389</v>
      </c>
      <c r="B53" s="55" t="s">
        <v>1383</v>
      </c>
      <c r="C53" s="56" t="n">
        <f aca="false">SUM(E53:P53)</f>
        <v>85629</v>
      </c>
      <c r="E53" s="74" t="n">
        <v>10635</v>
      </c>
      <c r="F53" s="74" t="n">
        <v>10237</v>
      </c>
      <c r="G53" s="74" t="n">
        <v>10867</v>
      </c>
      <c r="H53" s="74" t="n">
        <v>10344</v>
      </c>
      <c r="I53" s="74" t="n">
        <v>11721</v>
      </c>
      <c r="J53" s="74" t="n">
        <v>11808</v>
      </c>
      <c r="K53" s="74" t="n">
        <v>9056</v>
      </c>
      <c r="L53" s="74" t="n">
        <v>10961</v>
      </c>
    </row>
    <row r="54" customFormat="false" ht="15" hidden="false" customHeight="true" outlineLevel="0" collapsed="false">
      <c r="A54" s="28" t="s">
        <v>1390</v>
      </c>
      <c r="B54" s="55" t="s">
        <v>1385</v>
      </c>
      <c r="C54" s="56" t="n">
        <f aca="false">SUM(E54:P54)</f>
        <v>1614</v>
      </c>
      <c r="E54" s="74" t="n">
        <v>189</v>
      </c>
      <c r="F54" s="74" t="n">
        <v>191</v>
      </c>
      <c r="G54" s="74" t="n">
        <v>211</v>
      </c>
      <c r="H54" s="74" t="n">
        <v>191</v>
      </c>
      <c r="I54" s="74" t="n">
        <v>219</v>
      </c>
      <c r="J54" s="74" t="n">
        <v>222</v>
      </c>
      <c r="K54" s="74" t="n">
        <v>180</v>
      </c>
      <c r="L54" s="74" t="n">
        <v>211</v>
      </c>
    </row>
    <row r="55" customFormat="false" ht="15" hidden="false" customHeight="true" outlineLevel="0" collapsed="false">
      <c r="A55" s="28" t="s">
        <v>1391</v>
      </c>
      <c r="B55" s="55" t="s">
        <v>1387</v>
      </c>
      <c r="C55" s="56" t="n">
        <f aca="false">SUM(E55:P55)</f>
        <v>20727</v>
      </c>
      <c r="E55" s="74" t="n">
        <v>2377</v>
      </c>
      <c r="F55" s="74" t="n">
        <v>2276</v>
      </c>
      <c r="G55" s="74" t="n">
        <v>2990</v>
      </c>
      <c r="H55" s="74" t="n">
        <v>2357</v>
      </c>
      <c r="I55" s="74" t="n">
        <v>2801</v>
      </c>
      <c r="J55" s="74" t="n">
        <v>3160</v>
      </c>
      <c r="K55" s="74" t="n">
        <v>2219</v>
      </c>
      <c r="L55" s="74" t="n">
        <v>2547</v>
      </c>
    </row>
    <row r="56" customFormat="false" ht="15" hidden="false" customHeight="true" outlineLevel="0" collapsed="false">
      <c r="A56" s="28" t="s">
        <v>1392</v>
      </c>
      <c r="B56" s="55" t="s">
        <v>1381</v>
      </c>
      <c r="C56" s="56" t="n">
        <f aca="false">SUM(E56:P56)</f>
        <v>14339</v>
      </c>
      <c r="E56" s="74" t="n">
        <v>821</v>
      </c>
      <c r="F56" s="74" t="n">
        <v>997</v>
      </c>
      <c r="G56" s="74" t="n">
        <v>1323</v>
      </c>
      <c r="H56" s="74" t="n">
        <v>1761</v>
      </c>
      <c r="I56" s="74" t="n">
        <v>2209</v>
      </c>
      <c r="J56" s="74" t="n">
        <v>2289</v>
      </c>
      <c r="K56" s="74" t="n">
        <v>2316</v>
      </c>
      <c r="L56" s="74" t="n">
        <v>2623</v>
      </c>
    </row>
    <row r="57" customFormat="false" ht="15" hidden="false" customHeight="true" outlineLevel="0" collapsed="false">
      <c r="A57" s="28" t="s">
        <v>1393</v>
      </c>
      <c r="B57" s="55" t="s">
        <v>1383</v>
      </c>
      <c r="C57" s="56" t="n">
        <f aca="false">SUM(E57:P57)</f>
        <v>25216</v>
      </c>
      <c r="E57" s="74" t="n">
        <v>1571</v>
      </c>
      <c r="F57" s="74" t="n">
        <v>1724</v>
      </c>
      <c r="G57" s="74" t="n">
        <v>2387</v>
      </c>
      <c r="H57" s="74" t="n">
        <v>3279</v>
      </c>
      <c r="I57" s="74" t="n">
        <v>3376</v>
      </c>
      <c r="J57" s="74" t="n">
        <v>3783</v>
      </c>
      <c r="K57" s="74" t="n">
        <v>4060</v>
      </c>
      <c r="L57" s="74" t="n">
        <v>5036</v>
      </c>
    </row>
    <row r="58" customFormat="false" ht="15" hidden="false" customHeight="true" outlineLevel="0" collapsed="false">
      <c r="A58" s="28" t="s">
        <v>1394</v>
      </c>
      <c r="B58" s="55" t="s">
        <v>1385</v>
      </c>
      <c r="C58" s="56" t="n">
        <f aca="false">SUM(E58:P58)</f>
        <v>349</v>
      </c>
      <c r="E58" s="74" t="n">
        <v>21</v>
      </c>
      <c r="F58" s="74" t="n">
        <v>26</v>
      </c>
      <c r="G58" s="74" t="n">
        <v>32</v>
      </c>
      <c r="H58" s="74" t="n">
        <v>47</v>
      </c>
      <c r="I58" s="74" t="n">
        <v>48</v>
      </c>
      <c r="J58" s="74" t="n">
        <v>53</v>
      </c>
      <c r="K58" s="74" t="n">
        <v>56</v>
      </c>
      <c r="L58" s="74" t="n">
        <v>66</v>
      </c>
    </row>
    <row r="59" customFormat="false" ht="15" hidden="false" customHeight="true" outlineLevel="0" collapsed="false">
      <c r="A59" s="28" t="s">
        <v>1395</v>
      </c>
      <c r="B59" s="55" t="s">
        <v>1387</v>
      </c>
      <c r="C59" s="56" t="n">
        <f aca="false">SUM(E59:P59)</f>
        <v>4769</v>
      </c>
      <c r="E59" s="74" t="n">
        <v>269</v>
      </c>
      <c r="F59" s="74" t="n">
        <v>375</v>
      </c>
      <c r="G59" s="74" t="n">
        <v>432</v>
      </c>
      <c r="H59" s="74" t="n">
        <v>573</v>
      </c>
      <c r="I59" s="74" t="n">
        <v>675</v>
      </c>
      <c r="J59" s="74" t="n">
        <v>741</v>
      </c>
      <c r="K59" s="74" t="n">
        <v>775</v>
      </c>
      <c r="L59" s="74" t="n">
        <v>929</v>
      </c>
    </row>
    <row r="60" customFormat="false" ht="15" hidden="false" customHeight="true" outlineLevel="0" collapsed="false">
      <c r="A60" s="28" t="s">
        <v>1396</v>
      </c>
      <c r="B60" s="55" t="s">
        <v>1341</v>
      </c>
      <c r="C60" s="56" t="n">
        <f aca="false">SUM(E60:P60)</f>
        <v>53628</v>
      </c>
      <c r="E60" s="74" t="n">
        <v>5655</v>
      </c>
      <c r="F60" s="74" t="n">
        <v>5759</v>
      </c>
      <c r="G60" s="74" t="n">
        <v>6668</v>
      </c>
      <c r="H60" s="74" t="n">
        <v>6672</v>
      </c>
      <c r="I60" s="74" t="n">
        <v>7610</v>
      </c>
      <c r="J60" s="74" t="n">
        <v>7608</v>
      </c>
      <c r="K60" s="74" t="n">
        <v>6829</v>
      </c>
      <c r="L60" s="74" t="n">
        <v>6827</v>
      </c>
    </row>
    <row r="61" customFormat="false" ht="15" hidden="false" customHeight="true" outlineLevel="0" collapsed="false">
      <c r="A61" s="22" t="s">
        <v>1397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row>
    <row r="62" customFormat="false" ht="15" hidden="false" customHeight="true" outlineLevel="0" collapsed="false">
      <c r="A62" s="28" t="s">
        <v>1398</v>
      </c>
      <c r="B62" s="55" t="s">
        <v>1399</v>
      </c>
      <c r="C62" s="56" t="n">
        <f aca="false">SUM(E62:P62)</f>
        <v>33557</v>
      </c>
      <c r="E62" s="74" t="n">
        <v>3706</v>
      </c>
      <c r="F62" s="74" t="n">
        <v>3694</v>
      </c>
      <c r="G62" s="74" t="n">
        <v>4179</v>
      </c>
      <c r="H62" s="74" t="n">
        <v>4145</v>
      </c>
      <c r="I62" s="74" t="n">
        <v>4838</v>
      </c>
      <c r="J62" s="74" t="n">
        <v>4506</v>
      </c>
      <c r="K62" s="74" t="n">
        <v>4186</v>
      </c>
      <c r="L62" s="74" t="n">
        <v>4303</v>
      </c>
    </row>
    <row r="63" customFormat="false" ht="15" hidden="false" customHeight="true" outlineLevel="0" collapsed="false">
      <c r="A63" s="28" t="s">
        <v>1400</v>
      </c>
      <c r="B63" s="55" t="s">
        <v>1399</v>
      </c>
      <c r="C63" s="56" t="n">
        <f aca="false">SUM(E63:P63)</f>
        <v>98549</v>
      </c>
      <c r="E63" s="74" t="n">
        <v>10361</v>
      </c>
      <c r="F63" s="74" t="n">
        <v>10561</v>
      </c>
      <c r="G63" s="74" t="n">
        <v>12292</v>
      </c>
      <c r="H63" s="74" t="n">
        <v>12426</v>
      </c>
      <c r="I63" s="74" t="n">
        <v>13945</v>
      </c>
      <c r="J63" s="74" t="n">
        <v>13225</v>
      </c>
      <c r="K63" s="74" t="n">
        <v>12987</v>
      </c>
      <c r="L63" s="74" t="n">
        <v>12752</v>
      </c>
    </row>
    <row r="64" customFormat="false" ht="15" hidden="false" customHeight="true" outlineLevel="0" collapsed="false">
      <c r="A64" s="28" t="s">
        <v>1401</v>
      </c>
      <c r="B64" s="55" t="s">
        <v>1399</v>
      </c>
      <c r="C64" s="56" t="n">
        <f aca="false">SUM(E64:P64)</f>
        <v>58968</v>
      </c>
      <c r="E64" s="74" t="n">
        <v>6356</v>
      </c>
      <c r="F64" s="74" t="n">
        <v>6513</v>
      </c>
      <c r="G64" s="74" t="n">
        <v>7539</v>
      </c>
      <c r="H64" s="74" t="n">
        <v>7346</v>
      </c>
      <c r="I64" s="74" t="n">
        <v>8127</v>
      </c>
      <c r="J64" s="74" t="n">
        <v>8133</v>
      </c>
      <c r="K64" s="74" t="n">
        <v>7609</v>
      </c>
      <c r="L64" s="74" t="n">
        <v>7345</v>
      </c>
    </row>
    <row r="65" customFormat="false" ht="15" hidden="false" customHeight="true" outlineLevel="0" collapsed="false">
      <c r="A65" s="28" t="s">
        <v>1402</v>
      </c>
      <c r="B65" s="55" t="s">
        <v>1399</v>
      </c>
      <c r="C65" s="56" t="n">
        <f aca="false">SUM(E65:P65)</f>
        <v>148684</v>
      </c>
      <c r="E65" s="74" t="n">
        <v>14925</v>
      </c>
      <c r="F65" s="74" t="n">
        <v>15728</v>
      </c>
      <c r="G65" s="74" t="n">
        <v>19266</v>
      </c>
      <c r="H65" s="74" t="n">
        <v>17843</v>
      </c>
      <c r="I65" s="74" t="n">
        <v>20699</v>
      </c>
      <c r="J65" s="74" t="n">
        <v>20117</v>
      </c>
      <c r="K65" s="74" t="n">
        <v>19621</v>
      </c>
      <c r="L65" s="74" t="n">
        <v>20485</v>
      </c>
    </row>
    <row r="66" customFormat="false" ht="15" hidden="false" customHeight="true" outlineLevel="0" collapsed="false">
      <c r="A66" s="28" t="s">
        <v>1403</v>
      </c>
      <c r="B66" s="55" t="s">
        <v>1399</v>
      </c>
      <c r="C66" s="56" t="n">
        <f aca="false">SUM(E66:P66)</f>
        <v>63720</v>
      </c>
      <c r="E66" s="74" t="n">
        <v>6396</v>
      </c>
      <c r="F66" s="74" t="n">
        <v>6740</v>
      </c>
      <c r="G66" s="74" t="n">
        <v>8257</v>
      </c>
      <c r="H66" s="74" t="n">
        <v>7647</v>
      </c>
      <c r="I66" s="74" t="n">
        <v>8871</v>
      </c>
      <c r="J66" s="74" t="n">
        <v>8621</v>
      </c>
      <c r="K66" s="74" t="n">
        <v>8409</v>
      </c>
      <c r="L66" s="74" t="n">
        <v>8779</v>
      </c>
    </row>
    <row r="67" customFormat="false" ht="15" hidden="false" customHeight="true" outlineLevel="0" collapsed="false">
      <c r="A67" s="28" t="s">
        <v>1404</v>
      </c>
      <c r="B67" s="55" t="s">
        <v>1399</v>
      </c>
      <c r="C67" s="56" t="n">
        <f aca="false">SUM(E67:P67)</f>
        <v>159156</v>
      </c>
      <c r="E67" s="74" t="n">
        <v>19369</v>
      </c>
      <c r="F67" s="74" t="n">
        <v>16544</v>
      </c>
      <c r="G67" s="74" t="n">
        <v>19515</v>
      </c>
      <c r="H67" s="74" t="n">
        <v>21360</v>
      </c>
      <c r="I67" s="74" t="n">
        <v>23238</v>
      </c>
      <c r="J67" s="74" t="n">
        <v>21297</v>
      </c>
      <c r="K67" s="74" t="n">
        <v>19131</v>
      </c>
      <c r="L67" s="74" t="n">
        <v>18702</v>
      </c>
    </row>
    <row r="68" customFormat="false" ht="15" hidden="false" customHeight="true" outlineLevel="0" collapsed="false">
      <c r="A68" s="28" t="s">
        <v>1405</v>
      </c>
      <c r="B68" s="55" t="s">
        <v>1399</v>
      </c>
      <c r="C68" s="56" t="n">
        <f aca="false">SUM(E68:P68)</f>
        <v>114818</v>
      </c>
      <c r="E68" s="74" t="n">
        <v>13671</v>
      </c>
      <c r="F68" s="74" t="n">
        <v>11760</v>
      </c>
      <c r="G68" s="74" t="n">
        <v>13932</v>
      </c>
      <c r="H68" s="74" t="n">
        <v>15523</v>
      </c>
      <c r="I68" s="74" t="n">
        <v>16386</v>
      </c>
      <c r="J68" s="74" t="n">
        <v>15772</v>
      </c>
      <c r="K68" s="74" t="n">
        <v>13915</v>
      </c>
      <c r="L68" s="74" t="n">
        <v>13859</v>
      </c>
    </row>
    <row r="69" customFormat="false" ht="15" hidden="false" customHeight="true" outlineLevel="0" collapsed="false">
      <c r="A69" s="28" t="s">
        <v>1406</v>
      </c>
      <c r="B69" s="55" t="s">
        <v>1399</v>
      </c>
      <c r="C69" s="56" t="n">
        <f aca="false">SUM(E69:P69)</f>
        <v>13446</v>
      </c>
      <c r="E69" s="74" t="n">
        <v>1527</v>
      </c>
      <c r="F69" s="74" t="n">
        <v>1223</v>
      </c>
      <c r="G69" s="74" t="n">
        <v>1367</v>
      </c>
      <c r="H69" s="74" t="n">
        <v>1641</v>
      </c>
      <c r="I69" s="74" t="n">
        <v>1598</v>
      </c>
      <c r="J69" s="74" t="n">
        <v>3382</v>
      </c>
      <c r="K69" s="74" t="n">
        <v>1423</v>
      </c>
      <c r="L69" s="74" t="n">
        <v>1285</v>
      </c>
    </row>
    <row r="70" customFormat="false" ht="15" hidden="false" customHeight="true" outlineLevel="0" collapsed="false">
      <c r="A70" s="28" t="s">
        <v>1407</v>
      </c>
      <c r="B70" s="55" t="s">
        <v>1399</v>
      </c>
      <c r="C70" s="56" t="n">
        <f aca="false">SUM(E70:P70)</f>
        <v>98385</v>
      </c>
      <c r="E70" s="74" t="n">
        <v>11057</v>
      </c>
      <c r="F70" s="74" t="n">
        <v>9410</v>
      </c>
      <c r="G70" s="74" t="n">
        <v>11456</v>
      </c>
      <c r="H70" s="74" t="n">
        <v>13283</v>
      </c>
      <c r="I70" s="74" t="n">
        <v>15111</v>
      </c>
      <c r="J70" s="74" t="n">
        <v>13890</v>
      </c>
      <c r="K70" s="74" t="n">
        <v>12615</v>
      </c>
      <c r="L70" s="74" t="n">
        <v>11563</v>
      </c>
    </row>
    <row r="71" customFormat="false" ht="15" hidden="false" customHeight="true" outlineLevel="0" collapsed="false">
      <c r="A71" s="28" t="s">
        <v>1408</v>
      </c>
      <c r="B71" s="55" t="s">
        <v>1399</v>
      </c>
      <c r="C71" s="56" t="n">
        <f aca="false">SUM(E71:P71)</f>
        <v>9798</v>
      </c>
      <c r="E71" s="74" t="n">
        <v>1230</v>
      </c>
      <c r="F71" s="74" t="n">
        <v>992</v>
      </c>
      <c r="G71" s="74" t="n">
        <v>1135</v>
      </c>
      <c r="H71" s="74" t="n">
        <v>1376</v>
      </c>
      <c r="I71" s="74" t="n">
        <v>1462</v>
      </c>
      <c r="J71" s="74" t="n">
        <v>1339</v>
      </c>
      <c r="K71" s="74" t="n">
        <v>1151</v>
      </c>
      <c r="L71" s="74" t="n">
        <v>1113</v>
      </c>
    </row>
    <row r="72" customFormat="false" ht="15" hidden="false" customHeight="true" outlineLevel="0" collapsed="false">
      <c r="A72" s="28" t="s">
        <v>1409</v>
      </c>
      <c r="B72" s="55" t="s">
        <v>1399</v>
      </c>
      <c r="C72" s="56" t="n">
        <f aca="false">SUM(E72:P72)</f>
        <v>38130</v>
      </c>
      <c r="E72" s="74" t="n">
        <v>2181</v>
      </c>
      <c r="F72" s="74" t="n">
        <v>2395</v>
      </c>
      <c r="G72" s="74" t="n">
        <v>3505</v>
      </c>
      <c r="H72" s="74" t="n">
        <v>4462</v>
      </c>
      <c r="I72" s="74" t="n">
        <v>5206</v>
      </c>
      <c r="J72" s="74" t="n">
        <v>6357</v>
      </c>
      <c r="K72" s="74" t="n">
        <v>6305</v>
      </c>
      <c r="L72" s="74" t="n">
        <v>7719</v>
      </c>
    </row>
    <row r="73" customFormat="false" ht="15" hidden="false" customHeight="true" outlineLevel="0" collapsed="false">
      <c r="A73" s="28" t="s">
        <v>1410</v>
      </c>
      <c r="B73" s="55" t="s">
        <v>1399</v>
      </c>
      <c r="C73" s="56" t="n">
        <f aca="false">SUM(E73:P73)</f>
        <v>26442</v>
      </c>
      <c r="E73" s="74" t="n">
        <v>1543</v>
      </c>
      <c r="F73" s="74" t="n">
        <v>1730</v>
      </c>
      <c r="G73" s="74" t="n">
        <v>2384</v>
      </c>
      <c r="H73" s="74" t="n">
        <v>3103</v>
      </c>
      <c r="I73" s="74" t="n">
        <v>3520</v>
      </c>
      <c r="J73" s="74" t="n">
        <v>4306</v>
      </c>
      <c r="K73" s="74" t="n">
        <v>4432</v>
      </c>
      <c r="L73" s="74" t="n">
        <v>5424</v>
      </c>
    </row>
    <row r="74" customFormat="false" ht="15" hidden="false" customHeight="true" outlineLevel="0" collapsed="false">
      <c r="A74" s="28" t="s">
        <v>1411</v>
      </c>
      <c r="B74" s="55" t="s">
        <v>1399</v>
      </c>
      <c r="C74" s="56" t="n">
        <f aca="false">SUM(E74:P74)</f>
        <v>2493</v>
      </c>
      <c r="E74" s="74" t="n">
        <v>131</v>
      </c>
      <c r="F74" s="74" t="n">
        <v>159</v>
      </c>
      <c r="G74" s="74" t="n">
        <v>191</v>
      </c>
      <c r="H74" s="74" t="n">
        <v>284</v>
      </c>
      <c r="I74" s="74" t="n">
        <v>377</v>
      </c>
      <c r="J74" s="74" t="n">
        <v>412</v>
      </c>
      <c r="K74" s="74" t="n">
        <v>422</v>
      </c>
      <c r="L74" s="74" t="n">
        <v>517</v>
      </c>
    </row>
    <row r="75" customFormat="false" ht="15" hidden="false" customHeight="true" outlineLevel="0" collapsed="false">
      <c r="A75" s="28" t="s">
        <v>1412</v>
      </c>
      <c r="B75" s="55" t="s">
        <v>1399</v>
      </c>
      <c r="C75" s="56" t="n">
        <f aca="false">SUM(E75:P75)</f>
        <v>34006</v>
      </c>
      <c r="E75" s="74" t="n">
        <v>2131</v>
      </c>
      <c r="F75" s="74" t="n">
        <v>2485</v>
      </c>
      <c r="G75" s="74" t="n">
        <v>3385</v>
      </c>
      <c r="H75" s="74" t="n">
        <v>4132</v>
      </c>
      <c r="I75" s="74" t="n">
        <v>4487</v>
      </c>
      <c r="J75" s="74" t="n">
        <v>5590</v>
      </c>
      <c r="K75" s="74" t="n">
        <v>4956</v>
      </c>
      <c r="L75" s="74" t="n">
        <v>6840</v>
      </c>
    </row>
    <row r="76" customFormat="false" ht="15" hidden="false" customHeight="true" outlineLevel="0" collapsed="false">
      <c r="A76" s="22" t="s">
        <v>1413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row>
    <row r="77" customFormat="false" ht="15" hidden="false" customHeight="true" outlineLevel="0" collapsed="false">
      <c r="A77" s="28" t="s">
        <v>1122</v>
      </c>
      <c r="B77" s="55" t="s">
        <v>1414</v>
      </c>
      <c r="C77" s="61" t="n">
        <f aca="false">AVERAGE(E77:P77)</f>
        <v>40.635</v>
      </c>
      <c r="E77" s="134" t="n">
        <v>39.9</v>
      </c>
      <c r="F77" s="134" t="n">
        <v>40.18</v>
      </c>
      <c r="G77" s="134" t="n">
        <v>40.36</v>
      </c>
      <c r="H77" s="134" t="n">
        <v>40.66</v>
      </c>
      <c r="I77" s="134" t="n">
        <v>41.06</v>
      </c>
      <c r="J77" s="134" t="n">
        <v>40.76</v>
      </c>
      <c r="K77" s="134" t="n">
        <v>40.81</v>
      </c>
      <c r="L77" s="134" t="n">
        <v>41.35</v>
      </c>
    </row>
    <row r="78" customFormat="false" ht="15" hidden="false" customHeight="true" outlineLevel="0" collapsed="false">
      <c r="A78" s="28" t="s">
        <v>1124</v>
      </c>
      <c r="B78" s="55" t="s">
        <v>1414</v>
      </c>
      <c r="C78" s="61" t="n">
        <f aca="false">AVERAGE(E78:P78)</f>
        <v>21.2975</v>
      </c>
      <c r="E78" s="134" t="n">
        <v>20.88</v>
      </c>
      <c r="F78" s="134" t="n">
        <v>21.13</v>
      </c>
      <c r="G78" s="134" t="n">
        <v>21.32</v>
      </c>
      <c r="H78" s="134" t="n">
        <v>21.19</v>
      </c>
      <c r="I78" s="134" t="n">
        <v>21.39</v>
      </c>
      <c r="J78" s="134" t="n">
        <v>21.32</v>
      </c>
      <c r="K78" s="134" t="n">
        <v>21.58</v>
      </c>
      <c r="L78" s="134" t="n">
        <v>21.57</v>
      </c>
    </row>
    <row r="79" customFormat="false" ht="15" hidden="false" customHeight="true" outlineLevel="0" collapsed="false">
      <c r="A79" s="28" t="s">
        <v>1125</v>
      </c>
      <c r="B79" s="55" t="s">
        <v>1414</v>
      </c>
      <c r="C79" s="61" t="n">
        <f aca="false">AVERAGE(E79:P79)</f>
        <v>14.73375</v>
      </c>
      <c r="E79" s="134" t="n">
        <v>14.67</v>
      </c>
      <c r="F79" s="134" t="n">
        <v>14.61</v>
      </c>
      <c r="G79" s="134" t="n">
        <v>14.66</v>
      </c>
      <c r="H79" s="134" t="n">
        <v>14.69</v>
      </c>
      <c r="I79" s="134" t="n">
        <v>14.72</v>
      </c>
      <c r="J79" s="134" t="n">
        <v>14.74</v>
      </c>
      <c r="K79" s="134" t="n">
        <v>14.84</v>
      </c>
      <c r="L79" s="134" t="n">
        <v>14.94</v>
      </c>
    </row>
    <row r="80" customFormat="false" ht="15" hidden="false" customHeight="true" outlineLevel="0" collapsed="false">
      <c r="A80" s="28" t="s">
        <v>1126</v>
      </c>
      <c r="B80" s="55" t="s">
        <v>1414</v>
      </c>
      <c r="C80" s="61" t="n">
        <f aca="false">AVERAGE(E80:P80)</f>
        <v>13.21375</v>
      </c>
      <c r="E80" s="134" t="n">
        <v>12.93</v>
      </c>
      <c r="F80" s="134" t="n">
        <v>13.12</v>
      </c>
      <c r="G80" s="134" t="n">
        <v>13.14</v>
      </c>
      <c r="H80" s="134" t="n">
        <v>13.17</v>
      </c>
      <c r="I80" s="134" t="n">
        <v>13.3</v>
      </c>
      <c r="J80" s="134" t="n">
        <v>13.26</v>
      </c>
      <c r="K80" s="134" t="n">
        <v>13.38</v>
      </c>
      <c r="L80" s="134" t="n">
        <v>13.41</v>
      </c>
    </row>
    <row r="81" customFormat="false" ht="15" hidden="false" customHeight="true" outlineLevel="0" collapsed="false">
      <c r="A81" s="28" t="s">
        <v>1127</v>
      </c>
      <c r="B81" s="55" t="s">
        <v>1414</v>
      </c>
      <c r="C81" s="61" t="n">
        <f aca="false">AVERAGE(E81:P81)</f>
        <v>10.65875</v>
      </c>
      <c r="E81" s="134" t="n">
        <v>10.52</v>
      </c>
      <c r="F81" s="134" t="n">
        <v>10.59</v>
      </c>
      <c r="G81" s="134" t="n">
        <v>10.55</v>
      </c>
      <c r="H81" s="134" t="n">
        <v>10.65</v>
      </c>
      <c r="I81" s="134" t="n">
        <v>10.66</v>
      </c>
      <c r="J81" s="134" t="n">
        <v>10.7</v>
      </c>
      <c r="K81" s="134" t="n">
        <v>10.78</v>
      </c>
      <c r="L81" s="134" t="n">
        <v>10.82</v>
      </c>
    </row>
    <row r="82" customFormat="false" ht="15" hidden="false" customHeight="true" outlineLevel="0" collapsed="false">
      <c r="A82" s="22" t="s">
        <v>1415</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row>
    <row r="83" customFormat="false" ht="15" hidden="false" customHeight="true" outlineLevel="0" collapsed="false">
      <c r="A83" s="28" t="s">
        <v>1416</v>
      </c>
      <c r="B83" s="55" t="s">
        <v>1417</v>
      </c>
      <c r="C83" s="56" t="n">
        <f aca="false">SUM(E83:P83)</f>
        <v>0</v>
      </c>
      <c r="E83" s="74" t="n">
        <v>0</v>
      </c>
      <c r="F83" s="74" t="n">
        <v>0</v>
      </c>
      <c r="G83" s="74" t="n">
        <v>0</v>
      </c>
      <c r="H83" s="74" t="n">
        <v>0</v>
      </c>
      <c r="I83" s="74" t="n">
        <v>0</v>
      </c>
      <c r="J83" s="74" t="n">
        <v>0</v>
      </c>
      <c r="K83" s="74" t="n">
        <v>0</v>
      </c>
      <c r="L83" s="74" t="n">
        <v>0</v>
      </c>
    </row>
    <row r="84" customFormat="false" ht="15" hidden="false" customHeight="true" outlineLevel="0" collapsed="false">
      <c r="A84" s="28" t="s">
        <v>1418</v>
      </c>
      <c r="B84" s="55" t="s">
        <v>1417</v>
      </c>
      <c r="C84" s="56" t="n">
        <f aca="false">SUM(E84:P84)</f>
        <v>0</v>
      </c>
      <c r="E84" s="74" t="n">
        <v>0</v>
      </c>
      <c r="F84" s="74" t="n">
        <v>0</v>
      </c>
      <c r="G84" s="74" t="n">
        <v>0</v>
      </c>
      <c r="H84" s="74" t="n">
        <v>0</v>
      </c>
      <c r="I84" s="74" t="n">
        <v>0</v>
      </c>
      <c r="J84" s="74" t="n">
        <v>0</v>
      </c>
      <c r="K84" s="74" t="n">
        <v>0</v>
      </c>
      <c r="L84" s="74" t="n">
        <v>0</v>
      </c>
    </row>
    <row r="85" customFormat="false" ht="15" hidden="false" customHeight="true" outlineLevel="0" collapsed="false">
      <c r="A85" s="28" t="s">
        <v>1419</v>
      </c>
      <c r="B85" s="55" t="s">
        <v>1417</v>
      </c>
      <c r="C85" s="56" t="n">
        <f aca="false">SUM(E85:P85)</f>
        <v>3800</v>
      </c>
      <c r="E85" s="74" t="n">
        <v>0</v>
      </c>
      <c r="F85" s="74" t="n">
        <v>0</v>
      </c>
      <c r="G85" s="74" t="n">
        <v>3800</v>
      </c>
      <c r="H85" s="74" t="n">
        <v>0</v>
      </c>
      <c r="I85" s="74" t="n">
        <v>0</v>
      </c>
      <c r="J85" s="74" t="n">
        <v>0</v>
      </c>
      <c r="K85" s="74" t="n">
        <v>0</v>
      </c>
      <c r="L85" s="74" t="n">
        <v>0</v>
      </c>
    </row>
    <row r="86" customFormat="false" ht="15" hidden="false" customHeight="true" outlineLevel="0" collapsed="false">
      <c r="A86" s="28" t="s">
        <v>1420</v>
      </c>
      <c r="B86" s="55" t="s">
        <v>1417</v>
      </c>
      <c r="C86" s="56" t="n">
        <f aca="false">SUM(E86:P86)</f>
        <v>2100</v>
      </c>
      <c r="E86" s="74" t="n">
        <v>0</v>
      </c>
      <c r="F86" s="74" t="n">
        <v>0</v>
      </c>
      <c r="G86" s="74" t="n">
        <v>0</v>
      </c>
      <c r="H86" s="74" t="n">
        <v>0</v>
      </c>
      <c r="I86" s="74" t="n">
        <v>0</v>
      </c>
      <c r="J86" s="74" t="n">
        <v>0</v>
      </c>
      <c r="K86" s="74" t="n">
        <v>2100</v>
      </c>
      <c r="L86" s="74" t="n">
        <v>0</v>
      </c>
    </row>
    <row r="87" customFormat="false" ht="15" hidden="false" customHeight="true" outlineLevel="0" collapsed="false">
      <c r="A87" s="28" t="s">
        <v>1421</v>
      </c>
      <c r="B87" s="55" t="s">
        <v>1417</v>
      </c>
      <c r="C87" s="56" t="n">
        <f aca="false">SUM(E87:P87)</f>
        <v>0</v>
      </c>
      <c r="E87" s="74" t="n">
        <v>0</v>
      </c>
      <c r="F87" s="74" t="n">
        <v>0</v>
      </c>
      <c r="G87" s="74" t="n">
        <v>0</v>
      </c>
      <c r="H87" s="74" t="n">
        <v>0</v>
      </c>
      <c r="I87" s="74" t="n">
        <v>0</v>
      </c>
      <c r="J87" s="74" t="n">
        <v>0</v>
      </c>
      <c r="K87" s="74" t="n">
        <v>0</v>
      </c>
      <c r="L87" s="74" t="n">
        <v>0</v>
      </c>
    </row>
    <row r="88" customFormat="false" ht="15" hidden="false" customHeight="true" outlineLevel="0" collapsed="false">
      <c r="A88" s="22" t="s">
        <v>1422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row>
    <row r="89" customFormat="false" ht="15" hidden="false" customHeight="true" outlineLevel="0" collapsed="false">
      <c r="A89" s="28" t="s">
        <v>332</v>
      </c>
      <c r="B89" s="55" t="s">
        <v>1423</v>
      </c>
      <c r="C89" s="56" t="n">
        <f aca="false">SUM(E89:P89)</f>
        <v>369300</v>
      </c>
      <c r="E89" s="74" t="n">
        <v>43800</v>
      </c>
      <c r="F89" s="74" t="n">
        <v>43900</v>
      </c>
      <c r="G89" s="74" t="n">
        <v>44100</v>
      </c>
      <c r="H89" s="74" t="n">
        <v>47200</v>
      </c>
      <c r="I89" s="74" t="n">
        <v>47300</v>
      </c>
      <c r="J89" s="74" t="n">
        <v>47600</v>
      </c>
      <c r="K89" s="74" t="n">
        <v>47500</v>
      </c>
      <c r="L89" s="74" t="n">
        <v>47900</v>
      </c>
    </row>
    <row r="90" customFormat="false" ht="15" hidden="false" customHeight="true" outlineLevel="0" collapsed="false">
      <c r="A90" s="28" t="s">
        <v>333</v>
      </c>
      <c r="B90" s="55" t="s">
        <v>1423</v>
      </c>
      <c r="C90" s="56" t="n">
        <f aca="false">SUM(E90:P90)</f>
        <v>39579</v>
      </c>
      <c r="E90" s="74" t="n">
        <v>5056</v>
      </c>
      <c r="F90" s="74" t="n">
        <v>4877</v>
      </c>
      <c r="G90" s="74" t="n">
        <v>4502</v>
      </c>
      <c r="H90" s="74" t="n">
        <v>4495</v>
      </c>
      <c r="I90" s="74" t="n">
        <v>4172</v>
      </c>
      <c r="J90" s="74" t="n">
        <v>6301</v>
      </c>
      <c r="K90" s="74" t="n">
        <v>5372</v>
      </c>
      <c r="L90" s="74" t="n">
        <v>4804</v>
      </c>
    </row>
    <row r="91" customFormat="false" ht="15" hidden="false" customHeight="true" outlineLevel="0" collapsed="false">
      <c r="A91" s="28" t="s">
        <v>334</v>
      </c>
      <c r="B91" s="55" t="s">
        <v>1423</v>
      </c>
      <c r="C91" s="56" t="n">
        <f aca="false">SUM(E91:P91)</f>
        <v>38400</v>
      </c>
      <c r="E91" s="74" t="n">
        <v>4800</v>
      </c>
      <c r="F91" s="74" t="n">
        <v>4800</v>
      </c>
      <c r="G91" s="74" t="n">
        <v>4800</v>
      </c>
      <c r="H91" s="74" t="n">
        <v>4800</v>
      </c>
      <c r="I91" s="74" t="n">
        <v>4800</v>
      </c>
      <c r="J91" s="74" t="n">
        <v>4800</v>
      </c>
      <c r="K91" s="74" t="n">
        <v>4800</v>
      </c>
      <c r="L91" s="74" t="n">
        <v>4800</v>
      </c>
    </row>
    <row r="92" customFormat="false" ht="15" hidden="false" customHeight="true" outlineLevel="0" collapsed="false">
      <c r="A92" s="28" t="s">
        <v>335</v>
      </c>
      <c r="B92" s="55" t="s">
        <v>1423</v>
      </c>
      <c r="C92" s="56" t="n">
        <f aca="false">SUM(E92:P92)</f>
        <v>34004</v>
      </c>
      <c r="E92" s="74" t="n">
        <v>4056</v>
      </c>
      <c r="F92" s="74" t="n">
        <v>4090</v>
      </c>
      <c r="G92" s="74" t="n">
        <v>4102</v>
      </c>
      <c r="H92" s="74" t="n">
        <v>4171</v>
      </c>
      <c r="I92" s="74" t="n">
        <v>4253</v>
      </c>
      <c r="J92" s="74" t="n">
        <v>4383</v>
      </c>
      <c r="K92" s="74" t="n">
        <v>4437</v>
      </c>
      <c r="L92" s="74" t="n">
        <v>4512</v>
      </c>
    </row>
    <row r="93" customFormat="false" ht="15" hidden="false" customHeight="true" outlineLevel="0" collapsed="false">
      <c r="A93" s="28" t="s">
        <v>336</v>
      </c>
      <c r="B93" s="55" t="s">
        <v>1423</v>
      </c>
      <c r="C93" s="56" t="n">
        <f aca="false">SUM(E93:P93)</f>
        <v>25670</v>
      </c>
      <c r="E93" s="74" t="n">
        <v>3410</v>
      </c>
      <c r="F93" s="74" t="n">
        <v>3074</v>
      </c>
      <c r="G93" s="74" t="n">
        <v>3178</v>
      </c>
      <c r="H93" s="74" t="n">
        <v>3262</v>
      </c>
      <c r="I93" s="74" t="n">
        <v>3267</v>
      </c>
      <c r="J93" s="74" t="n">
        <v>2986</v>
      </c>
      <c r="K93" s="74" t="n">
        <v>3135</v>
      </c>
      <c r="L93" s="74" t="n">
        <v>3358</v>
      </c>
    </row>
    <row r="94" customFormat="false" ht="15" hidden="false" customHeight="true" outlineLevel="0" collapsed="false">
      <c r="A94" s="28" t="s">
        <v>337</v>
      </c>
      <c r="B94" s="55" t="s">
        <v>1423</v>
      </c>
      <c r="C94" s="56" t="n">
        <f aca="false">SUM(E94:P94)</f>
        <v>9200</v>
      </c>
      <c r="E94" s="74" t="n">
        <v>1150</v>
      </c>
      <c r="F94" s="74" t="n">
        <v>1150</v>
      </c>
      <c r="G94" s="74" t="n">
        <v>1150</v>
      </c>
      <c r="H94" s="74" t="n">
        <v>1150</v>
      </c>
      <c r="I94" s="74" t="n">
        <v>1150</v>
      </c>
      <c r="J94" s="74" t="n">
        <v>1150</v>
      </c>
      <c r="K94" s="74" t="n">
        <v>1150</v>
      </c>
      <c r="L94" s="74" t="n">
        <v>1150</v>
      </c>
    </row>
    <row r="95" customFormat="false" ht="15" hidden="false" customHeight="true" outlineLevel="0" collapsed="false">
      <c r="A95" s="28" t="s">
        <v>338</v>
      </c>
      <c r="B95" s="55" t="s">
        <v>1423</v>
      </c>
      <c r="C95" s="56" t="n">
        <f aca="false">SUM(E95:P95)</f>
        <v>10408</v>
      </c>
      <c r="E95" s="74" t="n">
        <v>1765</v>
      </c>
      <c r="F95" s="74" t="n">
        <v>1137</v>
      </c>
      <c r="G95" s="74" t="n">
        <v>1503</v>
      </c>
      <c r="H95" s="74" t="n">
        <v>1091</v>
      </c>
      <c r="I95" s="74" t="n">
        <v>942</v>
      </c>
      <c r="J95" s="74" t="n">
        <v>1413</v>
      </c>
      <c r="K95" s="74" t="n">
        <v>688</v>
      </c>
      <c r="L95" s="74" t="n">
        <v>1869</v>
      </c>
    </row>
    <row r="96" customFormat="false" ht="15" hidden="false" customHeight="true" outlineLevel="0" collapsed="false">
      <c r="A96" s="28" t="s">
        <v>339</v>
      </c>
      <c r="B96" s="55" t="s">
        <v>1423</v>
      </c>
      <c r="C96" s="56" t="n">
        <f aca="false">SUM(E96:P96)</f>
        <v>47685</v>
      </c>
      <c r="E96" s="74" t="n">
        <v>6719</v>
      </c>
      <c r="F96" s="74" t="n">
        <v>5921</v>
      </c>
      <c r="G96" s="74" t="n">
        <v>5117</v>
      </c>
      <c r="H96" s="74" t="n">
        <v>6119</v>
      </c>
      <c r="I96" s="74" t="n">
        <v>5586</v>
      </c>
      <c r="J96" s="74" t="n">
        <v>6021</v>
      </c>
      <c r="K96" s="74" t="n">
        <v>5795</v>
      </c>
      <c r="L96" s="74" t="n">
        <v>6407</v>
      </c>
    </row>
    <row r="97" customFormat="false" ht="15" hidden="false" customHeight="true" outlineLevel="0" collapsed="false">
      <c r="A97" s="28" t="s">
        <v>340</v>
      </c>
      <c r="B97" s="55" t="s">
        <v>1423</v>
      </c>
      <c r="C97" s="56" t="n">
        <f aca="false">SUM(E97:P97)</f>
        <v>27006</v>
      </c>
      <c r="E97" s="74" t="n">
        <v>2946</v>
      </c>
      <c r="F97" s="74" t="n">
        <v>2812</v>
      </c>
      <c r="G97" s="74" t="n">
        <v>3283</v>
      </c>
      <c r="H97" s="74" t="n">
        <v>3431</v>
      </c>
      <c r="I97" s="74" t="n">
        <v>3890</v>
      </c>
      <c r="J97" s="74" t="n">
        <v>3713</v>
      </c>
      <c r="K97" s="74" t="n">
        <v>3512</v>
      </c>
      <c r="L97" s="74" t="n">
        <v>3419</v>
      </c>
    </row>
    <row r="98" customFormat="false" ht="15" hidden="false" customHeight="true" outlineLevel="0" collapsed="false">
      <c r="A98" s="28" t="s">
        <v>341</v>
      </c>
      <c r="B98" s="55" t="s">
        <v>1423</v>
      </c>
      <c r="C98" s="56" t="n">
        <f aca="false">SUM(E98:P98)</f>
        <v>14120</v>
      </c>
      <c r="E98" s="74" t="n">
        <v>1825</v>
      </c>
      <c r="F98" s="74" t="n">
        <v>1606</v>
      </c>
      <c r="G98" s="74" t="n">
        <v>1720</v>
      </c>
      <c r="H98" s="74" t="n">
        <v>1762</v>
      </c>
      <c r="I98" s="74" t="n">
        <v>2110</v>
      </c>
      <c r="J98" s="74" t="n">
        <v>1495</v>
      </c>
      <c r="K98" s="74" t="n">
        <v>1774</v>
      </c>
      <c r="L98" s="74" t="n">
        <v>1828</v>
      </c>
    </row>
    <row r="99" customFormat="false" ht="15" hidden="false" customHeight="true" outlineLevel="0" collapsed="false">
      <c r="A99" s="28" t="s">
        <v>342</v>
      </c>
      <c r="B99" s="55" t="s">
        <v>1423</v>
      </c>
      <c r="C99" s="56" t="n">
        <f aca="false">SUM(E99:P99)</f>
        <v>3719</v>
      </c>
      <c r="E99" s="74" t="n">
        <v>398</v>
      </c>
      <c r="F99" s="74" t="n">
        <v>399</v>
      </c>
      <c r="G99" s="74" t="n">
        <v>476</v>
      </c>
      <c r="H99" s="74" t="n">
        <v>463</v>
      </c>
      <c r="I99" s="74" t="n">
        <v>528</v>
      </c>
      <c r="J99" s="74" t="n">
        <v>485</v>
      </c>
      <c r="K99" s="74" t="n">
        <v>474</v>
      </c>
      <c r="L99" s="74" t="n">
        <v>496</v>
      </c>
    </row>
    <row r="100" customFormat="false" ht="15" hidden="false" customHeight="true" outlineLevel="0" collapsed="false">
      <c r="A100" s="28" t="s">
        <v>343</v>
      </c>
      <c r="B100" s="55" t="s">
        <v>1423</v>
      </c>
      <c r="C100" s="56" t="n">
        <f aca="false">SUM(E100:P100)</f>
        <v>8270</v>
      </c>
      <c r="E100" s="74" t="n">
        <v>857</v>
      </c>
      <c r="F100" s="74" t="n">
        <v>589</v>
      </c>
      <c r="G100" s="74" t="n">
        <v>2400</v>
      </c>
      <c r="H100" s="74" t="n">
        <v>488</v>
      </c>
      <c r="I100" s="74" t="n">
        <v>983</v>
      </c>
      <c r="J100" s="74" t="n">
        <v>991</v>
      </c>
      <c r="K100" s="74" t="n">
        <v>864</v>
      </c>
      <c r="L100" s="74" t="n">
        <v>1098</v>
      </c>
    </row>
    <row r="101" customFormat="false" ht="15" hidden="false" customHeight="true" outlineLevel="0" collapsed="false">
      <c r="A101" s="22" t="s">
        <v>1424</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row>
    <row r="102" customFormat="false" ht="15" hidden="false" customHeight="true" outlineLevel="0" collapsed="false">
      <c r="A102" s="28" t="s">
        <v>1425</v>
      </c>
      <c r="B102" s="55" t="s">
        <v>1426</v>
      </c>
      <c r="C102" s="56" t="n">
        <f aca="false">SUM(E102:P102)</f>
        <v>12700</v>
      </c>
      <c r="E102" s="74" t="n">
        <v>2400</v>
      </c>
      <c r="F102" s="74" t="n">
        <v>0</v>
      </c>
      <c r="G102" s="74" t="n">
        <v>6800</v>
      </c>
      <c r="H102" s="74" t="n">
        <v>0</v>
      </c>
      <c r="I102" s="74" t="n">
        <v>0</v>
      </c>
      <c r="J102" s="74" t="n">
        <v>0</v>
      </c>
      <c r="K102" s="74" t="n">
        <v>3500</v>
      </c>
      <c r="L102" s="74" t="n">
        <v>0</v>
      </c>
    </row>
    <row r="103" customFormat="false" ht="15" hidden="false" customHeight="true" outlineLevel="0" collapsed="false">
      <c r="A103" s="28" t="s">
        <v>1427</v>
      </c>
      <c r="B103" s="55" t="s">
        <v>1426</v>
      </c>
      <c r="C103" s="56" t="n">
        <f aca="false">SUM(E103:P103)</f>
        <v>1200</v>
      </c>
      <c r="E103" s="74" t="n">
        <v>0</v>
      </c>
      <c r="F103" s="74" t="n">
        <v>0</v>
      </c>
      <c r="G103" s="74" t="n">
        <v>0</v>
      </c>
      <c r="H103" s="74" t="n">
        <v>0</v>
      </c>
      <c r="I103" s="74" t="n">
        <v>1200</v>
      </c>
      <c r="J103" s="74" t="n">
        <v>0</v>
      </c>
      <c r="K103" s="74" t="n">
        <v>0</v>
      </c>
      <c r="L103" s="74" t="n">
        <v>0</v>
      </c>
    </row>
    <row r="104" customFormat="false" ht="15" hidden="false" customHeight="true" outlineLevel="0" collapsed="false">
      <c r="A104" s="22" t="s">
        <v>1428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row>
    <row r="105" customFormat="false" ht="15" hidden="false" customHeight="true" outlineLevel="0" collapsed="false">
      <c r="A105" s="28" t="s">
        <v>1429</v>
      </c>
      <c r="B105" s="55" t="s">
        <v>1430</v>
      </c>
      <c r="C105" s="56" t="n">
        <f aca="false">SUM(E105:P105)</f>
        <v>1349765</v>
      </c>
      <c r="E105" s="74" t="n">
        <v>149666</v>
      </c>
      <c r="F105" s="74" t="n">
        <v>146825</v>
      </c>
      <c r="G105" s="74" t="n">
        <v>168963</v>
      </c>
      <c r="H105" s="74" t="n">
        <v>169633</v>
      </c>
      <c r="I105" s="74" t="n">
        <v>188403</v>
      </c>
      <c r="J105" s="74" t="n">
        <v>182464</v>
      </c>
      <c r="K105" s="74" t="n">
        <v>171755</v>
      </c>
      <c r="L105" s="74" t="n">
        <v>172056</v>
      </c>
    </row>
    <row r="106" customFormat="false" ht="15" hidden="false" customHeight="true" outlineLevel="0" collapsed="false">
      <c r="A106" s="28" t="s">
        <v>1431</v>
      </c>
      <c r="B106" s="55" t="s">
        <v>1430</v>
      </c>
      <c r="C106" s="56" t="n">
        <f aca="false">SUM(E106:P106)</f>
        <v>925213</v>
      </c>
      <c r="E106" s="74" t="n">
        <v>160924</v>
      </c>
      <c r="F106" s="74" t="n">
        <v>84432</v>
      </c>
      <c r="G106" s="74" t="n">
        <v>100247</v>
      </c>
      <c r="H106" s="74" t="n">
        <v>111610</v>
      </c>
      <c r="I106" s="74" t="n">
        <v>119921</v>
      </c>
      <c r="J106" s="74" t="n">
        <v>118012</v>
      </c>
      <c r="K106" s="74" t="n">
        <v>126346</v>
      </c>
      <c r="L106" s="74" t="n">
        <v>103721</v>
      </c>
    </row>
    <row r="107" customFormat="false" ht="15" hidden="false" customHeight="true" outlineLevel="0" collapsed="false">
      <c r="A107" s="28" t="s">
        <v>1432</v>
      </c>
      <c r="B107" s="55" t="s">
        <v>1430</v>
      </c>
      <c r="C107" s="56" t="n">
        <f aca="false">SUM(E107:P107)</f>
        <v>116734</v>
      </c>
      <c r="E107" s="74" t="n">
        <v>1863</v>
      </c>
      <c r="F107" s="74" t="n">
        <v>7904</v>
      </c>
      <c r="G107" s="74" t="n">
        <v>9921</v>
      </c>
      <c r="H107" s="74" t="n">
        <v>13155</v>
      </c>
      <c r="I107" s="74" t="n">
        <v>18461</v>
      </c>
      <c r="J107" s="74" t="n">
        <v>19225</v>
      </c>
      <c r="K107" s="74" t="n">
        <v>23324</v>
      </c>
      <c r="L107" s="74" t="n">
        <v>22881</v>
      </c>
    </row>
    <row r="108" customFormat="false" ht="15" hidden="false" customHeight="true" outlineLevel="0" collapsed="false">
      <c r="A108" s="28" t="s">
        <v>1433</v>
      </c>
      <c r="B108" s="55" t="s">
        <v>1430</v>
      </c>
      <c r="C108" s="56" t="n">
        <f aca="false">SUM(E108:P108)</f>
        <v>325518</v>
      </c>
      <c r="E108" s="74" t="n">
        <v>55682</v>
      </c>
      <c r="F108" s="74" t="n">
        <v>60395</v>
      </c>
      <c r="G108" s="74" t="n">
        <v>34443</v>
      </c>
      <c r="H108" s="74" t="n">
        <v>31879</v>
      </c>
      <c r="I108" s="74" t="n">
        <v>25464</v>
      </c>
      <c r="J108" s="74" t="n">
        <v>47660</v>
      </c>
      <c r="K108" s="74" t="n">
        <v>39060</v>
      </c>
      <c r="L108" s="74" t="n">
        <v>30935</v>
      </c>
    </row>
    <row r="109" customFormat="false" ht="15" hidden="false" customHeight="true" outlineLevel="0" collapsed="false">
      <c r="A109" s="28" t="s">
        <v>1434</v>
      </c>
      <c r="B109" s="55" t="s">
        <v>1430</v>
      </c>
      <c r="C109" s="56" t="n">
        <f aca="false">SUM(E109:P109)</f>
        <v>227817</v>
      </c>
      <c r="E109" s="74" t="n">
        <v>38996</v>
      </c>
      <c r="F109" s="74" t="n">
        <v>22390</v>
      </c>
      <c r="G109" s="74" t="n">
        <v>25801</v>
      </c>
      <c r="H109" s="74" t="n">
        <v>26553</v>
      </c>
      <c r="I109" s="74" t="n">
        <v>27834</v>
      </c>
      <c r="J109" s="74" t="n">
        <v>29680</v>
      </c>
      <c r="K109" s="74" t="n">
        <v>28784</v>
      </c>
      <c r="L109" s="74" t="n">
        <v>27779</v>
      </c>
    </row>
    <row r="110" customFormat="false" ht="15" hidden="false" customHeight="true" outlineLevel="0" collapsed="false">
      <c r="A110" s="28" t="s">
        <v>1435</v>
      </c>
      <c r="B110" s="55" t="s">
        <v>1430</v>
      </c>
      <c r="C110" s="56" t="n">
        <f aca="false">SUM(E110:P110)</f>
        <v>294100</v>
      </c>
      <c r="E110" s="74" t="n">
        <v>51273</v>
      </c>
      <c r="F110" s="74" t="n">
        <v>29061</v>
      </c>
      <c r="G110" s="74" t="n">
        <v>34354</v>
      </c>
      <c r="H110" s="74" t="n">
        <v>33850</v>
      </c>
      <c r="I110" s="74" t="n">
        <v>43152</v>
      </c>
      <c r="J110" s="74" t="n">
        <v>34071</v>
      </c>
      <c r="K110" s="74" t="n">
        <v>33609</v>
      </c>
      <c r="L110" s="74" t="n">
        <v>34730</v>
      </c>
    </row>
    <row r="111" customFormat="false" ht="15" hidden="false" customHeight="true" outlineLevel="0" collapsed="false">
      <c r="A111" s="22" t="s">
        <v>1436</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row>
    <row r="112" customFormat="false" ht="15" hidden="false" customHeight="true" outlineLevel="0" collapsed="false">
      <c r="A112" s="28" t="s">
        <v>293</v>
      </c>
      <c r="B112" s="55" t="s">
        <v>1437</v>
      </c>
      <c r="C112" s="128" t="n">
        <v>380000</v>
      </c>
    </row>
    <row r="113" customFormat="false" ht="15" hidden="false" customHeight="true" outlineLevel="0" collapsed="false">
      <c r="A113" s="28" t="s">
        <v>1438</v>
      </c>
      <c r="B113" s="55" t="s">
        <v>1437</v>
      </c>
      <c r="C113" s="128" t="n">
        <v>14900</v>
      </c>
    </row>
    <row r="114" customFormat="false" ht="15" hidden="false" customHeight="true" outlineLevel="0" collapsed="false">
      <c r="A114" s="28" t="s">
        <v>1439</v>
      </c>
      <c r="B114" s="55" t="s">
        <v>1437</v>
      </c>
      <c r="C114" s="128" t="n">
        <v>118600</v>
      </c>
    </row>
    <row r="115" customFormat="false" ht="15" hidden="false" customHeight="true" outlineLevel="0" collapsed="false">
      <c r="A115" s="28" t="s">
        <v>1440</v>
      </c>
      <c r="B115" s="55" t="s">
        <v>1437</v>
      </c>
      <c r="C115" s="128" t="n">
        <v>0</v>
      </c>
    </row>
    <row r="116" customFormat="false" ht="15" hidden="false" customHeight="true" outlineLevel="0" collapsed="false">
      <c r="A116" s="28" t="s">
        <v>1441</v>
      </c>
      <c r="B116" s="55" t="s">
        <v>1437</v>
      </c>
      <c r="C116" s="128" t="n">
        <v>186000</v>
      </c>
    </row>
    <row r="117" customFormat="false" ht="15" hidden="false" customHeight="true" outlineLevel="0" collapsed="false">
      <c r="A117" s="28" t="s">
        <v>1442</v>
      </c>
      <c r="B117" s="55" t="s">
        <v>1437</v>
      </c>
      <c r="C117" s="128" t="n">
        <v>98000</v>
      </c>
    </row>
    <row r="118" customFormat="false" ht="15" hidden="false" customHeight="true" outlineLevel="0" collapsed="false">
      <c r="A118" s="28" t="s">
        <v>1443</v>
      </c>
      <c r="B118" s="55" t="s">
        <v>1437</v>
      </c>
      <c r="C118" s="128" t="n">
        <v>142000</v>
      </c>
    </row>
    <row r="119" customFormat="false" ht="15" hidden="false" customHeight="true" outlineLevel="0" collapsed="false">
      <c r="A119" s="28" t="s">
        <v>1444</v>
      </c>
      <c r="B119" s="55" t="s">
        <v>1437</v>
      </c>
      <c r="C119" s="128" t="n">
        <v>121000</v>
      </c>
    </row>
    <row r="120" customFormat="false" ht="15" hidden="false" customHeight="true" outlineLevel="0" collapsed="false">
      <c r="A120" s="28" t="s">
        <v>1445</v>
      </c>
      <c r="B120" s="55" t="s">
        <v>1437</v>
      </c>
      <c r="C120" s="128" t="n">
        <v>96000</v>
      </c>
    </row>
    <row r="121" customFormat="false" ht="15" hidden="false" customHeight="true" outlineLevel="0" collapsed="false">
      <c r="A121" s="28" t="s">
        <v>1446</v>
      </c>
      <c r="B121" s="55" t="s">
        <v>1437</v>
      </c>
      <c r="C121" s="128" t="n">
        <v>18000</v>
      </c>
    </row>
    <row r="122" customFormat="false" ht="15" hidden="false" customHeight="true" outlineLevel="0" collapsed="false">
      <c r="A122" s="28" t="s">
        <v>1447</v>
      </c>
      <c r="B122" s="55" t="s">
        <v>1437</v>
      </c>
      <c r="C122" s="128" t="n">
        <v>154000</v>
      </c>
    </row>
    <row r="123" customFormat="false" ht="15" hidden="false" customHeight="true" outlineLevel="0" collapsed="false">
      <c r="A123" s="28" t="s">
        <v>1448</v>
      </c>
      <c r="B123" s="55" t="s">
        <v>1437</v>
      </c>
      <c r="C123" s="128" t="n">
        <v>23100</v>
      </c>
    </row>
    <row r="124" customFormat="false" ht="15" hidden="false" customHeight="true" outlineLevel="0" collapsed="false">
      <c r="A124" s="28" t="s">
        <v>366</v>
      </c>
      <c r="B124" s="55" t="s">
        <v>1437</v>
      </c>
      <c r="C124" s="128" t="n">
        <v>21500</v>
      </c>
    </row>
    <row r="125" customFormat="false" ht="15" hidden="false" customHeight="true" outlineLevel="0" collapsed="false">
      <c r="A125" s="28" t="s">
        <v>1449</v>
      </c>
      <c r="B125" s="55" t="s">
        <v>1437</v>
      </c>
      <c r="C125" s="128" t="n">
        <v>48000</v>
      </c>
    </row>
    <row r="126" customFormat="false" ht="15" hidden="false" customHeight="true" outlineLevel="0" collapsed="false">
      <c r="A126" s="28" t="s">
        <v>1450</v>
      </c>
      <c r="B126" s="55" t="s">
        <v>1437</v>
      </c>
      <c r="C126" s="128" t="n">
        <v>21000</v>
      </c>
    </row>
    <row r="127" customFormat="false" ht="15" hidden="false" customHeight="true" outlineLevel="0" collapsed="false">
      <c r="A127" s="28" t="s">
        <v>1451</v>
      </c>
      <c r="B127" s="55" t="s">
        <v>1437</v>
      </c>
      <c r="C127" s="128" t="n">
        <v>60000</v>
      </c>
    </row>
    <row r="128" customFormat="false" ht="15" hidden="false" customHeight="true" outlineLevel="0" collapsed="false">
      <c r="A128" s="28" t="s">
        <v>1452</v>
      </c>
      <c r="B128" s="55" t="s">
        <v>1437</v>
      </c>
      <c r="C128" s="128" t="n">
        <v>32000</v>
      </c>
    </row>
    <row r="129" customFormat="false" ht="15" hidden="false" customHeight="true" outlineLevel="0" collapsed="false">
      <c r="A129" s="28" t="s">
        <v>1453</v>
      </c>
      <c r="B129" s="55" t="s">
        <v>1437</v>
      </c>
      <c r="C129" s="128" t="n">
        <v>62300</v>
      </c>
    </row>
    <row r="130" customFormat="false" ht="15" hidden="false" customHeight="true" outlineLevel="0" collapsed="false">
      <c r="A130" s="28" t="s">
        <v>1454</v>
      </c>
      <c r="B130" s="55" t="s">
        <v>1437</v>
      </c>
      <c r="C130" s="128" t="n">
        <v>24800</v>
      </c>
    </row>
    <row r="131" customFormat="false" ht="15" hidden="false" customHeight="true" outlineLevel="0" collapsed="false">
      <c r="A131" s="28" t="s">
        <v>1455</v>
      </c>
      <c r="B131" s="55" t="s">
        <v>1437</v>
      </c>
      <c r="C131" s="128" t="n">
        <v>41600</v>
      </c>
    </row>
    <row r="132" customFormat="false" ht="15" hidden="false" customHeight="true" outlineLevel="0" collapsed="false">
      <c r="A132" s="28" t="s">
        <v>372</v>
      </c>
      <c r="B132" s="55" t="s">
        <v>1437</v>
      </c>
      <c r="C132" s="128" t="n">
        <v>15900</v>
      </c>
    </row>
    <row r="133" customFormat="false" ht="15" hidden="false" customHeight="true" outlineLevel="0" collapsed="false">
      <c r="A133" s="28" t="s">
        <v>373</v>
      </c>
      <c r="B133" s="55" t="s">
        <v>1437</v>
      </c>
      <c r="C133" s="128" t="n">
        <v>19400</v>
      </c>
    </row>
    <row r="134" customFormat="false" ht="15" hidden="false" customHeight="true" outlineLevel="0" collapsed="false">
      <c r="A134" s="28" t="s">
        <v>374</v>
      </c>
      <c r="B134" s="55" t="s">
        <v>1437</v>
      </c>
      <c r="C134" s="128" t="n">
        <v>38700</v>
      </c>
    </row>
    <row r="135" customFormat="false" ht="15" hidden="false" customHeight="true" outlineLevel="0" collapsed="false">
      <c r="A135" s="28" t="s">
        <v>1456</v>
      </c>
      <c r="B135" s="55" t="s">
        <v>1437</v>
      </c>
      <c r="C135" s="128" t="n">
        <v>18400</v>
      </c>
    </row>
    <row r="136" customFormat="false" ht="15" hidden="false" customHeight="true" outlineLevel="0" collapsed="false">
      <c r="A136" s="28" t="s">
        <v>1457</v>
      </c>
      <c r="B136" s="55" t="s">
        <v>1437</v>
      </c>
      <c r="C136" s="128" t="n">
        <v>400000</v>
      </c>
    </row>
    <row r="137" customFormat="false" ht="15" hidden="false" customHeight="true" outlineLevel="0" collapsed="false">
      <c r="A137" s="28" t="s">
        <v>385</v>
      </c>
      <c r="B137" s="55" t="s">
        <v>1437</v>
      </c>
      <c r="C137" s="128" t="n">
        <v>250000</v>
      </c>
    </row>
    <row r="138" customFormat="false" ht="15" hidden="false" customHeight="true" outlineLevel="0" collapsed="false">
      <c r="A138" s="28" t="s">
        <v>391</v>
      </c>
      <c r="B138" s="55" t="s">
        <v>1437</v>
      </c>
      <c r="C138" s="128" t="n">
        <v>521000</v>
      </c>
    </row>
    <row r="139" customFormat="false" ht="15" hidden="false" customHeight="true" outlineLevel="0" collapsed="false">
      <c r="A139" s="70" t="s">
        <v>1458</v>
      </c>
      <c r="B139" s="71" t="s">
        <v>1459</v>
      </c>
      <c r="C139" s="150" t="n">
        <f aca="false">Inputs_Actuals!$C$112+Inputs_Actuals!$C$113+Inputs_Actuals!$C$114+Inputs_Actuals!$C$115+SUM(C116:C120)-Inputs_Actuals!$C$121+Inputs_Actuals!$C$122+Inputs_Actuals!$C$123+Inputs_Actuals!$C$124+Inputs_Actuals!$C$125-Inputs_Actuals!$C$126+Inputs_Actuals!$C$127-Inputs_Actuals!$C$128-Inputs_Actuals!$C$129-Inputs_Actuals!$C$130-Inputs_Actuals!$C$131-Inputs_Actuals!$C$132-Inputs_Actuals!$C$133-Inputs_Actuals!$C$134-Inputs_Actuals!$C$135-Inputs_Actuals!$C$136-Inputs_Actuals!$C$137-Inputs_Actuals!$C$138</f>
        <v>0</v>
      </c>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c r="AA139" s="149"/>
      <c r="AB139" s="149"/>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67"/>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30"/>
    <col collapsed="false" customWidth="true" hidden="false" outlineLevel="0" max="4" min="3" style="1" width="13"/>
    <col collapsed="false" customWidth="true" hidden="false" outlineLevel="0" max="16" min="5" style="1" width="11.5"/>
  </cols>
  <sheetData>
    <row r="1" customFormat="false" ht="15" hidden="false" customHeight="true" outlineLevel="0" collapsed="false">
      <c r="A1" s="20" t="str">
        <f aca="false">Assumptions!$C$6</f>
        <v>Alderway Home B.V. (fictional demonstration company)</v>
      </c>
    </row>
    <row r="2" customFormat="false" ht="17.25" hidden="false" customHeight="true" outlineLevel="0" collapsed="false">
      <c r="A2" s="21" t="s">
        <v>1460</v>
      </c>
    </row>
    <row r="3" customFormat="false" ht="15" hidden="false" customHeight="true" outlineLevel="0" collapsed="false">
      <c r="A3" s="25" t="s">
        <v>1461</v>
      </c>
    </row>
    <row r="4" customFormat="false" ht="15" hidden="false" customHeight="true" outlineLevel="0" collapsed="false">
      <c r="A4" s="26" t="s">
        <v>257</v>
      </c>
      <c r="B4" s="26" t="s">
        <v>258</v>
      </c>
      <c r="C4" s="27" t="s">
        <v>259</v>
      </c>
      <c r="D4" s="27"/>
      <c r="E4" s="49" t="n">
        <f aca="false">Assumptions!E$61</f>
        <v>46053</v>
      </c>
      <c r="F4" s="49" t="n">
        <f aca="false">Assumptions!F$61</f>
        <v>46081</v>
      </c>
      <c r="G4" s="49" t="n">
        <f aca="false">Assumptions!G$61</f>
        <v>46112</v>
      </c>
      <c r="H4" s="49" t="n">
        <f aca="false">Assumptions!H$61</f>
        <v>46142</v>
      </c>
      <c r="I4" s="49" t="n">
        <f aca="false">Assumptions!I$61</f>
        <v>46173</v>
      </c>
      <c r="J4" s="49" t="n">
        <f aca="false">Assumptions!J$61</f>
        <v>46203</v>
      </c>
      <c r="K4" s="49" t="n">
        <f aca="false">Assumptions!K$61</f>
        <v>46234</v>
      </c>
      <c r="L4" s="49" t="n">
        <f aca="false">Assumptions!L$61</f>
        <v>46265</v>
      </c>
      <c r="M4" s="49" t="n">
        <f aca="false">Assumptions!M$61</f>
        <v>46295</v>
      </c>
      <c r="N4" s="49" t="n">
        <f aca="false">Assumptions!N$61</f>
        <v>46326</v>
      </c>
      <c r="O4" s="49" t="n">
        <f aca="false">Assumptions!O$61</f>
        <v>46356</v>
      </c>
      <c r="P4" s="49" t="n">
        <f aca="false">Assumptions!P$61</f>
        <v>46387</v>
      </c>
    </row>
    <row r="5" customFormat="false" ht="15" hidden="false" customHeight="true" outlineLevel="0" collapsed="false">
      <c r="A5" s="50" t="s">
        <v>261</v>
      </c>
      <c r="B5" s="51"/>
      <c r="C5" s="52" t="s">
        <v>262</v>
      </c>
      <c r="D5" s="52"/>
      <c r="E5" s="52" t="str">
        <f aca="false">Assumptions!E$63</f>
        <v>A</v>
      </c>
      <c r="F5" s="52" t="str">
        <f aca="false">Assumptions!F$63</f>
        <v>A</v>
      </c>
      <c r="G5" s="52" t="str">
        <f aca="false">Assumptions!G$63</f>
        <v>A</v>
      </c>
      <c r="H5" s="52" t="str">
        <f aca="false">Assumptions!H$63</f>
        <v>A</v>
      </c>
      <c r="I5" s="52" t="str">
        <f aca="false">Assumptions!I$63</f>
        <v>A</v>
      </c>
      <c r="J5" s="52" t="str">
        <f aca="false">Assumptions!J$63</f>
        <v>A</v>
      </c>
      <c r="K5" s="52" t="str">
        <f aca="false">Assumptions!K$63</f>
        <v>A</v>
      </c>
      <c r="L5" s="52" t="str">
        <f aca="false">Assumptions!L$63</f>
        <v>A</v>
      </c>
      <c r="M5" s="52" t="str">
        <f aca="false">Assumptions!M$63</f>
        <v>F</v>
      </c>
      <c r="N5" s="52" t="str">
        <f aca="false">Assumptions!N$63</f>
        <v>F</v>
      </c>
      <c r="O5" s="52" t="str">
        <f aca="false">Assumptions!O$63</f>
        <v>F</v>
      </c>
      <c r="P5" s="52" t="str">
        <f aca="false">Assumptions!P$63</f>
        <v>F</v>
      </c>
    </row>
    <row r="6" customFormat="false" ht="15" hidden="false" customHeight="true" outlineLevel="0" collapsed="false">
      <c r="A6" s="53" t="s">
        <v>264</v>
      </c>
      <c r="E6" s="54" t="n">
        <f aca="false">Assumptions!E$62</f>
        <v>1</v>
      </c>
      <c r="F6" s="54" t="n">
        <f aca="false">Assumptions!F$62</f>
        <v>2</v>
      </c>
      <c r="G6" s="54" t="n">
        <f aca="false">Assumptions!G$62</f>
        <v>3</v>
      </c>
      <c r="H6" s="54" t="n">
        <f aca="false">Assumptions!H$62</f>
        <v>4</v>
      </c>
      <c r="I6" s="54" t="n">
        <f aca="false">Assumptions!I$62</f>
        <v>5</v>
      </c>
      <c r="J6" s="54" t="n">
        <f aca="false">Assumptions!J$62</f>
        <v>6</v>
      </c>
      <c r="K6" s="54" t="n">
        <f aca="false">Assumptions!K$62</f>
        <v>7</v>
      </c>
      <c r="L6" s="54" t="n">
        <f aca="false">Assumptions!L$62</f>
        <v>8</v>
      </c>
      <c r="M6" s="54" t="n">
        <f aca="false">Assumptions!M$62</f>
        <v>9</v>
      </c>
      <c r="N6" s="54" t="n">
        <f aca="false">Assumptions!N$62</f>
        <v>10</v>
      </c>
      <c r="O6" s="54" t="n">
        <f aca="false">Assumptions!O$62</f>
        <v>11</v>
      </c>
      <c r="P6" s="54" t="n">
        <f aca="false">Assumptions!P$62</f>
        <v>12</v>
      </c>
    </row>
    <row r="8" customFormat="false" ht="15" hidden="false" customHeight="true" outlineLevel="0" collapsed="false">
      <c r="A8" s="22" t="s">
        <v>1462</v>
      </c>
      <c r="B8" s="23"/>
      <c r="C8" s="23"/>
      <c r="D8" s="23"/>
      <c r="E8" s="23"/>
      <c r="F8" s="23"/>
      <c r="G8" s="23"/>
      <c r="H8" s="23"/>
      <c r="I8" s="23"/>
      <c r="J8" s="23"/>
      <c r="K8" s="23"/>
      <c r="L8" s="23"/>
      <c r="M8" s="23"/>
      <c r="N8" s="23"/>
      <c r="O8" s="23"/>
      <c r="P8" s="23"/>
    </row>
    <row r="9" customFormat="false" ht="15" hidden="false" customHeight="true" outlineLevel="0" collapsed="false">
      <c r="A9" s="28" t="s">
        <v>457</v>
      </c>
      <c r="B9" s="55" t="s">
        <v>1463</v>
      </c>
      <c r="C9" s="56" t="n">
        <f aca="false">SUM(E9:P9)</f>
        <v>28221</v>
      </c>
      <c r="E9" s="74" t="n">
        <v>1978</v>
      </c>
      <c r="F9" s="74" t="n">
        <v>1840</v>
      </c>
      <c r="G9" s="74" t="n">
        <v>2070</v>
      </c>
      <c r="H9" s="74" t="n">
        <v>2139</v>
      </c>
      <c r="I9" s="74" t="n">
        <v>2254</v>
      </c>
      <c r="J9" s="74" t="n">
        <v>2185</v>
      </c>
      <c r="K9" s="74" t="n">
        <v>2070</v>
      </c>
      <c r="L9" s="74" t="n">
        <v>2024</v>
      </c>
      <c r="M9" s="74" t="n">
        <v>2277</v>
      </c>
      <c r="N9" s="74" t="n">
        <v>2576</v>
      </c>
      <c r="O9" s="74" t="n">
        <v>3634</v>
      </c>
      <c r="P9" s="74" t="n">
        <v>3174</v>
      </c>
    </row>
    <row r="10" customFormat="false" ht="15" hidden="false" customHeight="true" outlineLevel="0" collapsed="false">
      <c r="A10" s="28" t="s">
        <v>458</v>
      </c>
      <c r="B10" s="55" t="s">
        <v>1463</v>
      </c>
      <c r="C10" s="56" t="n">
        <f aca="false">SUM(E10:P10)</f>
        <v>33129</v>
      </c>
      <c r="E10" s="74" t="n">
        <v>2322</v>
      </c>
      <c r="F10" s="74" t="n">
        <v>2160</v>
      </c>
      <c r="G10" s="74" t="n">
        <v>2430</v>
      </c>
      <c r="H10" s="74" t="n">
        <v>2511</v>
      </c>
      <c r="I10" s="74" t="n">
        <v>2646</v>
      </c>
      <c r="J10" s="74" t="n">
        <v>2565</v>
      </c>
      <c r="K10" s="74" t="n">
        <v>2430</v>
      </c>
      <c r="L10" s="74" t="n">
        <v>2376</v>
      </c>
      <c r="M10" s="74" t="n">
        <v>2673</v>
      </c>
      <c r="N10" s="74" t="n">
        <v>3024</v>
      </c>
      <c r="O10" s="74" t="n">
        <v>4266</v>
      </c>
      <c r="P10" s="74" t="n">
        <v>3726</v>
      </c>
    </row>
    <row r="11" customFormat="false" ht="15" hidden="false" customHeight="true" outlineLevel="0" collapsed="false">
      <c r="A11" s="28" t="s">
        <v>459</v>
      </c>
      <c r="B11" s="55" t="s">
        <v>1463</v>
      </c>
      <c r="C11" s="56" t="n">
        <f aca="false">SUM(E11:P11)</f>
        <v>10770</v>
      </c>
      <c r="E11" s="74" t="n">
        <v>320</v>
      </c>
      <c r="F11" s="74" t="n">
        <v>400</v>
      </c>
      <c r="G11" s="74" t="n">
        <v>500</v>
      </c>
      <c r="H11" s="74" t="n">
        <v>600</v>
      </c>
      <c r="I11" s="74" t="n">
        <v>700</v>
      </c>
      <c r="J11" s="74" t="n">
        <v>800</v>
      </c>
      <c r="K11" s="74" t="n">
        <v>900</v>
      </c>
      <c r="L11" s="74" t="n">
        <v>1000</v>
      </c>
      <c r="M11" s="74" t="n">
        <v>1100</v>
      </c>
      <c r="N11" s="74" t="n">
        <v>1250</v>
      </c>
      <c r="O11" s="74" t="n">
        <v>1700</v>
      </c>
      <c r="P11" s="74" t="n">
        <v>1500</v>
      </c>
    </row>
    <row r="12" customFormat="false" ht="15" hidden="false" customHeight="true" outlineLevel="0" collapsed="false">
      <c r="A12" s="28" t="s">
        <v>1464</v>
      </c>
      <c r="B12" s="55" t="s">
        <v>1463</v>
      </c>
      <c r="C12" s="114" t="n">
        <f aca="false">SUM(E12:P12)</f>
        <v>16.2</v>
      </c>
      <c r="E12" s="144" t="n">
        <v>1.35</v>
      </c>
      <c r="F12" s="144" t="n">
        <v>1.35</v>
      </c>
      <c r="G12" s="144" t="n">
        <v>1.35</v>
      </c>
      <c r="H12" s="144" t="n">
        <v>1.35</v>
      </c>
      <c r="I12" s="144" t="n">
        <v>1.35</v>
      </c>
      <c r="J12" s="144" t="n">
        <v>1.35</v>
      </c>
      <c r="K12" s="144" t="n">
        <v>1.35</v>
      </c>
      <c r="L12" s="144" t="n">
        <v>1.35</v>
      </c>
      <c r="M12" s="144" t="n">
        <v>1.35</v>
      </c>
      <c r="N12" s="144" t="n">
        <v>1.35</v>
      </c>
      <c r="O12" s="144" t="n">
        <v>1.35</v>
      </c>
      <c r="P12" s="144" t="n">
        <v>1.35</v>
      </c>
    </row>
    <row r="13" customFormat="false" ht="15" hidden="false" customHeight="true" outlineLevel="0" collapsed="false">
      <c r="A13" s="28" t="s">
        <v>1465</v>
      </c>
      <c r="B13" s="55" t="s">
        <v>1463</v>
      </c>
      <c r="C13" s="114" t="n">
        <f aca="false">SUM(E13:P13)</f>
        <v>13.8</v>
      </c>
      <c r="E13" s="144" t="n">
        <v>1.15</v>
      </c>
      <c r="F13" s="144" t="n">
        <v>1.15</v>
      </c>
      <c r="G13" s="144" t="n">
        <v>1.15</v>
      </c>
      <c r="H13" s="144" t="n">
        <v>1.15</v>
      </c>
      <c r="I13" s="144" t="n">
        <v>1.15</v>
      </c>
      <c r="J13" s="144" t="n">
        <v>1.15</v>
      </c>
      <c r="K13" s="144" t="n">
        <v>1.15</v>
      </c>
      <c r="L13" s="144" t="n">
        <v>1.15</v>
      </c>
      <c r="M13" s="144" t="n">
        <v>1.15</v>
      </c>
      <c r="N13" s="144" t="n">
        <v>1.15</v>
      </c>
      <c r="O13" s="144" t="n">
        <v>1.15</v>
      </c>
      <c r="P13" s="144" t="n">
        <v>1.15</v>
      </c>
    </row>
    <row r="14" customFormat="false" ht="15" hidden="false" customHeight="true" outlineLevel="0" collapsed="false">
      <c r="A14" s="28" t="s">
        <v>1466</v>
      </c>
      <c r="B14" s="55" t="s">
        <v>1463</v>
      </c>
      <c r="C14" s="114" t="n">
        <f aca="false">SUM(E14:P14)</f>
        <v>14.4</v>
      </c>
      <c r="E14" s="144" t="n">
        <v>1.2</v>
      </c>
      <c r="F14" s="144" t="n">
        <v>1.2</v>
      </c>
      <c r="G14" s="144" t="n">
        <v>1.2</v>
      </c>
      <c r="H14" s="144" t="n">
        <v>1.2</v>
      </c>
      <c r="I14" s="144" t="n">
        <v>1.2</v>
      </c>
      <c r="J14" s="144" t="n">
        <v>1.2</v>
      </c>
      <c r="K14" s="144" t="n">
        <v>1.2</v>
      </c>
      <c r="L14" s="144" t="n">
        <v>1.2</v>
      </c>
      <c r="M14" s="144" t="n">
        <v>1.2</v>
      </c>
      <c r="N14" s="144" t="n">
        <v>1.2</v>
      </c>
      <c r="O14" s="144" t="n">
        <v>1.2</v>
      </c>
      <c r="P14" s="144" t="n">
        <v>1.2</v>
      </c>
    </row>
    <row r="15" customFormat="false" ht="15" hidden="false" customHeight="true" outlineLevel="0" collapsed="false">
      <c r="A15" s="28" t="s">
        <v>1467</v>
      </c>
      <c r="B15" s="55" t="s">
        <v>1468</v>
      </c>
      <c r="C15" s="56" t="n">
        <f aca="false">SUM(E15:P15)</f>
        <v>38098.35</v>
      </c>
      <c r="E15" s="69" t="n">
        <f aca="false">E9*E12</f>
        <v>2670.3</v>
      </c>
      <c r="F15" s="69" t="n">
        <f aca="false">F9*F12</f>
        <v>2484</v>
      </c>
      <c r="G15" s="69" t="n">
        <f aca="false">G9*G12</f>
        <v>2794.5</v>
      </c>
      <c r="H15" s="69" t="n">
        <f aca="false">H9*H12</f>
        <v>2887.65</v>
      </c>
      <c r="I15" s="69" t="n">
        <f aca="false">I9*I12</f>
        <v>3042.9</v>
      </c>
      <c r="J15" s="69" t="n">
        <f aca="false">J9*J12</f>
        <v>2949.75</v>
      </c>
      <c r="K15" s="69" t="n">
        <f aca="false">K9*K12</f>
        <v>2794.5</v>
      </c>
      <c r="L15" s="69" t="n">
        <f aca="false">L9*L12</f>
        <v>2732.4</v>
      </c>
      <c r="M15" s="69" t="n">
        <f aca="false">M9*M12</f>
        <v>3073.95</v>
      </c>
      <c r="N15" s="69" t="n">
        <f aca="false">N9*N12</f>
        <v>3477.6</v>
      </c>
      <c r="O15" s="69" t="n">
        <f aca="false">O9*O12</f>
        <v>4905.9</v>
      </c>
      <c r="P15" s="69" t="n">
        <f aca="false">P9*P12</f>
        <v>4284.9</v>
      </c>
    </row>
    <row r="16" customFormat="false" ht="15" hidden="false" customHeight="true" outlineLevel="0" collapsed="false">
      <c r="A16" s="28" t="s">
        <v>1469</v>
      </c>
      <c r="B16" s="55" t="s">
        <v>1468</v>
      </c>
      <c r="C16" s="56" t="n">
        <f aca="false">SUM(E16:P16)</f>
        <v>38098.35</v>
      </c>
      <c r="E16" s="69" t="n">
        <f aca="false">E10*E13</f>
        <v>2670.3</v>
      </c>
      <c r="F16" s="69" t="n">
        <f aca="false">F10*F13</f>
        <v>2484</v>
      </c>
      <c r="G16" s="69" t="n">
        <f aca="false">G10*G13</f>
        <v>2794.5</v>
      </c>
      <c r="H16" s="69" t="n">
        <f aca="false">H10*H13</f>
        <v>2887.65</v>
      </c>
      <c r="I16" s="69" t="n">
        <f aca="false">I10*I13</f>
        <v>3042.9</v>
      </c>
      <c r="J16" s="69" t="n">
        <f aca="false">J10*J13</f>
        <v>2949.75</v>
      </c>
      <c r="K16" s="69" t="n">
        <f aca="false">K10*K13</f>
        <v>2794.5</v>
      </c>
      <c r="L16" s="69" t="n">
        <f aca="false">L10*L13</f>
        <v>2732.4</v>
      </c>
      <c r="M16" s="69" t="n">
        <f aca="false">M10*M13</f>
        <v>3073.95</v>
      </c>
      <c r="N16" s="69" t="n">
        <f aca="false">N10*N13</f>
        <v>3477.6</v>
      </c>
      <c r="O16" s="69" t="n">
        <f aca="false">O10*O13</f>
        <v>4905.9</v>
      </c>
      <c r="P16" s="69" t="n">
        <f aca="false">P10*P13</f>
        <v>4284.9</v>
      </c>
    </row>
    <row r="17" customFormat="false" ht="15" hidden="false" customHeight="true" outlineLevel="0" collapsed="false">
      <c r="A17" s="28" t="s">
        <v>1470</v>
      </c>
      <c r="B17" s="55" t="s">
        <v>1468</v>
      </c>
      <c r="C17" s="56" t="n">
        <f aca="false">SUM(E17:P17)</f>
        <v>12924</v>
      </c>
      <c r="E17" s="69" t="n">
        <f aca="false">E11*E14</f>
        <v>384</v>
      </c>
      <c r="F17" s="69" t="n">
        <f aca="false">F11*F14</f>
        <v>480</v>
      </c>
      <c r="G17" s="69" t="n">
        <f aca="false">G11*G14</f>
        <v>600</v>
      </c>
      <c r="H17" s="69" t="n">
        <f aca="false">H11*H14</f>
        <v>720</v>
      </c>
      <c r="I17" s="69" t="n">
        <f aca="false">I11*I14</f>
        <v>840</v>
      </c>
      <c r="J17" s="69" t="n">
        <f aca="false">J11*J14</f>
        <v>960</v>
      </c>
      <c r="K17" s="69" t="n">
        <f aca="false">K11*K14</f>
        <v>1080</v>
      </c>
      <c r="L17" s="69" t="n">
        <f aca="false">L11*L14</f>
        <v>1200</v>
      </c>
      <c r="M17" s="69" t="n">
        <f aca="false">M11*M14</f>
        <v>1320</v>
      </c>
      <c r="N17" s="69" t="n">
        <f aca="false">N11*N14</f>
        <v>1500</v>
      </c>
      <c r="O17" s="69" t="n">
        <f aca="false">O11*O14</f>
        <v>2040</v>
      </c>
      <c r="P17" s="69" t="n">
        <f aca="false">P11*P14</f>
        <v>1800</v>
      </c>
    </row>
    <row r="18" customFormat="false" ht="15" hidden="false" customHeight="true" outlineLevel="0" collapsed="false">
      <c r="A18" s="28" t="s">
        <v>1471</v>
      </c>
      <c r="B18" s="55" t="s">
        <v>1463</v>
      </c>
      <c r="C18" s="61" t="n">
        <f aca="false">SUM(E18:P18)</f>
        <v>888</v>
      </c>
      <c r="E18" s="134" t="n">
        <v>74</v>
      </c>
      <c r="F18" s="134" t="n">
        <v>74</v>
      </c>
      <c r="G18" s="134" t="n">
        <v>74</v>
      </c>
      <c r="H18" s="134" t="n">
        <v>74</v>
      </c>
      <c r="I18" s="134" t="n">
        <v>74</v>
      </c>
      <c r="J18" s="134" t="n">
        <v>74</v>
      </c>
      <c r="K18" s="134" t="n">
        <v>74</v>
      </c>
      <c r="L18" s="134" t="n">
        <v>74</v>
      </c>
      <c r="M18" s="134" t="n">
        <v>74</v>
      </c>
      <c r="N18" s="134" t="n">
        <v>74</v>
      </c>
      <c r="O18" s="134" t="n">
        <v>74</v>
      </c>
      <c r="P18" s="134" t="n">
        <v>74</v>
      </c>
    </row>
    <row r="19" customFormat="false" ht="15" hidden="false" customHeight="true" outlineLevel="0" collapsed="false">
      <c r="A19" s="28" t="s">
        <v>1472</v>
      </c>
      <c r="B19" s="55" t="s">
        <v>1463</v>
      </c>
      <c r="C19" s="61" t="n">
        <f aca="false">SUM(E19:P19)</f>
        <v>684</v>
      </c>
      <c r="E19" s="134" t="n">
        <v>57</v>
      </c>
      <c r="F19" s="134" t="n">
        <v>57</v>
      </c>
      <c r="G19" s="134" t="n">
        <v>57</v>
      </c>
      <c r="H19" s="134" t="n">
        <v>57</v>
      </c>
      <c r="I19" s="134" t="n">
        <v>57</v>
      </c>
      <c r="J19" s="134" t="n">
        <v>57</v>
      </c>
      <c r="K19" s="134" t="n">
        <v>57</v>
      </c>
      <c r="L19" s="134" t="n">
        <v>57</v>
      </c>
      <c r="M19" s="134" t="n">
        <v>57</v>
      </c>
      <c r="N19" s="134" t="n">
        <v>57</v>
      </c>
      <c r="O19" s="134" t="n">
        <v>57</v>
      </c>
      <c r="P19" s="134" t="n">
        <v>57</v>
      </c>
    </row>
    <row r="20" customFormat="false" ht="15" hidden="false" customHeight="true" outlineLevel="0" collapsed="false">
      <c r="A20" s="28" t="s">
        <v>1473</v>
      </c>
      <c r="B20" s="55" t="s">
        <v>1463</v>
      </c>
      <c r="C20" s="61" t="n">
        <f aca="false">SUM(E20:P20)</f>
        <v>660</v>
      </c>
      <c r="E20" s="134" t="n">
        <v>55</v>
      </c>
      <c r="F20" s="134" t="n">
        <v>55</v>
      </c>
      <c r="G20" s="134" t="n">
        <v>55</v>
      </c>
      <c r="H20" s="134" t="n">
        <v>55</v>
      </c>
      <c r="I20" s="134" t="n">
        <v>55</v>
      </c>
      <c r="J20" s="134" t="n">
        <v>55</v>
      </c>
      <c r="K20" s="134" t="n">
        <v>55</v>
      </c>
      <c r="L20" s="134" t="n">
        <v>55</v>
      </c>
      <c r="M20" s="134" t="n">
        <v>55</v>
      </c>
      <c r="N20" s="134" t="n">
        <v>55</v>
      </c>
      <c r="O20" s="134" t="n">
        <v>55</v>
      </c>
      <c r="P20" s="134" t="n">
        <v>55</v>
      </c>
    </row>
    <row r="21" customFormat="false" ht="15" hidden="false" customHeight="true" outlineLevel="0" collapsed="false">
      <c r="A21" s="28" t="s">
        <v>306</v>
      </c>
      <c r="B21" s="55" t="s">
        <v>1474</v>
      </c>
      <c r="C21" s="56" t="n">
        <f aca="false">SUM(E21:P21)</f>
        <v>2088354</v>
      </c>
      <c r="E21" s="69" t="n">
        <f aca="false">E9*E18</f>
        <v>146372</v>
      </c>
      <c r="F21" s="69" t="n">
        <f aca="false">F9*F18</f>
        <v>136160</v>
      </c>
      <c r="G21" s="69" t="n">
        <f aca="false">G9*G18</f>
        <v>153180</v>
      </c>
      <c r="H21" s="69" t="n">
        <f aca="false">H9*H18</f>
        <v>158286</v>
      </c>
      <c r="I21" s="69" t="n">
        <f aca="false">I9*I18</f>
        <v>166796</v>
      </c>
      <c r="J21" s="69" t="n">
        <f aca="false">J9*J18</f>
        <v>161690</v>
      </c>
      <c r="K21" s="69" t="n">
        <f aca="false">K9*K18</f>
        <v>153180</v>
      </c>
      <c r="L21" s="69" t="n">
        <f aca="false">L9*L18</f>
        <v>149776</v>
      </c>
      <c r="M21" s="69" t="n">
        <f aca="false">M9*M18</f>
        <v>168498</v>
      </c>
      <c r="N21" s="69" t="n">
        <f aca="false">N9*N18</f>
        <v>190624</v>
      </c>
      <c r="O21" s="69" t="n">
        <f aca="false">O9*O18</f>
        <v>268916</v>
      </c>
      <c r="P21" s="69" t="n">
        <f aca="false">P9*P18</f>
        <v>234876</v>
      </c>
    </row>
    <row r="22" customFormat="false" ht="15" hidden="false" customHeight="true" outlineLevel="0" collapsed="false">
      <c r="A22" s="28" t="s">
        <v>307</v>
      </c>
      <c r="B22" s="55" t="s">
        <v>1474</v>
      </c>
      <c r="C22" s="56" t="n">
        <f aca="false">SUM(E22:P22)</f>
        <v>1888353</v>
      </c>
      <c r="E22" s="69" t="n">
        <f aca="false">E10*E19</f>
        <v>132354</v>
      </c>
      <c r="F22" s="69" t="n">
        <f aca="false">F10*F19</f>
        <v>123120</v>
      </c>
      <c r="G22" s="69" t="n">
        <f aca="false">G10*G19</f>
        <v>138510</v>
      </c>
      <c r="H22" s="69" t="n">
        <f aca="false">H10*H19</f>
        <v>143127</v>
      </c>
      <c r="I22" s="69" t="n">
        <f aca="false">I10*I19</f>
        <v>150822</v>
      </c>
      <c r="J22" s="69" t="n">
        <f aca="false">J10*J19</f>
        <v>146205</v>
      </c>
      <c r="K22" s="69" t="n">
        <f aca="false">K10*K19</f>
        <v>138510</v>
      </c>
      <c r="L22" s="69" t="n">
        <f aca="false">L10*L19</f>
        <v>135432</v>
      </c>
      <c r="M22" s="69" t="n">
        <f aca="false">M10*M19</f>
        <v>152361</v>
      </c>
      <c r="N22" s="69" t="n">
        <f aca="false">N10*N19</f>
        <v>172368</v>
      </c>
      <c r="O22" s="69" t="n">
        <f aca="false">O10*O19</f>
        <v>243162</v>
      </c>
      <c r="P22" s="69" t="n">
        <f aca="false">P10*P19</f>
        <v>212382</v>
      </c>
    </row>
    <row r="23" customFormat="false" ht="15" hidden="false" customHeight="true" outlineLevel="0" collapsed="false">
      <c r="A23" s="28" t="s">
        <v>308</v>
      </c>
      <c r="B23" s="55" t="s">
        <v>1474</v>
      </c>
      <c r="C23" s="56" t="n">
        <f aca="false">SUM(E23:P23)</f>
        <v>592350</v>
      </c>
      <c r="E23" s="69" t="n">
        <f aca="false">E11*E20</f>
        <v>17600</v>
      </c>
      <c r="F23" s="69" t="n">
        <f aca="false">F11*F20</f>
        <v>22000</v>
      </c>
      <c r="G23" s="69" t="n">
        <f aca="false">G11*G20</f>
        <v>27500</v>
      </c>
      <c r="H23" s="69" t="n">
        <f aca="false">H11*H20</f>
        <v>33000</v>
      </c>
      <c r="I23" s="69" t="n">
        <f aca="false">I11*I20</f>
        <v>38500</v>
      </c>
      <c r="J23" s="69" t="n">
        <f aca="false">J11*J20</f>
        <v>44000</v>
      </c>
      <c r="K23" s="69" t="n">
        <f aca="false">K11*K20</f>
        <v>49500</v>
      </c>
      <c r="L23" s="69" t="n">
        <f aca="false">L11*L20</f>
        <v>55000</v>
      </c>
      <c r="M23" s="69" t="n">
        <f aca="false">M11*M20</f>
        <v>60500</v>
      </c>
      <c r="N23" s="69" t="n">
        <f aca="false">N11*N20</f>
        <v>68750</v>
      </c>
      <c r="O23" s="69" t="n">
        <f aca="false">O11*O20</f>
        <v>93500</v>
      </c>
      <c r="P23" s="69" t="n">
        <f aca="false">P11*P20</f>
        <v>82500</v>
      </c>
    </row>
    <row r="24" customFormat="false" ht="15" hidden="false" customHeight="true" outlineLevel="0" collapsed="false">
      <c r="A24" s="70" t="s">
        <v>312</v>
      </c>
      <c r="B24" s="71" t="s">
        <v>310</v>
      </c>
      <c r="C24" s="72" t="n">
        <f aca="false">SUM(E24:P24)</f>
        <v>4569057</v>
      </c>
      <c r="D24" s="149"/>
      <c r="E24" s="72" t="n">
        <f aca="false">E21+E22+E23</f>
        <v>296326</v>
      </c>
      <c r="F24" s="72" t="n">
        <f aca="false">F21+F22+F23</f>
        <v>281280</v>
      </c>
      <c r="G24" s="72" t="n">
        <f aca="false">G21+G22+G23</f>
        <v>319190</v>
      </c>
      <c r="H24" s="72" t="n">
        <f aca="false">H21+H22+H23</f>
        <v>334413</v>
      </c>
      <c r="I24" s="72" t="n">
        <f aca="false">I21+I22+I23</f>
        <v>356118</v>
      </c>
      <c r="J24" s="72" t="n">
        <f aca="false">J21+J22+J23</f>
        <v>351895</v>
      </c>
      <c r="K24" s="72" t="n">
        <f aca="false">K21+K22+K23</f>
        <v>341190</v>
      </c>
      <c r="L24" s="72" t="n">
        <f aca="false">L21+L22+L23</f>
        <v>340208</v>
      </c>
      <c r="M24" s="72" t="n">
        <f aca="false">M21+M22+M23</f>
        <v>381359</v>
      </c>
      <c r="N24" s="72" t="n">
        <f aca="false">N21+N22+N23</f>
        <v>431742</v>
      </c>
      <c r="O24" s="72" t="n">
        <f aca="false">O21+O22+O23</f>
        <v>605578</v>
      </c>
      <c r="P24" s="72" t="n">
        <f aca="false">P21+P22+P23</f>
        <v>529758</v>
      </c>
    </row>
    <row r="25" customFormat="false" ht="15" hidden="false" customHeight="true" outlineLevel="0" collapsed="false">
      <c r="A25" s="28" t="s">
        <v>1475</v>
      </c>
      <c r="B25" s="55" t="s">
        <v>310</v>
      </c>
      <c r="C25" s="56" t="n">
        <f aca="false">SUM(E25:P25)</f>
        <v>72120</v>
      </c>
      <c r="E25" s="69" t="n">
        <f aca="false">E9+E10+E11</f>
        <v>4620</v>
      </c>
      <c r="F25" s="69" t="n">
        <f aca="false">F9+F10+F11</f>
        <v>4400</v>
      </c>
      <c r="G25" s="69" t="n">
        <f aca="false">G9+G10+G11</f>
        <v>5000</v>
      </c>
      <c r="H25" s="69" t="n">
        <f aca="false">H9+H10+H11</f>
        <v>5250</v>
      </c>
      <c r="I25" s="69" t="n">
        <f aca="false">I9+I10+I11</f>
        <v>5600</v>
      </c>
      <c r="J25" s="69" t="n">
        <f aca="false">J9+J10+J11</f>
        <v>5550</v>
      </c>
      <c r="K25" s="69" t="n">
        <f aca="false">K9+K10+K11</f>
        <v>5400</v>
      </c>
      <c r="L25" s="69" t="n">
        <f aca="false">L9+L10+L11</f>
        <v>5400</v>
      </c>
      <c r="M25" s="69" t="n">
        <f aca="false">M9+M10+M11</f>
        <v>6050</v>
      </c>
      <c r="N25" s="69" t="n">
        <f aca="false">N9+N10+N11</f>
        <v>6850</v>
      </c>
      <c r="O25" s="69" t="n">
        <f aca="false">O9+O10+O11</f>
        <v>9600</v>
      </c>
      <c r="P25" s="69" t="n">
        <f aca="false">P9+P10+P11</f>
        <v>8400</v>
      </c>
    </row>
    <row r="26" customFormat="false" ht="15" hidden="false" customHeight="true" outlineLevel="0" collapsed="false">
      <c r="A26" s="28" t="s">
        <v>1476</v>
      </c>
      <c r="B26" s="55" t="s">
        <v>310</v>
      </c>
      <c r="C26" s="56" t="n">
        <f aca="false">SUM(E26:P26)</f>
        <v>89120.7</v>
      </c>
      <c r="E26" s="69" t="n">
        <f aca="false">E15+E16+E17</f>
        <v>5724.6</v>
      </c>
      <c r="F26" s="69" t="n">
        <f aca="false">F15+F16+F17</f>
        <v>5448</v>
      </c>
      <c r="G26" s="69" t="n">
        <f aca="false">G15+G16+G17</f>
        <v>6189</v>
      </c>
      <c r="H26" s="69" t="n">
        <f aca="false">H15+H16+H17</f>
        <v>6495.3</v>
      </c>
      <c r="I26" s="69" t="n">
        <f aca="false">I15+I16+I17</f>
        <v>6925.8</v>
      </c>
      <c r="J26" s="69" t="n">
        <f aca="false">J15+J16+J17</f>
        <v>6859.5</v>
      </c>
      <c r="K26" s="69" t="n">
        <f aca="false">K15+K16+K17</f>
        <v>6669</v>
      </c>
      <c r="L26" s="69" t="n">
        <f aca="false">L15+L16+L17</f>
        <v>6664.8</v>
      </c>
      <c r="M26" s="69" t="n">
        <f aca="false">M15+M16+M17</f>
        <v>7467.9</v>
      </c>
      <c r="N26" s="69" t="n">
        <f aca="false">N15+N16+N17</f>
        <v>8455.2</v>
      </c>
      <c r="O26" s="69" t="n">
        <f aca="false">O15+O16+O17</f>
        <v>11851.8</v>
      </c>
      <c r="P26" s="69" t="n">
        <f aca="false">P15+P16+P17</f>
        <v>10369.8</v>
      </c>
    </row>
    <row r="27" customFormat="false" ht="15" hidden="false" customHeight="true" outlineLevel="0" collapsed="false">
      <c r="A27" s="22" t="s">
        <v>1477</v>
      </c>
      <c r="B27" s="23"/>
      <c r="C27" s="23"/>
      <c r="D27" s="23"/>
      <c r="E27" s="23"/>
      <c r="F27" s="23"/>
      <c r="G27" s="23"/>
      <c r="H27" s="23"/>
      <c r="I27" s="23"/>
      <c r="J27" s="23"/>
      <c r="K27" s="23"/>
      <c r="L27" s="23"/>
      <c r="M27" s="23"/>
      <c r="N27" s="23"/>
      <c r="O27" s="23"/>
      <c r="P27" s="23"/>
    </row>
    <row r="28" customFormat="false" ht="15" hidden="false" customHeight="true" outlineLevel="0" collapsed="false">
      <c r="A28" s="28" t="s">
        <v>1478</v>
      </c>
      <c r="B28" s="55" t="s">
        <v>1463</v>
      </c>
      <c r="C28" s="59" t="n">
        <f aca="false">SUM(E28:P28)</f>
        <v>4.5</v>
      </c>
      <c r="E28" s="121" t="n">
        <v>0.375</v>
      </c>
      <c r="F28" s="121" t="n">
        <v>0.375</v>
      </c>
      <c r="G28" s="121" t="n">
        <v>0.375</v>
      </c>
      <c r="H28" s="121" t="n">
        <v>0.375</v>
      </c>
      <c r="I28" s="121" t="n">
        <v>0.375</v>
      </c>
      <c r="J28" s="121" t="n">
        <v>0.375</v>
      </c>
      <c r="K28" s="121" t="n">
        <v>0.375</v>
      </c>
      <c r="L28" s="121" t="n">
        <v>0.375</v>
      </c>
      <c r="M28" s="121" t="n">
        <v>0.375</v>
      </c>
      <c r="N28" s="121" t="n">
        <v>0.375</v>
      </c>
      <c r="O28" s="121" t="n">
        <v>0.375</v>
      </c>
      <c r="P28" s="121" t="n">
        <v>0.375</v>
      </c>
    </row>
    <row r="29" customFormat="false" ht="15" hidden="false" customHeight="true" outlineLevel="0" collapsed="false">
      <c r="A29" s="28" t="s">
        <v>750</v>
      </c>
      <c r="B29" s="55"/>
      <c r="C29" s="56" t="n">
        <f aca="false">SUM(E29:P29)</f>
        <v>-1713396.375</v>
      </c>
      <c r="E29" s="69" t="n">
        <f aca="false">-E28*E24</f>
        <v>-111122.25</v>
      </c>
      <c r="F29" s="69" t="n">
        <f aca="false">-F28*F24</f>
        <v>-105480</v>
      </c>
      <c r="G29" s="69" t="n">
        <f aca="false">-G28*G24</f>
        <v>-119696.25</v>
      </c>
      <c r="H29" s="69" t="n">
        <f aca="false">-H28*H24</f>
        <v>-125404.875</v>
      </c>
      <c r="I29" s="69" t="n">
        <f aca="false">-I28*I24</f>
        <v>-133544.25</v>
      </c>
      <c r="J29" s="69" t="n">
        <f aca="false">-J28*J24</f>
        <v>-131960.625</v>
      </c>
      <c r="K29" s="69" t="n">
        <f aca="false">-K28*K24</f>
        <v>-127946.25</v>
      </c>
      <c r="L29" s="69" t="n">
        <f aca="false">-L28*L24</f>
        <v>-127578</v>
      </c>
      <c r="M29" s="69" t="n">
        <f aca="false">-M28*M24</f>
        <v>-143009.625</v>
      </c>
      <c r="N29" s="69" t="n">
        <f aca="false">-N28*N24</f>
        <v>-161903.25</v>
      </c>
      <c r="O29" s="69" t="n">
        <f aca="false">-O28*O24</f>
        <v>-227091.75</v>
      </c>
      <c r="P29" s="69" t="n">
        <f aca="false">-P28*P24</f>
        <v>-198659.25</v>
      </c>
    </row>
    <row r="30" customFormat="false" ht="15" hidden="false" customHeight="true" outlineLevel="0" collapsed="false">
      <c r="A30" s="70" t="s">
        <v>319</v>
      </c>
      <c r="B30" s="71"/>
      <c r="C30" s="72" t="n">
        <f aca="false">SUM(E30:P30)</f>
        <v>2855660.625</v>
      </c>
      <c r="D30" s="149"/>
      <c r="E30" s="72" t="n">
        <f aca="false">E24+E29</f>
        <v>185203.75</v>
      </c>
      <c r="F30" s="72" t="n">
        <f aca="false">F24+F29</f>
        <v>175800</v>
      </c>
      <c r="G30" s="72" t="n">
        <f aca="false">G24+G29</f>
        <v>199493.75</v>
      </c>
      <c r="H30" s="72" t="n">
        <f aca="false">H24+H29</f>
        <v>209008.125</v>
      </c>
      <c r="I30" s="72" t="n">
        <f aca="false">I24+I29</f>
        <v>222573.75</v>
      </c>
      <c r="J30" s="72" t="n">
        <f aca="false">J24+J29</f>
        <v>219934.375</v>
      </c>
      <c r="K30" s="72" t="n">
        <f aca="false">K24+K29</f>
        <v>213243.75</v>
      </c>
      <c r="L30" s="72" t="n">
        <f aca="false">L24+L29</f>
        <v>212630</v>
      </c>
      <c r="M30" s="72" t="n">
        <f aca="false">M24+M29</f>
        <v>238349.375</v>
      </c>
      <c r="N30" s="72" t="n">
        <f aca="false">N24+N29</f>
        <v>269838.75</v>
      </c>
      <c r="O30" s="72" t="n">
        <f aca="false">O24+O29</f>
        <v>378486.25</v>
      </c>
      <c r="P30" s="72" t="n">
        <f aca="false">P24+P29</f>
        <v>331098.75</v>
      </c>
    </row>
    <row r="31" customFormat="false" ht="15" hidden="false" customHeight="true" outlineLevel="0" collapsed="false">
      <c r="A31" s="28" t="s">
        <v>1479</v>
      </c>
      <c r="B31" s="55" t="s">
        <v>1463</v>
      </c>
      <c r="C31" s="59" t="n">
        <f aca="false">SUM(E31:P31)</f>
        <v>1.68</v>
      </c>
      <c r="E31" s="121" t="n">
        <v>0.14</v>
      </c>
      <c r="F31" s="121" t="n">
        <v>0.14</v>
      </c>
      <c r="G31" s="121" t="n">
        <v>0.14</v>
      </c>
      <c r="H31" s="121" t="n">
        <v>0.14</v>
      </c>
      <c r="I31" s="121" t="n">
        <v>0.14</v>
      </c>
      <c r="J31" s="121" t="n">
        <v>0.14</v>
      </c>
      <c r="K31" s="121" t="n">
        <v>0.14</v>
      </c>
      <c r="L31" s="121" t="n">
        <v>0.14</v>
      </c>
      <c r="M31" s="121" t="n">
        <v>0.14</v>
      </c>
      <c r="N31" s="121" t="n">
        <v>0.14</v>
      </c>
      <c r="O31" s="121" t="n">
        <v>0.14</v>
      </c>
      <c r="P31" s="121" t="n">
        <v>0.14</v>
      </c>
    </row>
    <row r="32" customFormat="false" ht="15" hidden="false" customHeight="true" outlineLevel="0" collapsed="false">
      <c r="A32" s="28" t="s">
        <v>1480</v>
      </c>
      <c r="B32" s="55" t="s">
        <v>1463</v>
      </c>
      <c r="C32" s="59" t="n">
        <f aca="false">SUM(E32:P32)</f>
        <v>3</v>
      </c>
      <c r="E32" s="121" t="n">
        <v>0.25</v>
      </c>
      <c r="F32" s="121" t="n">
        <v>0.25</v>
      </c>
      <c r="G32" s="121" t="n">
        <v>0.25</v>
      </c>
      <c r="H32" s="121" t="n">
        <v>0.25</v>
      </c>
      <c r="I32" s="121" t="n">
        <v>0.25</v>
      </c>
      <c r="J32" s="121" t="n">
        <v>0.25</v>
      </c>
      <c r="K32" s="121" t="n">
        <v>0.25</v>
      </c>
      <c r="L32" s="121" t="n">
        <v>0.25</v>
      </c>
      <c r="M32" s="121" t="n">
        <v>0.25</v>
      </c>
      <c r="N32" s="121" t="n">
        <v>0.25</v>
      </c>
      <c r="O32" s="121" t="n">
        <v>0.25</v>
      </c>
      <c r="P32" s="121" t="n">
        <v>0.25</v>
      </c>
    </row>
    <row r="33" customFormat="false" ht="15" hidden="false" customHeight="true" outlineLevel="0" collapsed="false">
      <c r="A33" s="28" t="s">
        <v>1481</v>
      </c>
      <c r="B33" s="55" t="s">
        <v>1463</v>
      </c>
      <c r="C33" s="59" t="n">
        <f aca="false">SUM(E33:P33)</f>
        <v>3.12</v>
      </c>
      <c r="E33" s="121" t="n">
        <v>0.26</v>
      </c>
      <c r="F33" s="121" t="n">
        <v>0.26</v>
      </c>
      <c r="G33" s="121" t="n">
        <v>0.26</v>
      </c>
      <c r="H33" s="121" t="n">
        <v>0.26</v>
      </c>
      <c r="I33" s="121" t="n">
        <v>0.26</v>
      </c>
      <c r="J33" s="121" t="n">
        <v>0.26</v>
      </c>
      <c r="K33" s="121" t="n">
        <v>0.26</v>
      </c>
      <c r="L33" s="121" t="n">
        <v>0.26</v>
      </c>
      <c r="M33" s="121" t="n">
        <v>0.26</v>
      </c>
      <c r="N33" s="121" t="n">
        <v>0.26</v>
      </c>
      <c r="O33" s="121" t="n">
        <v>0.26</v>
      </c>
      <c r="P33" s="121" t="n">
        <v>0.26</v>
      </c>
    </row>
    <row r="34" customFormat="false" ht="15" hidden="false" customHeight="true" outlineLevel="0" collapsed="false">
      <c r="A34" s="28" t="s">
        <v>462</v>
      </c>
      <c r="B34" s="55"/>
      <c r="C34" s="56" t="n">
        <f aca="false">SUM(E34:P34)</f>
        <v>-918468.81</v>
      </c>
      <c r="E34" s="69" t="n">
        <f aca="false">-(E31*E21+E32*E22+E33*E23)</f>
        <v>-58156.58</v>
      </c>
      <c r="F34" s="69" t="n">
        <f aca="false">-(F31*F21+F32*F22+F33*F23)</f>
        <v>-55562.4</v>
      </c>
      <c r="G34" s="69" t="n">
        <f aca="false">-(G31*G21+G32*G22+G33*G23)</f>
        <v>-63222.7</v>
      </c>
      <c r="H34" s="69" t="n">
        <f aca="false">-(H31*H21+H32*H22+H33*H23)</f>
        <v>-66521.79</v>
      </c>
      <c r="I34" s="69" t="n">
        <f aca="false">-(I31*I21+I32*I22+I33*I23)</f>
        <v>-71066.94</v>
      </c>
      <c r="J34" s="69" t="n">
        <f aca="false">-(J31*J21+J32*J22+J33*J23)</f>
        <v>-70627.85</v>
      </c>
      <c r="K34" s="69" t="n">
        <f aca="false">-(K31*K21+K32*K22+K33*K23)</f>
        <v>-68942.7</v>
      </c>
      <c r="L34" s="69" t="n">
        <f aca="false">-(L31*L21+L32*L22+L33*L23)</f>
        <v>-69126.64</v>
      </c>
      <c r="M34" s="69" t="n">
        <f aca="false">-(M31*M21+M32*M22+M33*M23)</f>
        <v>-77409.97</v>
      </c>
      <c r="N34" s="69" t="n">
        <f aca="false">-(N31*N21+N32*N22+N33*N23)</f>
        <v>-87654.36</v>
      </c>
      <c r="O34" s="69" t="n">
        <f aca="false">-(O31*O21+O32*O22+O33*O23)</f>
        <v>-122748.74</v>
      </c>
      <c r="P34" s="69" t="n">
        <f aca="false">-(P31*P21+P32*P22+P33*P23)</f>
        <v>-107428.14</v>
      </c>
    </row>
    <row r="35" customFormat="false" ht="15" hidden="false" customHeight="true" outlineLevel="0" collapsed="false">
      <c r="A35" s="70" t="s">
        <v>324</v>
      </c>
      <c r="B35" s="71"/>
      <c r="C35" s="72" t="n">
        <f aca="false">SUM(E35:P35)</f>
        <v>1937191.815</v>
      </c>
      <c r="D35" s="149"/>
      <c r="E35" s="72" t="n">
        <f aca="false">E30+E34</f>
        <v>127047.17</v>
      </c>
      <c r="F35" s="72" t="n">
        <f aca="false">F30+F34</f>
        <v>120237.6</v>
      </c>
      <c r="G35" s="72" t="n">
        <f aca="false">G30+G34</f>
        <v>136271.05</v>
      </c>
      <c r="H35" s="72" t="n">
        <f aca="false">H30+H34</f>
        <v>142486.335</v>
      </c>
      <c r="I35" s="72" t="n">
        <f aca="false">I30+I34</f>
        <v>151506.81</v>
      </c>
      <c r="J35" s="72" t="n">
        <f aca="false">J30+J34</f>
        <v>149306.525</v>
      </c>
      <c r="K35" s="72" t="n">
        <f aca="false">K30+K34</f>
        <v>144301.05</v>
      </c>
      <c r="L35" s="72" t="n">
        <f aca="false">L30+L34</f>
        <v>143503.36</v>
      </c>
      <c r="M35" s="72" t="n">
        <f aca="false">M30+M34</f>
        <v>160939.405</v>
      </c>
      <c r="N35" s="72" t="n">
        <f aca="false">N30+N34</f>
        <v>182184.39</v>
      </c>
      <c r="O35" s="72" t="n">
        <f aca="false">O30+O34</f>
        <v>255737.51</v>
      </c>
      <c r="P35" s="72" t="n">
        <f aca="false">P30+P34</f>
        <v>223670.61</v>
      </c>
    </row>
    <row r="36" customFormat="false" ht="15" hidden="false" customHeight="true" outlineLevel="0" collapsed="false">
      <c r="A36" s="28" t="s">
        <v>1482</v>
      </c>
      <c r="B36" s="55" t="s">
        <v>1463</v>
      </c>
      <c r="C36" s="59" t="n">
        <f aca="false">SUM(E36:P36)</f>
        <v>2.04</v>
      </c>
      <c r="E36" s="121" t="n">
        <v>0.17</v>
      </c>
      <c r="F36" s="121" t="n">
        <v>0.17</v>
      </c>
      <c r="G36" s="121" t="n">
        <v>0.17</v>
      </c>
      <c r="H36" s="121" t="n">
        <v>0.17</v>
      </c>
      <c r="I36" s="121" t="n">
        <v>0.17</v>
      </c>
      <c r="J36" s="121" t="n">
        <v>0.17</v>
      </c>
      <c r="K36" s="121" t="n">
        <v>0.17</v>
      </c>
      <c r="L36" s="121" t="n">
        <v>0.17</v>
      </c>
      <c r="M36" s="121" t="n">
        <v>0.17</v>
      </c>
      <c r="N36" s="121" t="n">
        <v>0.17</v>
      </c>
      <c r="O36" s="121" t="n">
        <v>0.17</v>
      </c>
      <c r="P36" s="121" t="n">
        <v>0.17</v>
      </c>
    </row>
    <row r="37" customFormat="false" ht="15" hidden="false" customHeight="true" outlineLevel="0" collapsed="false">
      <c r="A37" s="28" t="s">
        <v>1483</v>
      </c>
      <c r="B37" s="55" t="s">
        <v>1463</v>
      </c>
      <c r="C37" s="59" t="n">
        <f aca="false">SUM(E37:P37)</f>
        <v>1.02</v>
      </c>
      <c r="E37" s="121" t="n">
        <v>0.085</v>
      </c>
      <c r="F37" s="121" t="n">
        <v>0.085</v>
      </c>
      <c r="G37" s="121" t="n">
        <v>0.085</v>
      </c>
      <c r="H37" s="121" t="n">
        <v>0.085</v>
      </c>
      <c r="I37" s="121" t="n">
        <v>0.085</v>
      </c>
      <c r="J37" s="121" t="n">
        <v>0.085</v>
      </c>
      <c r="K37" s="121" t="n">
        <v>0.085</v>
      </c>
      <c r="L37" s="121" t="n">
        <v>0.085</v>
      </c>
      <c r="M37" s="121" t="n">
        <v>0.085</v>
      </c>
      <c r="N37" s="121" t="n">
        <v>0.085</v>
      </c>
      <c r="O37" s="121" t="n">
        <v>0.085</v>
      </c>
      <c r="P37" s="121" t="n">
        <v>0.085</v>
      </c>
    </row>
    <row r="38" customFormat="false" ht="15" hidden="false" customHeight="true" outlineLevel="0" collapsed="false">
      <c r="A38" s="28" t="s">
        <v>1484</v>
      </c>
      <c r="B38" s="55" t="s">
        <v>1463</v>
      </c>
      <c r="C38" s="59" t="n">
        <f aca="false">SUM(E38:P38)</f>
        <v>1.32</v>
      </c>
      <c r="E38" s="121" t="n">
        <v>0.11</v>
      </c>
      <c r="F38" s="121" t="n">
        <v>0.11</v>
      </c>
      <c r="G38" s="121" t="n">
        <v>0.11</v>
      </c>
      <c r="H38" s="121" t="n">
        <v>0.11</v>
      </c>
      <c r="I38" s="121" t="n">
        <v>0.11</v>
      </c>
      <c r="J38" s="121" t="n">
        <v>0.11</v>
      </c>
      <c r="K38" s="121" t="n">
        <v>0.11</v>
      </c>
      <c r="L38" s="121" t="n">
        <v>0.11</v>
      </c>
      <c r="M38" s="121" t="n">
        <v>0.11</v>
      </c>
      <c r="N38" s="121" t="n">
        <v>0.11</v>
      </c>
      <c r="O38" s="121" t="n">
        <v>0.11</v>
      </c>
      <c r="P38" s="121" t="n">
        <v>0.11</v>
      </c>
    </row>
    <row r="39" customFormat="false" ht="15" hidden="false" customHeight="true" outlineLevel="0" collapsed="false">
      <c r="A39" s="28" t="s">
        <v>1485</v>
      </c>
      <c r="B39" s="55"/>
      <c r="C39" s="56" t="n">
        <f aca="false">SUM(E39:P39)</f>
        <v>-355020.18</v>
      </c>
      <c r="E39" s="69" t="n">
        <f aca="false">-E36*E21</f>
        <v>-24883.24</v>
      </c>
      <c r="F39" s="69" t="n">
        <f aca="false">-F36*F21</f>
        <v>-23147.2</v>
      </c>
      <c r="G39" s="69" t="n">
        <f aca="false">-G36*G21</f>
        <v>-26040.6</v>
      </c>
      <c r="H39" s="69" t="n">
        <f aca="false">-H36*H21</f>
        <v>-26908.62</v>
      </c>
      <c r="I39" s="69" t="n">
        <f aca="false">-I36*I21</f>
        <v>-28355.32</v>
      </c>
      <c r="J39" s="69" t="n">
        <f aca="false">-J36*J21</f>
        <v>-27487.3</v>
      </c>
      <c r="K39" s="69" t="n">
        <f aca="false">-K36*K21</f>
        <v>-26040.6</v>
      </c>
      <c r="L39" s="69" t="n">
        <f aca="false">-L36*L21</f>
        <v>-25461.92</v>
      </c>
      <c r="M39" s="69" t="n">
        <f aca="false">-M36*M21</f>
        <v>-28644.66</v>
      </c>
      <c r="N39" s="69" t="n">
        <f aca="false">-N36*N21</f>
        <v>-32406.08</v>
      </c>
      <c r="O39" s="69" t="n">
        <f aca="false">-O36*O21</f>
        <v>-45715.72</v>
      </c>
      <c r="P39" s="69" t="n">
        <f aca="false">-P36*P21</f>
        <v>-39928.92</v>
      </c>
    </row>
    <row r="40" customFormat="false" ht="15" hidden="false" customHeight="true" outlineLevel="0" collapsed="false">
      <c r="A40" s="28" t="s">
        <v>1486</v>
      </c>
      <c r="B40" s="55"/>
      <c r="C40" s="56" t="n">
        <f aca="false">SUM(E40:P40)</f>
        <v>-160510.005</v>
      </c>
      <c r="E40" s="69" t="n">
        <f aca="false">-E37*E22</f>
        <v>-11250.09</v>
      </c>
      <c r="F40" s="69" t="n">
        <f aca="false">-F37*F22</f>
        <v>-10465.2</v>
      </c>
      <c r="G40" s="69" t="n">
        <f aca="false">-G37*G22</f>
        <v>-11773.35</v>
      </c>
      <c r="H40" s="69" t="n">
        <f aca="false">-H37*H22</f>
        <v>-12165.795</v>
      </c>
      <c r="I40" s="69" t="n">
        <f aca="false">-I37*I22</f>
        <v>-12819.87</v>
      </c>
      <c r="J40" s="69" t="n">
        <f aca="false">-J37*J22</f>
        <v>-12427.425</v>
      </c>
      <c r="K40" s="69" t="n">
        <f aca="false">-K37*K22</f>
        <v>-11773.35</v>
      </c>
      <c r="L40" s="69" t="n">
        <f aca="false">-L37*L22</f>
        <v>-11511.72</v>
      </c>
      <c r="M40" s="69" t="n">
        <f aca="false">-M37*M22</f>
        <v>-12950.685</v>
      </c>
      <c r="N40" s="69" t="n">
        <f aca="false">-N37*N22</f>
        <v>-14651.28</v>
      </c>
      <c r="O40" s="69" t="n">
        <f aca="false">-O37*O22</f>
        <v>-20668.77</v>
      </c>
      <c r="P40" s="69" t="n">
        <f aca="false">-P37*P22</f>
        <v>-18052.47</v>
      </c>
    </row>
    <row r="41" customFormat="false" ht="15" hidden="false" customHeight="true" outlineLevel="0" collapsed="false">
      <c r="A41" s="28" t="s">
        <v>1487</v>
      </c>
      <c r="B41" s="55"/>
      <c r="C41" s="56" t="n">
        <f aca="false">SUM(E41:P41)</f>
        <v>-65158.5</v>
      </c>
      <c r="E41" s="69" t="n">
        <f aca="false">-E38*E23</f>
        <v>-1936</v>
      </c>
      <c r="F41" s="69" t="n">
        <f aca="false">-F38*F23</f>
        <v>-2420</v>
      </c>
      <c r="G41" s="69" t="n">
        <f aca="false">-G38*G23</f>
        <v>-3025</v>
      </c>
      <c r="H41" s="69" t="n">
        <f aca="false">-H38*H23</f>
        <v>-3630</v>
      </c>
      <c r="I41" s="69" t="n">
        <f aca="false">-I38*I23</f>
        <v>-4235</v>
      </c>
      <c r="J41" s="69" t="n">
        <f aca="false">-J38*J23</f>
        <v>-4840</v>
      </c>
      <c r="K41" s="69" t="n">
        <f aca="false">-K38*K23</f>
        <v>-5445</v>
      </c>
      <c r="L41" s="69" t="n">
        <f aca="false">-L38*L23</f>
        <v>-6050</v>
      </c>
      <c r="M41" s="69" t="n">
        <f aca="false">-M38*M23</f>
        <v>-6655</v>
      </c>
      <c r="N41" s="69" t="n">
        <f aca="false">-N38*N23</f>
        <v>-7562.5</v>
      </c>
      <c r="O41" s="69" t="n">
        <f aca="false">-O38*O23</f>
        <v>-10285</v>
      </c>
      <c r="P41" s="69" t="n">
        <f aca="false">-P38*P23</f>
        <v>-9075</v>
      </c>
    </row>
    <row r="42" customFormat="false" ht="15" hidden="false" customHeight="true" outlineLevel="0" collapsed="false">
      <c r="A42" s="28" t="s">
        <v>329</v>
      </c>
      <c r="B42" s="55"/>
      <c r="C42" s="56" t="n">
        <f aca="false">SUM(E42:P42)</f>
        <v>-580688.685</v>
      </c>
      <c r="E42" s="69" t="n">
        <f aca="false">E39+E40+E41</f>
        <v>-38069.33</v>
      </c>
      <c r="F42" s="69" t="n">
        <f aca="false">F39+F40+F41</f>
        <v>-36032.4</v>
      </c>
      <c r="G42" s="69" t="n">
        <f aca="false">G39+G40+G41</f>
        <v>-40838.95</v>
      </c>
      <c r="H42" s="69" t="n">
        <f aca="false">H39+H40+H41</f>
        <v>-42704.415</v>
      </c>
      <c r="I42" s="69" t="n">
        <f aca="false">I39+I40+I41</f>
        <v>-45410.19</v>
      </c>
      <c r="J42" s="69" t="n">
        <f aca="false">J39+J40+J41</f>
        <v>-44754.725</v>
      </c>
      <c r="K42" s="69" t="n">
        <f aca="false">K39+K40+K41</f>
        <v>-43258.95</v>
      </c>
      <c r="L42" s="69" t="n">
        <f aca="false">L39+L40+L41</f>
        <v>-43023.64</v>
      </c>
      <c r="M42" s="69" t="n">
        <f aca="false">M39+M40+M41</f>
        <v>-48250.345</v>
      </c>
      <c r="N42" s="69" t="n">
        <f aca="false">N39+N40+N41</f>
        <v>-54619.86</v>
      </c>
      <c r="O42" s="69" t="n">
        <f aca="false">O39+O40+O41</f>
        <v>-76669.49</v>
      </c>
      <c r="P42" s="69" t="n">
        <f aca="false">P39+P40+P41</f>
        <v>-67056.39</v>
      </c>
    </row>
    <row r="43" customFormat="false" ht="15" hidden="false" customHeight="true" outlineLevel="0" collapsed="false">
      <c r="A43" s="70" t="s">
        <v>330</v>
      </c>
      <c r="B43" s="71"/>
      <c r="C43" s="72" t="n">
        <f aca="false">SUM(E43:P43)</f>
        <v>1356503.13</v>
      </c>
      <c r="D43" s="149"/>
      <c r="E43" s="72" t="n">
        <f aca="false">E35+E42</f>
        <v>88977.84</v>
      </c>
      <c r="F43" s="72" t="n">
        <f aca="false">F35+F42</f>
        <v>84205.2</v>
      </c>
      <c r="G43" s="72" t="n">
        <f aca="false">G35+G42</f>
        <v>95432.1</v>
      </c>
      <c r="H43" s="72" t="n">
        <f aca="false">H35+H42</f>
        <v>99781.92</v>
      </c>
      <c r="I43" s="72" t="n">
        <f aca="false">I35+I42</f>
        <v>106096.62</v>
      </c>
      <c r="J43" s="72" t="n">
        <f aca="false">J35+J42</f>
        <v>104551.8</v>
      </c>
      <c r="K43" s="72" t="n">
        <f aca="false">K35+K42</f>
        <v>101042.1</v>
      </c>
      <c r="L43" s="72" t="n">
        <f aca="false">L35+L42</f>
        <v>100479.72</v>
      </c>
      <c r="M43" s="72" t="n">
        <f aca="false">M35+M42</f>
        <v>112689.06</v>
      </c>
      <c r="N43" s="72" t="n">
        <f aca="false">N35+N42</f>
        <v>127564.53</v>
      </c>
      <c r="O43" s="72" t="n">
        <f aca="false">O35+O42</f>
        <v>179068.02</v>
      </c>
      <c r="P43" s="72" t="n">
        <f aca="false">P35+P42</f>
        <v>156614.22</v>
      </c>
    </row>
    <row r="44" customFormat="false" ht="15" hidden="false" customHeight="true" outlineLevel="0" collapsed="false">
      <c r="A44" s="22" t="s">
        <v>331</v>
      </c>
      <c r="B44" s="23"/>
      <c r="C44" s="23"/>
      <c r="D44" s="23"/>
      <c r="E44" s="23"/>
      <c r="F44" s="23"/>
      <c r="G44" s="23"/>
      <c r="H44" s="23"/>
      <c r="I44" s="23"/>
      <c r="J44" s="23"/>
      <c r="K44" s="23"/>
      <c r="L44" s="23"/>
      <c r="M44" s="23"/>
      <c r="N44" s="23"/>
      <c r="O44" s="23"/>
      <c r="P44" s="23"/>
    </row>
    <row r="45" customFormat="false" ht="15" hidden="false" customHeight="true" outlineLevel="0" collapsed="false">
      <c r="A45" s="28" t="s">
        <v>332</v>
      </c>
      <c r="B45" s="55" t="s">
        <v>1463</v>
      </c>
      <c r="C45" s="56" t="n">
        <f aca="false">SUM(E45:P45)</f>
        <v>-570300</v>
      </c>
      <c r="E45" s="74" t="n">
        <v>-44000</v>
      </c>
      <c r="F45" s="74" t="n">
        <v>-44000</v>
      </c>
      <c r="G45" s="74" t="n">
        <v>-44000</v>
      </c>
      <c r="H45" s="74" t="n">
        <v>-47500</v>
      </c>
      <c r="I45" s="74" t="n">
        <v>-47500</v>
      </c>
      <c r="J45" s="74" t="n">
        <v>-47500</v>
      </c>
      <c r="K45" s="74" t="n">
        <v>-47500</v>
      </c>
      <c r="L45" s="74" t="n">
        <v>-47500</v>
      </c>
      <c r="M45" s="74" t="n">
        <v>-50200</v>
      </c>
      <c r="N45" s="74" t="n">
        <v>-50200</v>
      </c>
      <c r="O45" s="74" t="n">
        <v>-50200</v>
      </c>
      <c r="P45" s="74" t="n">
        <v>-50200</v>
      </c>
    </row>
    <row r="46" customFormat="false" ht="15" hidden="false" customHeight="true" outlineLevel="0" collapsed="false">
      <c r="A46" s="28" t="s">
        <v>333</v>
      </c>
      <c r="B46" s="55" t="s">
        <v>1463</v>
      </c>
      <c r="C46" s="56" t="n">
        <f aca="false">SUM(E46:P46)</f>
        <v>-54000</v>
      </c>
      <c r="E46" s="74" t="n">
        <v>-4500</v>
      </c>
      <c r="F46" s="74" t="n">
        <v>-4500</v>
      </c>
      <c r="G46" s="74" t="n">
        <v>-4500</v>
      </c>
      <c r="H46" s="74" t="n">
        <v>-4500</v>
      </c>
      <c r="I46" s="74" t="n">
        <v>-4500</v>
      </c>
      <c r="J46" s="74" t="n">
        <v>-4500</v>
      </c>
      <c r="K46" s="74" t="n">
        <v>-4500</v>
      </c>
      <c r="L46" s="74" t="n">
        <v>-4500</v>
      </c>
      <c r="M46" s="74" t="n">
        <v>-4500</v>
      </c>
      <c r="N46" s="74" t="n">
        <v>-4500</v>
      </c>
      <c r="O46" s="74" t="n">
        <v>-4500</v>
      </c>
      <c r="P46" s="74" t="n">
        <v>-4500</v>
      </c>
    </row>
    <row r="47" customFormat="false" ht="15" hidden="false" customHeight="true" outlineLevel="0" collapsed="false">
      <c r="A47" s="28" t="s">
        <v>334</v>
      </c>
      <c r="B47" s="55" t="s">
        <v>1463</v>
      </c>
      <c r="C47" s="56" t="n">
        <f aca="false">SUM(E47:P47)</f>
        <v>-57600</v>
      </c>
      <c r="E47" s="74" t="n">
        <v>-4800</v>
      </c>
      <c r="F47" s="74" t="n">
        <v>-4800</v>
      </c>
      <c r="G47" s="74" t="n">
        <v>-4800</v>
      </c>
      <c r="H47" s="74" t="n">
        <v>-4800</v>
      </c>
      <c r="I47" s="74" t="n">
        <v>-4800</v>
      </c>
      <c r="J47" s="74" t="n">
        <v>-4800</v>
      </c>
      <c r="K47" s="74" t="n">
        <v>-4800</v>
      </c>
      <c r="L47" s="74" t="n">
        <v>-4800</v>
      </c>
      <c r="M47" s="74" t="n">
        <v>-4800</v>
      </c>
      <c r="N47" s="74" t="n">
        <v>-4800</v>
      </c>
      <c r="O47" s="74" t="n">
        <v>-4800</v>
      </c>
      <c r="P47" s="74" t="n">
        <v>-4800</v>
      </c>
    </row>
    <row r="48" customFormat="false" ht="15" hidden="false" customHeight="true" outlineLevel="0" collapsed="false">
      <c r="A48" s="28" t="s">
        <v>335</v>
      </c>
      <c r="B48" s="55" t="s">
        <v>1463</v>
      </c>
      <c r="C48" s="56" t="n">
        <f aca="false">SUM(E48:P48)</f>
        <v>-48000</v>
      </c>
      <c r="E48" s="74" t="n">
        <v>-4000</v>
      </c>
      <c r="F48" s="74" t="n">
        <v>-4000</v>
      </c>
      <c r="G48" s="74" t="n">
        <v>-4000</v>
      </c>
      <c r="H48" s="74" t="n">
        <v>-4000</v>
      </c>
      <c r="I48" s="74" t="n">
        <v>-4000</v>
      </c>
      <c r="J48" s="74" t="n">
        <v>-4000</v>
      </c>
      <c r="K48" s="74" t="n">
        <v>-4000</v>
      </c>
      <c r="L48" s="74" t="n">
        <v>-4000</v>
      </c>
      <c r="M48" s="74" t="n">
        <v>-4000</v>
      </c>
      <c r="N48" s="74" t="n">
        <v>-4000</v>
      </c>
      <c r="O48" s="74" t="n">
        <v>-4000</v>
      </c>
      <c r="P48" s="74" t="n">
        <v>-4000</v>
      </c>
    </row>
    <row r="49" customFormat="false" ht="15" hidden="false" customHeight="true" outlineLevel="0" collapsed="false">
      <c r="A49" s="28" t="s">
        <v>336</v>
      </c>
      <c r="B49" s="55" t="s">
        <v>1463</v>
      </c>
      <c r="C49" s="56" t="n">
        <f aca="false">SUM(E49:P49)</f>
        <v>-36000</v>
      </c>
      <c r="E49" s="74" t="n">
        <v>-3000</v>
      </c>
      <c r="F49" s="74" t="n">
        <v>-3000</v>
      </c>
      <c r="G49" s="74" t="n">
        <v>-3000</v>
      </c>
      <c r="H49" s="74" t="n">
        <v>-3000</v>
      </c>
      <c r="I49" s="74" t="n">
        <v>-3000</v>
      </c>
      <c r="J49" s="74" t="n">
        <v>-3000</v>
      </c>
      <c r="K49" s="74" t="n">
        <v>-3000</v>
      </c>
      <c r="L49" s="74" t="n">
        <v>-3000</v>
      </c>
      <c r="M49" s="74" t="n">
        <v>-3000</v>
      </c>
      <c r="N49" s="74" t="n">
        <v>-3000</v>
      </c>
      <c r="O49" s="74" t="n">
        <v>-3000</v>
      </c>
      <c r="P49" s="74" t="n">
        <v>-3000</v>
      </c>
    </row>
    <row r="50" customFormat="false" ht="15" hidden="false" customHeight="true" outlineLevel="0" collapsed="false">
      <c r="A50" s="28" t="s">
        <v>337</v>
      </c>
      <c r="B50" s="55" t="s">
        <v>1463</v>
      </c>
      <c r="C50" s="56" t="n">
        <f aca="false">SUM(E50:P50)</f>
        <v>-13800</v>
      </c>
      <c r="E50" s="74" t="n">
        <v>-1150</v>
      </c>
      <c r="F50" s="74" t="n">
        <v>-1150</v>
      </c>
      <c r="G50" s="74" t="n">
        <v>-1150</v>
      </c>
      <c r="H50" s="74" t="n">
        <v>-1150</v>
      </c>
      <c r="I50" s="74" t="n">
        <v>-1150</v>
      </c>
      <c r="J50" s="74" t="n">
        <v>-1150</v>
      </c>
      <c r="K50" s="74" t="n">
        <v>-1150</v>
      </c>
      <c r="L50" s="74" t="n">
        <v>-1150</v>
      </c>
      <c r="M50" s="74" t="n">
        <v>-1150</v>
      </c>
      <c r="N50" s="74" t="n">
        <v>-1150</v>
      </c>
      <c r="O50" s="74" t="n">
        <v>-1150</v>
      </c>
      <c r="P50" s="74" t="n">
        <v>-1150</v>
      </c>
    </row>
    <row r="51" customFormat="false" ht="15" hidden="false" customHeight="true" outlineLevel="0" collapsed="false">
      <c r="A51" s="28" t="s">
        <v>338</v>
      </c>
      <c r="B51" s="55" t="s">
        <v>1463</v>
      </c>
      <c r="C51" s="56" t="n">
        <f aca="false">SUM(E51:P51)</f>
        <v>-14400</v>
      </c>
      <c r="E51" s="74" t="n">
        <v>-1200</v>
      </c>
      <c r="F51" s="74" t="n">
        <v>-1200</v>
      </c>
      <c r="G51" s="74" t="n">
        <v>-1200</v>
      </c>
      <c r="H51" s="74" t="n">
        <v>-1200</v>
      </c>
      <c r="I51" s="74" t="n">
        <v>-1200</v>
      </c>
      <c r="J51" s="74" t="n">
        <v>-1200</v>
      </c>
      <c r="K51" s="74" t="n">
        <v>-1200</v>
      </c>
      <c r="L51" s="74" t="n">
        <v>-1200</v>
      </c>
      <c r="M51" s="74" t="n">
        <v>-1200</v>
      </c>
      <c r="N51" s="74" t="n">
        <v>-1200</v>
      </c>
      <c r="O51" s="74" t="n">
        <v>-1200</v>
      </c>
      <c r="P51" s="74" t="n">
        <v>-1200</v>
      </c>
    </row>
    <row r="52" customFormat="false" ht="15" hidden="false" customHeight="true" outlineLevel="0" collapsed="false">
      <c r="A52" s="28" t="s">
        <v>339</v>
      </c>
      <c r="B52" s="55" t="s">
        <v>1463</v>
      </c>
      <c r="C52" s="56" t="n">
        <f aca="false">SUM(E52:P52)</f>
        <v>-60000</v>
      </c>
      <c r="E52" s="74" t="n">
        <v>-5000</v>
      </c>
      <c r="F52" s="74" t="n">
        <v>-5000</v>
      </c>
      <c r="G52" s="74" t="n">
        <v>-5000</v>
      </c>
      <c r="H52" s="74" t="n">
        <v>-5000</v>
      </c>
      <c r="I52" s="74" t="n">
        <v>-5000</v>
      </c>
      <c r="J52" s="74" t="n">
        <v>-5000</v>
      </c>
      <c r="K52" s="74" t="n">
        <v>-5000</v>
      </c>
      <c r="L52" s="74" t="n">
        <v>-5000</v>
      </c>
      <c r="M52" s="74" t="n">
        <v>-5000</v>
      </c>
      <c r="N52" s="74" t="n">
        <v>-5000</v>
      </c>
      <c r="O52" s="74" t="n">
        <v>-5000</v>
      </c>
      <c r="P52" s="74" t="n">
        <v>-5000</v>
      </c>
    </row>
    <row r="53" customFormat="false" ht="15" hidden="false" customHeight="true" outlineLevel="0" collapsed="false">
      <c r="A53" s="28" t="s">
        <v>340</v>
      </c>
      <c r="B53" s="55" t="s">
        <v>1488</v>
      </c>
      <c r="C53" s="56" t="n">
        <f aca="false">SUM(E53:P53)</f>
        <v>-46878</v>
      </c>
      <c r="E53" s="69" t="n">
        <f aca="false">-0.65*E25</f>
        <v>-3003</v>
      </c>
      <c r="F53" s="69" t="n">
        <f aca="false">-0.65*F25</f>
        <v>-2860</v>
      </c>
      <c r="G53" s="69" t="n">
        <f aca="false">-0.65*G25</f>
        <v>-3250</v>
      </c>
      <c r="H53" s="69" t="n">
        <f aca="false">-0.65*H25</f>
        <v>-3412.5</v>
      </c>
      <c r="I53" s="69" t="n">
        <f aca="false">-0.65*I25</f>
        <v>-3640</v>
      </c>
      <c r="J53" s="69" t="n">
        <f aca="false">-0.65*J25</f>
        <v>-3607.5</v>
      </c>
      <c r="K53" s="69" t="n">
        <f aca="false">-0.65*K25</f>
        <v>-3510</v>
      </c>
      <c r="L53" s="69" t="n">
        <f aca="false">-0.65*L25</f>
        <v>-3510</v>
      </c>
      <c r="M53" s="69" t="n">
        <f aca="false">-0.65*M25</f>
        <v>-3932.5</v>
      </c>
      <c r="N53" s="69" t="n">
        <f aca="false">-0.65*N25</f>
        <v>-4452.5</v>
      </c>
      <c r="O53" s="69" t="n">
        <f aca="false">-0.65*O25</f>
        <v>-6240</v>
      </c>
      <c r="P53" s="69" t="n">
        <f aca="false">-0.65*P25</f>
        <v>-5460</v>
      </c>
    </row>
    <row r="54" customFormat="false" ht="15" hidden="false" customHeight="true" outlineLevel="0" collapsed="false">
      <c r="A54" s="28" t="s">
        <v>341</v>
      </c>
      <c r="B54" s="55" t="s">
        <v>1463</v>
      </c>
      <c r="C54" s="56" t="n">
        <f aca="false">SUM(E54:P54)</f>
        <v>-19200</v>
      </c>
      <c r="E54" s="74" t="n">
        <v>-1600</v>
      </c>
      <c r="F54" s="74" t="n">
        <v>-1600</v>
      </c>
      <c r="G54" s="74" t="n">
        <v>-1600</v>
      </c>
      <c r="H54" s="74" t="n">
        <v>-1600</v>
      </c>
      <c r="I54" s="74" t="n">
        <v>-1600</v>
      </c>
      <c r="J54" s="74" t="n">
        <v>-1600</v>
      </c>
      <c r="K54" s="74" t="n">
        <v>-1600</v>
      </c>
      <c r="L54" s="74" t="n">
        <v>-1600</v>
      </c>
      <c r="M54" s="74" t="n">
        <v>-1600</v>
      </c>
      <c r="N54" s="74" t="n">
        <v>-1600</v>
      </c>
      <c r="O54" s="74" t="n">
        <v>-1600</v>
      </c>
      <c r="P54" s="74" t="n">
        <v>-1600</v>
      </c>
    </row>
    <row r="55" customFormat="false" ht="15" hidden="false" customHeight="true" outlineLevel="0" collapsed="false">
      <c r="A55" s="28" t="s">
        <v>342</v>
      </c>
      <c r="B55" s="55" t="s">
        <v>1489</v>
      </c>
      <c r="C55" s="56" t="n">
        <f aca="false">SUM(E55:P55)</f>
        <v>-6853.5855</v>
      </c>
      <c r="E55" s="69" t="n">
        <f aca="false">-0.0015*E24</f>
        <v>-444.489</v>
      </c>
      <c r="F55" s="69" t="n">
        <f aca="false">-0.0015*F24</f>
        <v>-421.92</v>
      </c>
      <c r="G55" s="69" t="n">
        <f aca="false">-0.0015*G24</f>
        <v>-478.785</v>
      </c>
      <c r="H55" s="69" t="n">
        <f aca="false">-0.0015*H24</f>
        <v>-501.6195</v>
      </c>
      <c r="I55" s="69" t="n">
        <f aca="false">-0.0015*I24</f>
        <v>-534.177</v>
      </c>
      <c r="J55" s="69" t="n">
        <f aca="false">-0.0015*J24</f>
        <v>-527.8425</v>
      </c>
      <c r="K55" s="69" t="n">
        <f aca="false">-0.0015*K24</f>
        <v>-511.785</v>
      </c>
      <c r="L55" s="69" t="n">
        <f aca="false">-0.0015*L24</f>
        <v>-510.312</v>
      </c>
      <c r="M55" s="69" t="n">
        <f aca="false">-0.0015*M24</f>
        <v>-572.0385</v>
      </c>
      <c r="N55" s="69" t="n">
        <f aca="false">-0.0015*N24</f>
        <v>-647.613</v>
      </c>
      <c r="O55" s="69" t="n">
        <f aca="false">-0.0015*O24</f>
        <v>-908.367</v>
      </c>
      <c r="P55" s="69" t="n">
        <f aca="false">-0.0015*P24</f>
        <v>-794.637</v>
      </c>
    </row>
    <row r="56" customFormat="false" ht="15" hidden="false" customHeight="true" outlineLevel="0" collapsed="false">
      <c r="A56" s="28" t="s">
        <v>343</v>
      </c>
      <c r="B56" s="55" t="s">
        <v>1463</v>
      </c>
      <c r="C56" s="56" t="n">
        <f aca="false">SUM(E56:P56)</f>
        <v>-8400</v>
      </c>
      <c r="E56" s="74" t="n">
        <v>-700</v>
      </c>
      <c r="F56" s="74" t="n">
        <v>-700</v>
      </c>
      <c r="G56" s="74" t="n">
        <v>-700</v>
      </c>
      <c r="H56" s="74" t="n">
        <v>-700</v>
      </c>
      <c r="I56" s="74" t="n">
        <v>-700</v>
      </c>
      <c r="J56" s="74" t="n">
        <v>-700</v>
      </c>
      <c r="K56" s="74" t="n">
        <v>-700</v>
      </c>
      <c r="L56" s="74" t="n">
        <v>-700</v>
      </c>
      <c r="M56" s="74" t="n">
        <v>-700</v>
      </c>
      <c r="N56" s="74" t="n">
        <v>-700</v>
      </c>
      <c r="O56" s="74" t="n">
        <v>-700</v>
      </c>
      <c r="P56" s="74" t="n">
        <v>-700</v>
      </c>
    </row>
    <row r="57" customFormat="false" ht="15" hidden="false" customHeight="true" outlineLevel="0" collapsed="false">
      <c r="A57" s="70" t="s">
        <v>344</v>
      </c>
      <c r="B57" s="71"/>
      <c r="C57" s="72" t="n">
        <f aca="false">SUM(E57:P57)</f>
        <v>-935431.5855</v>
      </c>
      <c r="D57" s="149"/>
      <c r="E57" s="72" t="n">
        <f aca="false">E45+E46+E47+E48+E49+E50+E51+E52+E53+E54+E55+E56</f>
        <v>-73397.489</v>
      </c>
      <c r="F57" s="72" t="n">
        <f aca="false">F45+F46+F47+F48+F49+F50+F51+F52+F53+F54+F55+F56</f>
        <v>-73231.92</v>
      </c>
      <c r="G57" s="72" t="n">
        <f aca="false">G45+G46+G47+G48+G49+G50+G51+G52+G53+G54+G55+G56</f>
        <v>-73678.785</v>
      </c>
      <c r="H57" s="72" t="n">
        <f aca="false">H45+H46+H47+H48+H49+H50+H51+H52+H53+H54+H55+H56</f>
        <v>-77364.1195</v>
      </c>
      <c r="I57" s="72" t="n">
        <f aca="false">I45+I46+I47+I48+I49+I50+I51+I52+I53+I54+I55+I56</f>
        <v>-77624.177</v>
      </c>
      <c r="J57" s="72" t="n">
        <f aca="false">J45+J46+J47+J48+J49+J50+J51+J52+J53+J54+J55+J56</f>
        <v>-77585.3425</v>
      </c>
      <c r="K57" s="72" t="n">
        <f aca="false">K45+K46+K47+K48+K49+K50+K51+K52+K53+K54+K55+K56</f>
        <v>-77471.785</v>
      </c>
      <c r="L57" s="72" t="n">
        <f aca="false">L45+L46+L47+L48+L49+L50+L51+L52+L53+L54+L55+L56</f>
        <v>-77470.312</v>
      </c>
      <c r="M57" s="72" t="n">
        <f aca="false">M45+M46+M47+M48+M49+M50+M51+M52+M53+M54+M55+M56</f>
        <v>-80654.5385</v>
      </c>
      <c r="N57" s="72" t="n">
        <f aca="false">N45+N46+N47+N48+N49+N50+N51+N52+N53+N54+N55+N56</f>
        <v>-81250.113</v>
      </c>
      <c r="O57" s="72" t="n">
        <f aca="false">O45+O46+O47+O48+O49+O50+O51+O52+O53+O54+O55+O56</f>
        <v>-83298.367</v>
      </c>
      <c r="P57" s="72" t="n">
        <f aca="false">P45+P46+P47+P48+P49+P50+P51+P52+P53+P54+P55+P56</f>
        <v>-82404.637</v>
      </c>
    </row>
    <row r="58" customFormat="false" ht="15" hidden="false" customHeight="true" outlineLevel="0" collapsed="false">
      <c r="A58" s="70" t="s">
        <v>273</v>
      </c>
      <c r="B58" s="71"/>
      <c r="C58" s="72" t="n">
        <f aca="false">SUM(E58:P58)</f>
        <v>421071.5445</v>
      </c>
      <c r="D58" s="149"/>
      <c r="E58" s="72" t="n">
        <f aca="false">E43+E57</f>
        <v>15580.351</v>
      </c>
      <c r="F58" s="72" t="n">
        <f aca="false">F43+F57</f>
        <v>10973.28</v>
      </c>
      <c r="G58" s="72" t="n">
        <f aca="false">G43+G57</f>
        <v>21753.315</v>
      </c>
      <c r="H58" s="72" t="n">
        <f aca="false">H43+H57</f>
        <v>22417.8005</v>
      </c>
      <c r="I58" s="72" t="n">
        <f aca="false">I43+I57</f>
        <v>28472.443</v>
      </c>
      <c r="J58" s="72" t="n">
        <f aca="false">J43+J57</f>
        <v>26966.4575</v>
      </c>
      <c r="K58" s="72" t="n">
        <f aca="false">K43+K57</f>
        <v>23570.315</v>
      </c>
      <c r="L58" s="72" t="n">
        <f aca="false">L43+L57</f>
        <v>23009.408</v>
      </c>
      <c r="M58" s="72" t="n">
        <f aca="false">M43+M57</f>
        <v>32034.5215</v>
      </c>
      <c r="N58" s="72" t="n">
        <f aca="false">N43+N57</f>
        <v>46314.417</v>
      </c>
      <c r="O58" s="72" t="n">
        <f aca="false">O43+O57</f>
        <v>95769.653</v>
      </c>
      <c r="P58" s="72" t="n">
        <f aca="false">P43+P57</f>
        <v>74209.583</v>
      </c>
    </row>
    <row r="59" customFormat="false" ht="15" hidden="false" customHeight="true" outlineLevel="0" collapsed="false">
      <c r="A59" s="28" t="s">
        <v>346</v>
      </c>
      <c r="B59" s="55" t="s">
        <v>1463</v>
      </c>
      <c r="C59" s="56" t="n">
        <f aca="false">SUM(E59:P59)</f>
        <v>-27600</v>
      </c>
      <c r="E59" s="74" t="n">
        <v>-2300</v>
      </c>
      <c r="F59" s="74" t="n">
        <v>-2300</v>
      </c>
      <c r="G59" s="74" t="n">
        <v>-2300</v>
      </c>
      <c r="H59" s="74" t="n">
        <v>-2300</v>
      </c>
      <c r="I59" s="74" t="n">
        <v>-2300</v>
      </c>
      <c r="J59" s="74" t="n">
        <v>-2300</v>
      </c>
      <c r="K59" s="74" t="n">
        <v>-2300</v>
      </c>
      <c r="L59" s="74" t="n">
        <v>-2300</v>
      </c>
      <c r="M59" s="74" t="n">
        <v>-2300</v>
      </c>
      <c r="N59" s="74" t="n">
        <v>-2300</v>
      </c>
      <c r="O59" s="74" t="n">
        <v>-2300</v>
      </c>
      <c r="P59" s="74" t="n">
        <v>-2300</v>
      </c>
    </row>
    <row r="60" customFormat="false" ht="15" hidden="false" customHeight="true" outlineLevel="0" collapsed="false">
      <c r="A60" s="28" t="s">
        <v>348</v>
      </c>
      <c r="B60" s="55" t="s">
        <v>1463</v>
      </c>
      <c r="C60" s="56" t="n">
        <f aca="false">SUM(E60:P60)</f>
        <v>-26700</v>
      </c>
      <c r="E60" s="74" t="n">
        <v>-2500</v>
      </c>
      <c r="F60" s="74" t="n">
        <v>-2450</v>
      </c>
      <c r="G60" s="74" t="n">
        <v>-2400</v>
      </c>
      <c r="H60" s="74" t="n">
        <v>-2350</v>
      </c>
      <c r="I60" s="74" t="n">
        <v>-2300</v>
      </c>
      <c r="J60" s="74" t="n">
        <v>-2250</v>
      </c>
      <c r="K60" s="74" t="n">
        <v>-2200</v>
      </c>
      <c r="L60" s="74" t="n">
        <v>-2150</v>
      </c>
      <c r="M60" s="74" t="n">
        <v>-2100</v>
      </c>
      <c r="N60" s="74" t="n">
        <v>-2050</v>
      </c>
      <c r="O60" s="74" t="n">
        <v>-2000</v>
      </c>
      <c r="P60" s="74" t="n">
        <v>-1950</v>
      </c>
    </row>
    <row r="61" customFormat="false" ht="15" hidden="false" customHeight="true" outlineLevel="0" collapsed="false">
      <c r="A61" s="70" t="s">
        <v>349</v>
      </c>
      <c r="B61" s="71"/>
      <c r="C61" s="72" t="n">
        <f aca="false">SUM(E61:P61)</f>
        <v>366771.5445</v>
      </c>
      <c r="D61" s="149"/>
      <c r="E61" s="72" t="n">
        <f aca="false">E58+E59+E60</f>
        <v>10780.351</v>
      </c>
      <c r="F61" s="72" t="n">
        <f aca="false">F58+F59+F60</f>
        <v>6223.28000000001</v>
      </c>
      <c r="G61" s="72" t="n">
        <f aca="false">G58+G59+G60</f>
        <v>17053.315</v>
      </c>
      <c r="H61" s="72" t="n">
        <f aca="false">H58+H59+H60</f>
        <v>17767.8005</v>
      </c>
      <c r="I61" s="72" t="n">
        <f aca="false">I58+I59+I60</f>
        <v>23872.443</v>
      </c>
      <c r="J61" s="72" t="n">
        <f aca="false">J58+J59+J60</f>
        <v>22416.4575</v>
      </c>
      <c r="K61" s="72" t="n">
        <f aca="false">K58+K59+K60</f>
        <v>19070.315</v>
      </c>
      <c r="L61" s="72" t="n">
        <f aca="false">L58+L59+L60</f>
        <v>18559.408</v>
      </c>
      <c r="M61" s="72" t="n">
        <f aca="false">M58+M59+M60</f>
        <v>27634.5215</v>
      </c>
      <c r="N61" s="72" t="n">
        <f aca="false">N58+N59+N60</f>
        <v>41964.417</v>
      </c>
      <c r="O61" s="72" t="n">
        <f aca="false">O58+O59+O60</f>
        <v>91469.653</v>
      </c>
      <c r="P61" s="72" t="n">
        <f aca="false">P58+P59+P60</f>
        <v>69959.583</v>
      </c>
    </row>
    <row r="62" customFormat="false" ht="15" hidden="false" customHeight="true" outlineLevel="0" collapsed="false">
      <c r="A62" s="28" t="s">
        <v>1490</v>
      </c>
      <c r="B62" s="55"/>
      <c r="C62" s="56" t="n">
        <f aca="false">SUM(E62:P62)</f>
        <v>-69686.593455</v>
      </c>
      <c r="E62" s="69" t="n">
        <f aca="false">-MAX(0,E61)*0.19</f>
        <v>-2048.26669</v>
      </c>
      <c r="F62" s="69" t="n">
        <f aca="false">-MAX(0,F61)*0.19</f>
        <v>-1182.4232</v>
      </c>
      <c r="G62" s="69" t="n">
        <f aca="false">-MAX(0,G61)*0.19</f>
        <v>-3240.12985</v>
      </c>
      <c r="H62" s="69" t="n">
        <f aca="false">-MAX(0,H61)*0.19</f>
        <v>-3375.882095</v>
      </c>
      <c r="I62" s="69" t="n">
        <f aca="false">-MAX(0,I61)*0.19</f>
        <v>-4535.76417</v>
      </c>
      <c r="J62" s="69" t="n">
        <f aca="false">-MAX(0,J61)*0.19</f>
        <v>-4259.126925</v>
      </c>
      <c r="K62" s="69" t="n">
        <f aca="false">-MAX(0,K61)*0.19</f>
        <v>-3623.35985</v>
      </c>
      <c r="L62" s="69" t="n">
        <f aca="false">-MAX(0,L61)*0.19</f>
        <v>-3526.28752</v>
      </c>
      <c r="M62" s="69" t="n">
        <f aca="false">-MAX(0,M61)*0.19</f>
        <v>-5250.559085</v>
      </c>
      <c r="N62" s="69" t="n">
        <f aca="false">-MAX(0,N61)*0.19</f>
        <v>-7973.23923</v>
      </c>
      <c r="O62" s="69" t="n">
        <f aca="false">-MAX(0,O61)*0.19</f>
        <v>-17379.23407</v>
      </c>
      <c r="P62" s="69" t="n">
        <f aca="false">-MAX(0,P61)*0.19</f>
        <v>-13292.32077</v>
      </c>
    </row>
    <row r="63" customFormat="false" ht="15" hidden="false" customHeight="true" outlineLevel="0" collapsed="false">
      <c r="A63" s="70" t="s">
        <v>355</v>
      </c>
      <c r="B63" s="71"/>
      <c r="C63" s="72" t="n">
        <f aca="false">SUM(E63:P63)</f>
        <v>297084.951045</v>
      </c>
      <c r="D63" s="149"/>
      <c r="E63" s="72" t="n">
        <f aca="false">E61+E62</f>
        <v>8732.08431</v>
      </c>
      <c r="F63" s="72" t="n">
        <f aca="false">F61+F62</f>
        <v>5040.85680000001</v>
      </c>
      <c r="G63" s="72" t="n">
        <f aca="false">G61+G62</f>
        <v>13813.18515</v>
      </c>
      <c r="H63" s="72" t="n">
        <f aca="false">H61+H62</f>
        <v>14391.918405</v>
      </c>
      <c r="I63" s="72" t="n">
        <f aca="false">I61+I62</f>
        <v>19336.67883</v>
      </c>
      <c r="J63" s="72" t="n">
        <f aca="false">J61+J62</f>
        <v>18157.330575</v>
      </c>
      <c r="K63" s="72" t="n">
        <f aca="false">K61+K62</f>
        <v>15446.95515</v>
      </c>
      <c r="L63" s="72" t="n">
        <f aca="false">L61+L62</f>
        <v>15033.12048</v>
      </c>
      <c r="M63" s="72" t="n">
        <f aca="false">M61+M62</f>
        <v>22383.962415</v>
      </c>
      <c r="N63" s="72" t="n">
        <f aca="false">N61+N62</f>
        <v>33991.17777</v>
      </c>
      <c r="O63" s="72" t="n">
        <f aca="false">O61+O62</f>
        <v>74090.41893</v>
      </c>
      <c r="P63" s="72" t="n">
        <f aca="false">P61+P62</f>
        <v>56667.26223</v>
      </c>
    </row>
    <row r="64" customFormat="false" ht="15" hidden="false" customHeight="true" outlineLevel="0" collapsed="false">
      <c r="A64" s="22" t="s">
        <v>1491</v>
      </c>
      <c r="B64" s="23"/>
      <c r="C64" s="23"/>
      <c r="D64" s="23"/>
      <c r="E64" s="23"/>
      <c r="F64" s="23"/>
      <c r="G64" s="23"/>
      <c r="H64" s="23"/>
      <c r="I64" s="23"/>
      <c r="J64" s="23"/>
      <c r="K64" s="23"/>
      <c r="L64" s="23"/>
      <c r="M64" s="23"/>
      <c r="N64" s="23"/>
      <c r="O64" s="23"/>
      <c r="P64" s="23"/>
    </row>
    <row r="65" customFormat="false" ht="15" hidden="false" customHeight="true" outlineLevel="0" collapsed="false">
      <c r="A65" s="28" t="s">
        <v>293</v>
      </c>
      <c r="B65" s="55" t="s">
        <v>1492</v>
      </c>
      <c r="C65" s="56" t="n">
        <f aca="false">P65</f>
        <v>548000</v>
      </c>
      <c r="E65" s="74" t="n">
        <v>395000</v>
      </c>
      <c r="F65" s="74" t="n">
        <v>388000</v>
      </c>
      <c r="G65" s="74" t="n">
        <v>412000</v>
      </c>
      <c r="H65" s="74" t="n">
        <v>401000</v>
      </c>
      <c r="I65" s="74" t="n">
        <v>430000</v>
      </c>
      <c r="J65" s="74" t="n">
        <v>452000</v>
      </c>
      <c r="K65" s="74" t="n">
        <v>447000</v>
      </c>
      <c r="L65" s="74" t="n">
        <v>438000</v>
      </c>
      <c r="M65" s="74" t="n">
        <v>405000</v>
      </c>
      <c r="N65" s="74" t="n">
        <v>372000</v>
      </c>
      <c r="O65" s="74" t="n">
        <v>455000</v>
      </c>
      <c r="P65" s="74" t="n">
        <v>548000</v>
      </c>
    </row>
    <row r="66" customFormat="false" ht="15" hidden="false" customHeight="true" outlineLevel="0" collapsed="false">
      <c r="A66" s="28" t="s">
        <v>296</v>
      </c>
      <c r="B66" s="55" t="s">
        <v>1492</v>
      </c>
      <c r="C66" s="56" t="n">
        <f aca="false">P66</f>
        <v>505000</v>
      </c>
      <c r="E66" s="74" t="n">
        <v>615000</v>
      </c>
      <c r="F66" s="74" t="n">
        <v>590000</v>
      </c>
      <c r="G66" s="74" t="n">
        <v>572000</v>
      </c>
      <c r="H66" s="74" t="n">
        <v>540000</v>
      </c>
      <c r="I66" s="74" t="n">
        <v>556000</v>
      </c>
      <c r="J66" s="74" t="n">
        <v>530000</v>
      </c>
      <c r="K66" s="74" t="n">
        <v>505000</v>
      </c>
      <c r="L66" s="74" t="n">
        <v>520000</v>
      </c>
      <c r="M66" s="74" t="n">
        <v>615000</v>
      </c>
      <c r="N66" s="74" t="n">
        <v>690000</v>
      </c>
      <c r="O66" s="74" t="n">
        <v>610000</v>
      </c>
      <c r="P66" s="74" t="n">
        <v>505000</v>
      </c>
    </row>
    <row r="67" customFormat="false" ht="15" hidden="false" customHeight="true" outlineLevel="0" collapsed="false">
      <c r="A67" s="28" t="s">
        <v>465</v>
      </c>
      <c r="B67" s="55" t="s">
        <v>1492</v>
      </c>
      <c r="C67" s="56" t="n">
        <f aca="false">P67</f>
        <v>178000</v>
      </c>
      <c r="E67" s="74" t="n">
        <v>105000</v>
      </c>
      <c r="F67" s="74" t="n">
        <v>98000</v>
      </c>
      <c r="G67" s="74" t="n">
        <v>108000</v>
      </c>
      <c r="H67" s="74" t="n">
        <v>112000</v>
      </c>
      <c r="I67" s="74" t="n">
        <v>120000</v>
      </c>
      <c r="J67" s="74" t="n">
        <v>118000</v>
      </c>
      <c r="K67" s="74" t="n">
        <v>112000</v>
      </c>
      <c r="L67" s="74" t="n">
        <v>114000</v>
      </c>
      <c r="M67" s="74" t="n">
        <v>125000</v>
      </c>
      <c r="N67" s="74" t="n">
        <v>140000</v>
      </c>
      <c r="O67" s="74" t="n">
        <v>205000</v>
      </c>
      <c r="P67" s="74" t="n">
        <v>178000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2026-09-13T13:10:07Z</dcterms:created>
  <dc:creator>openpyxl</dc:creator>
  <dc:description/>
  <dc:language>en-US</dc:language>
  <cp:lastModifiedBy/>
  <dcterms:modified xsi:type="dcterms:W3CDTF">2026-09-22T22:34:25Z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